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12" documentId="8_{7020A80A-366A-4CB0-9EE9-2B49348C91F1}" xr6:coauthVersionLast="47" xr6:coauthVersionMax="47" xr10:uidLastSave="{C2A5040A-5F7C-4C08-AC66-1E64BD2D110A}"/>
  <bookViews>
    <workbookView minimized="1" xWindow="26472" yWindow="4080" windowWidth="17280" windowHeight="8880" firstSheet="6" activeTab="6" xr2:uid="{00000000-000D-0000-FFFF-FFFF00000000}"/>
  </bookViews>
  <sheets>
    <sheet name="Cover" sheetId="5" r:id="rId1"/>
    <sheet name="Site check" sheetId="8" r:id="rId2"/>
    <sheet name="SYS Allocations" sheetId="6" r:id="rId3"/>
    <sheet name="DC Dist Allocations" sheetId="7" r:id="rId4"/>
    <sheet name="All" sheetId="9" r:id="rId5"/>
    <sheet name="Site check - Dual" sheetId="14" r:id="rId6"/>
    <sheet name="Single_Check" sheetId="18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</externalReferences>
  <definedNames>
    <definedName name="_xlnm._FilterDatabase" localSheetId="4" hidden="1">All!$A$7:$BA$267</definedName>
    <definedName name="_xlnm._FilterDatabase" localSheetId="0" hidden="1">Cover!$A$7:$R$269</definedName>
    <definedName name="_xlnm._FilterDatabase" localSheetId="9" hidden="1">Data!$A$1:$A$209</definedName>
    <definedName name="_xlnm._FilterDatabase" localSheetId="2" hidden="1">'SYS Allocations'!$A$7:$AK$268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6">#REF!</definedName>
    <definedName name="Total_Allocated_Load_kW" localSheetId="5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6" i="5" l="1"/>
  <c r="AA76" i="9" s="1"/>
  <c r="AB76" i="9" s="1"/>
  <c r="AD76" i="9" s="1"/>
  <c r="E76" i="5" s="1"/>
  <c r="AI75" i="9"/>
  <c r="AH75" i="9"/>
  <c r="BA76" i="9"/>
  <c r="AP76" i="9" s="1"/>
  <c r="BA77" i="9"/>
  <c r="BA78" i="9"/>
  <c r="B76" i="5"/>
  <c r="C76" i="5"/>
  <c r="F76" i="5" l="1"/>
  <c r="AF76" i="9"/>
  <c r="AC76" i="9"/>
  <c r="AX87" i="7"/>
  <c r="AA254" i="9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8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AU9" i="9"/>
  <c r="AU10" i="9"/>
  <c r="AU11" i="9"/>
  <c r="AU12" i="9"/>
  <c r="AU13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7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3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8" i="9"/>
  <c r="AE76" i="9" l="1"/>
  <c r="G76" i="5" s="1"/>
  <c r="H76" i="5"/>
  <c r="AG76" i="9"/>
  <c r="I76" i="5" s="1"/>
  <c r="J76" i="5"/>
  <c r="C38" i="5"/>
  <c r="B39" i="5"/>
  <c r="BA39" i="9"/>
  <c r="AP39" i="9" s="1"/>
  <c r="B224" i="5"/>
  <c r="B232" i="5"/>
  <c r="B240" i="5"/>
  <c r="B248" i="5"/>
  <c r="AX389" i="7"/>
  <c r="AY389" i="7" s="1"/>
  <c r="AX390" i="7"/>
  <c r="AY390" i="7" s="1"/>
  <c r="BA134" i="9"/>
  <c r="AP134" i="9" s="1"/>
  <c r="BA135" i="9"/>
  <c r="AP135" i="9" s="1"/>
  <c r="AH134" i="9"/>
  <c r="AI134" i="9"/>
  <c r="B134" i="5"/>
  <c r="C134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G2" i="6"/>
  <c r="C24" i="15"/>
  <c r="N38" i="5"/>
  <c r="O38" i="5"/>
  <c r="M38" i="5"/>
  <c r="AQ38" i="9"/>
  <c r="B38" i="5"/>
  <c r="C39" i="5"/>
  <c r="AQ37" i="9"/>
  <c r="BA38" i="9"/>
  <c r="AP38" i="9" s="1"/>
  <c r="BA40" i="9"/>
  <c r="AI36" i="9"/>
  <c r="AH36" i="9"/>
  <c r="G38" i="6"/>
  <c r="R38" i="5" s="1"/>
  <c r="AA38" i="9" s="1"/>
  <c r="AB38" i="9" s="1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3" i="9"/>
  <c r="AR173" i="9"/>
  <c r="AQ173" i="9"/>
  <c r="AT172" i="9"/>
  <c r="AR172" i="9"/>
  <c r="AQ172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5" i="9"/>
  <c r="AR135" i="9"/>
  <c r="AQ135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7" i="9"/>
  <c r="AR77" i="9"/>
  <c r="AQ77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1" i="9"/>
  <c r="AR41" i="9"/>
  <c r="AQ41" i="9"/>
  <c r="AT39" i="9"/>
  <c r="AR39" i="9"/>
  <c r="AQ39" i="9"/>
  <c r="AT37" i="9"/>
  <c r="AR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3" i="9"/>
  <c r="AR13" i="9"/>
  <c r="AQ13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5" i="9"/>
  <c r="AE265" i="9" s="1"/>
  <c r="AB263" i="9"/>
  <c r="AD263" i="9" s="1"/>
  <c r="AB262" i="9"/>
  <c r="AD262" i="9" s="1"/>
  <c r="AF261" i="9"/>
  <c r="AG261" i="9" s="1"/>
  <c r="AK260" i="9"/>
  <c r="AF259" i="9"/>
  <c r="AG259" i="9" s="1"/>
  <c r="AF257" i="9"/>
  <c r="AG257" i="9" s="1"/>
  <c r="AF255" i="9"/>
  <c r="AG255" i="9" s="1"/>
  <c r="AK254" i="9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O255" i="5"/>
  <c r="N255" i="5"/>
  <c r="O254" i="5"/>
  <c r="N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O235" i="5"/>
  <c r="N235" i="5"/>
  <c r="M235" i="5"/>
  <c r="P234" i="5"/>
  <c r="O234" i="5"/>
  <c r="N234" i="5"/>
  <c r="M234" i="5"/>
  <c r="P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N217" i="5"/>
  <c r="M217" i="5"/>
  <c r="P216" i="5"/>
  <c r="O216" i="5"/>
  <c r="N216" i="5"/>
  <c r="M216" i="5"/>
  <c r="P215" i="5"/>
  <c r="O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N187" i="5"/>
  <c r="M187" i="5"/>
  <c r="P186" i="5"/>
  <c r="O186" i="5"/>
  <c r="N186" i="5"/>
  <c r="M186" i="5"/>
  <c r="P185" i="5"/>
  <c r="O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3" i="5"/>
  <c r="O173" i="5"/>
  <c r="N173" i="5"/>
  <c r="M173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5" i="5"/>
  <c r="O135" i="5"/>
  <c r="N135" i="5"/>
  <c r="M135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N124" i="5"/>
  <c r="M124" i="5"/>
  <c r="P123" i="5"/>
  <c r="O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7" i="5"/>
  <c r="O77" i="5"/>
  <c r="N77" i="5"/>
  <c r="M77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O53" i="5"/>
  <c r="N53" i="5"/>
  <c r="M53" i="5"/>
  <c r="P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1" i="5"/>
  <c r="O41" i="5"/>
  <c r="N41" i="5"/>
  <c r="M41" i="5"/>
  <c r="P39" i="5"/>
  <c r="O39" i="5"/>
  <c r="N39" i="5"/>
  <c r="M39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3" i="5"/>
  <c r="O13" i="5"/>
  <c r="N13" i="5"/>
  <c r="M13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C256" i="5"/>
  <c r="B256" i="5"/>
  <c r="C255" i="5"/>
  <c r="B255" i="5"/>
  <c r="L254" i="5"/>
  <c r="K254" i="5"/>
  <c r="J254" i="5"/>
  <c r="I254" i="5"/>
  <c r="H254" i="5"/>
  <c r="G254" i="5"/>
  <c r="F254" i="5"/>
  <c r="E254" i="5"/>
  <c r="C254" i="5"/>
  <c r="B254" i="5"/>
  <c r="L253" i="5"/>
  <c r="K253" i="5"/>
  <c r="J253" i="5"/>
  <c r="I253" i="5"/>
  <c r="H253" i="5"/>
  <c r="G253" i="5"/>
  <c r="F253" i="5"/>
  <c r="E253" i="5"/>
  <c r="C253" i="5"/>
  <c r="B253" i="5"/>
  <c r="C252" i="5"/>
  <c r="B252" i="5"/>
  <c r="C251" i="5"/>
  <c r="B251" i="5"/>
  <c r="C250" i="5"/>
  <c r="B250" i="5"/>
  <c r="C249" i="5"/>
  <c r="B249" i="5"/>
  <c r="C248" i="5"/>
  <c r="C247" i="5"/>
  <c r="B247" i="5"/>
  <c r="C246" i="5"/>
  <c r="B246" i="5"/>
  <c r="C245" i="5"/>
  <c r="B245" i="5"/>
  <c r="C244" i="5"/>
  <c r="B244" i="5"/>
  <c r="C243" i="5"/>
  <c r="B243" i="5"/>
  <c r="C242" i="5"/>
  <c r="B242" i="5"/>
  <c r="C241" i="5"/>
  <c r="B241" i="5"/>
  <c r="C240" i="5"/>
  <c r="C239" i="5"/>
  <c r="B239" i="5"/>
  <c r="C238" i="5"/>
  <c r="B238" i="5"/>
  <c r="C237" i="5"/>
  <c r="B237" i="5"/>
  <c r="C236" i="5"/>
  <c r="B236" i="5"/>
  <c r="C235" i="5"/>
  <c r="B235" i="5"/>
  <c r="C234" i="5"/>
  <c r="B234" i="5"/>
  <c r="C233" i="5"/>
  <c r="B233" i="5"/>
  <c r="C232" i="5"/>
  <c r="C231" i="5"/>
  <c r="B231" i="5"/>
  <c r="C230" i="5"/>
  <c r="B230" i="5"/>
  <c r="C229" i="5"/>
  <c r="B229" i="5"/>
  <c r="C228" i="5"/>
  <c r="B228" i="5"/>
  <c r="C227" i="5"/>
  <c r="B227" i="5"/>
  <c r="C226" i="5"/>
  <c r="B226" i="5"/>
  <c r="C225" i="5"/>
  <c r="B225" i="5"/>
  <c r="C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C188" i="5"/>
  <c r="B188" i="5"/>
  <c r="C187" i="5"/>
  <c r="B187" i="5"/>
  <c r="L186" i="5"/>
  <c r="K186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C178" i="5"/>
  <c r="B178" i="5"/>
  <c r="L177" i="5"/>
  <c r="K177" i="5"/>
  <c r="C177" i="5"/>
  <c r="B177" i="5"/>
  <c r="C176" i="5"/>
  <c r="B176" i="5"/>
  <c r="C175" i="5"/>
  <c r="B175" i="5"/>
  <c r="C174" i="5"/>
  <c r="B174" i="5"/>
  <c r="C173" i="5"/>
  <c r="B173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C156" i="5"/>
  <c r="B156" i="5"/>
  <c r="J155" i="5"/>
  <c r="I155" i="5"/>
  <c r="H155" i="5"/>
  <c r="G155" i="5"/>
  <c r="F155" i="5"/>
  <c r="E155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5" i="5"/>
  <c r="B135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L114" i="5"/>
  <c r="K114" i="5"/>
  <c r="C114" i="5"/>
  <c r="B114" i="5"/>
  <c r="C113" i="5"/>
  <c r="B113" i="5"/>
  <c r="C112" i="5"/>
  <c r="B112" i="5"/>
  <c r="C111" i="5"/>
  <c r="B111" i="5"/>
  <c r="C110" i="5"/>
  <c r="B110" i="5"/>
  <c r="C109" i="5"/>
  <c r="B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L80" i="5"/>
  <c r="K80" i="5"/>
  <c r="C80" i="5"/>
  <c r="B80" i="5"/>
  <c r="C79" i="5"/>
  <c r="B79" i="5"/>
  <c r="C78" i="5"/>
  <c r="B78" i="5"/>
  <c r="C77" i="5"/>
  <c r="B77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39" i="9"/>
  <c r="D11" i="19"/>
  <c r="D10" i="19"/>
  <c r="D9" i="19"/>
  <c r="E9" i="19"/>
  <c r="F9" i="19"/>
  <c r="AH17" i="9"/>
  <c r="D8" i="19"/>
  <c r="D7" i="19"/>
  <c r="E7" i="19"/>
  <c r="F7" i="19"/>
  <c r="AH83" i="9"/>
  <c r="D3" i="19"/>
  <c r="D4" i="19"/>
  <c r="D5" i="19"/>
  <c r="D6" i="19"/>
  <c r="D2" i="19"/>
  <c r="D7" i="18"/>
  <c r="AS17" i="9"/>
  <c r="AS182" i="9"/>
  <c r="AS85" i="9"/>
  <c r="AS75" i="9"/>
  <c r="AS200" i="9"/>
  <c r="AS103" i="9"/>
  <c r="AS262" i="9"/>
  <c r="AS159" i="9"/>
  <c r="AS49" i="9"/>
  <c r="AS215" i="9"/>
  <c r="AS36" i="9"/>
  <c r="AS153" i="9"/>
  <c r="AS29" i="9"/>
  <c r="AS13" i="9"/>
  <c r="AS257" i="9"/>
  <c r="AS242" i="9"/>
  <c r="AS226" i="9"/>
  <c r="AS210" i="9"/>
  <c r="AS194" i="9"/>
  <c r="AS178" i="9"/>
  <c r="AS162" i="9"/>
  <c r="AS146" i="9"/>
  <c r="AS129" i="9"/>
  <c r="AS113" i="9"/>
  <c r="AS97" i="9"/>
  <c r="AS81" i="9"/>
  <c r="AS32" i="9"/>
  <c r="AS260" i="9"/>
  <c r="AS225" i="9"/>
  <c r="AS185" i="9"/>
  <c r="AS149" i="9"/>
  <c r="AS104" i="9"/>
  <c r="AS63" i="9"/>
  <c r="AS31" i="9"/>
  <c r="AS15" i="9"/>
  <c r="AS259" i="9"/>
  <c r="AS244" i="9"/>
  <c r="AS228" i="9"/>
  <c r="AS212" i="9"/>
  <c r="AS196" i="9"/>
  <c r="AS180" i="9"/>
  <c r="AS164" i="9"/>
  <c r="AS148" i="9"/>
  <c r="AS131" i="9"/>
  <c r="AS115" i="9"/>
  <c r="AS99" i="9"/>
  <c r="AS83" i="9"/>
  <c r="AS66" i="9"/>
  <c r="AS50" i="9"/>
  <c r="AS22" i="9"/>
  <c r="AS254" i="9"/>
  <c r="AS223" i="9"/>
  <c r="AS199" i="9"/>
  <c r="AS179" i="9"/>
  <c r="AS155" i="9"/>
  <c r="AS135" i="9"/>
  <c r="AS110" i="9"/>
  <c r="AS86" i="9"/>
  <c r="AS65" i="9"/>
  <c r="AS41" i="9"/>
  <c r="AS44" i="9"/>
  <c r="AS173" i="9"/>
  <c r="AS67" i="9"/>
  <c r="AS18" i="9"/>
  <c r="AS243" i="9"/>
  <c r="AS203" i="9"/>
  <c r="AS147" i="9"/>
  <c r="AS90" i="9"/>
  <c r="AS64" i="9"/>
  <c r="AS20" i="9"/>
  <c r="AS249" i="9"/>
  <c r="AS209" i="9"/>
  <c r="AS181" i="9"/>
  <c r="AS141" i="9"/>
  <c r="AS108" i="9"/>
  <c r="AS71" i="9"/>
  <c r="AS174" i="9"/>
  <c r="AS125" i="9"/>
  <c r="AS93" i="9"/>
  <c r="AS72" i="9"/>
  <c r="AS221" i="9"/>
  <c r="AS137" i="9"/>
  <c r="AS96" i="9"/>
  <c r="AS27" i="9"/>
  <c r="AS255" i="9"/>
  <c r="AS240" i="9"/>
  <c r="AS208" i="9"/>
  <c r="AS192" i="9"/>
  <c r="AS160" i="9"/>
  <c r="AS127" i="9"/>
  <c r="AS111" i="9"/>
  <c r="AS95" i="9"/>
  <c r="AS62" i="9"/>
  <c r="AS46" i="9"/>
  <c r="AS14" i="9"/>
  <c r="AS219" i="9"/>
  <c r="AS195" i="9"/>
  <c r="AS151" i="9"/>
  <c r="AS126" i="9"/>
  <c r="AS106" i="9"/>
  <c r="AS57" i="9"/>
  <c r="AS77" i="9"/>
  <c r="AS145" i="9"/>
  <c r="AS43" i="9"/>
  <c r="AS235" i="9"/>
  <c r="AS187" i="9"/>
  <c r="AS130" i="9"/>
  <c r="AS48" i="9"/>
  <c r="AS12" i="9"/>
  <c r="AS201" i="9"/>
  <c r="AS169" i="9"/>
  <c r="AS132" i="9"/>
  <c r="AS59" i="9"/>
  <c r="AS33" i="9"/>
  <c r="AS246" i="9"/>
  <c r="AS214" i="9"/>
  <c r="AS166" i="9"/>
  <c r="AS117" i="9"/>
  <c r="AS8" i="9"/>
  <c r="AS197" i="9"/>
  <c r="AS35" i="9"/>
  <c r="AS248" i="9"/>
  <c r="AS184" i="9"/>
  <c r="AS136" i="9"/>
  <c r="AS70" i="9"/>
  <c r="AS30" i="9"/>
  <c r="AS139" i="9"/>
  <c r="AS56" i="9"/>
  <c r="AS26" i="9"/>
  <c r="AS163" i="9"/>
  <c r="AS256" i="9"/>
  <c r="AS80" i="9"/>
  <c r="AS25" i="9"/>
  <c r="AS9" i="9"/>
  <c r="AS253" i="9"/>
  <c r="AS238" i="9"/>
  <c r="AS222" i="9"/>
  <c r="AS206" i="9"/>
  <c r="AS190" i="9"/>
  <c r="AS158" i="9"/>
  <c r="AS142" i="9"/>
  <c r="AS109" i="9"/>
  <c r="AS24" i="9"/>
  <c r="AS177" i="9"/>
  <c r="AS55" i="9"/>
  <c r="AS11" i="9"/>
  <c r="AS224" i="9"/>
  <c r="AS176" i="9"/>
  <c r="AS144" i="9"/>
  <c r="AS79" i="9"/>
  <c r="AS247" i="9"/>
  <c r="AS171" i="9"/>
  <c r="AS82" i="9"/>
  <c r="AS28" i="9"/>
  <c r="AS266" i="9"/>
  <c r="AS73" i="9"/>
  <c r="AS237" i="9"/>
  <c r="AS100" i="9"/>
  <c r="AS230" i="9"/>
  <c r="AS133" i="9"/>
  <c r="AS52" i="9"/>
  <c r="AS157" i="9"/>
  <c r="AS19" i="9"/>
  <c r="AS216" i="9"/>
  <c r="AS152" i="9"/>
  <c r="AS87" i="9"/>
  <c r="AS231" i="9"/>
  <c r="AS114" i="9"/>
  <c r="AS69" i="9"/>
  <c r="AS92" i="9"/>
  <c r="AS45" i="9"/>
  <c r="AS189" i="9"/>
  <c r="AS37" i="9"/>
  <c r="AS21" i="9"/>
  <c r="AS265" i="9"/>
  <c r="AS250" i="9"/>
  <c r="AS234" i="9"/>
  <c r="AS218" i="9"/>
  <c r="AS202" i="9"/>
  <c r="AS186" i="9"/>
  <c r="AS170" i="9"/>
  <c r="AS154" i="9"/>
  <c r="AS138" i="9"/>
  <c r="AS121" i="9"/>
  <c r="AS105" i="9"/>
  <c r="AS89" i="9"/>
  <c r="AS60" i="9"/>
  <c r="AS16" i="9"/>
  <c r="AS245" i="9"/>
  <c r="AS213" i="9"/>
  <c r="AS165" i="9"/>
  <c r="AS128" i="9"/>
  <c r="AS84" i="9"/>
  <c r="AS47" i="9"/>
  <c r="AS23" i="9"/>
  <c r="AS267" i="9"/>
  <c r="AS252" i="9"/>
  <c r="AS236" i="9"/>
  <c r="AS220" i="9"/>
  <c r="AS204" i="9"/>
  <c r="AS188" i="9"/>
  <c r="AS172" i="9"/>
  <c r="AS156" i="9"/>
  <c r="AS140" i="9"/>
  <c r="AS123" i="9"/>
  <c r="AS107" i="9"/>
  <c r="AS91" i="9"/>
  <c r="AS74" i="9"/>
  <c r="AS58" i="9"/>
  <c r="AS42" i="9"/>
  <c r="AS10" i="9"/>
  <c r="AS239" i="9"/>
  <c r="AS211" i="9"/>
  <c r="AS191" i="9"/>
  <c r="AS167" i="9"/>
  <c r="AS143" i="9"/>
  <c r="AS122" i="9"/>
  <c r="AS98" i="9"/>
  <c r="AS78" i="9"/>
  <c r="AS53" i="9"/>
  <c r="AS68" i="9"/>
  <c r="AS241" i="9"/>
  <c r="AS120" i="9"/>
  <c r="AS34" i="9"/>
  <c r="AS258" i="9"/>
  <c r="AS227" i="9"/>
  <c r="AS175" i="9"/>
  <c r="AS118" i="9"/>
  <c r="AS61" i="9"/>
  <c r="AS39" i="9"/>
  <c r="AS264" i="9"/>
  <c r="AS229" i="9"/>
  <c r="AS193" i="9"/>
  <c r="AS161" i="9"/>
  <c r="AS124" i="9"/>
  <c r="AS88" i="9"/>
  <c r="AS51" i="9"/>
  <c r="AS261" i="9"/>
  <c r="AS198" i="9"/>
  <c r="AS150" i="9"/>
  <c r="AS101" i="9"/>
  <c r="AS233" i="9"/>
  <c r="AS116" i="9"/>
  <c r="AS263" i="9"/>
  <c r="AS232" i="9"/>
  <c r="AS168" i="9"/>
  <c r="AS119" i="9"/>
  <c r="AS54" i="9"/>
  <c r="AS207" i="9"/>
  <c r="AS183" i="9"/>
  <c r="AS94" i="9"/>
  <c r="AS205" i="9"/>
  <c r="AS251" i="9"/>
  <c r="AS102" i="9"/>
  <c r="AS217" i="9"/>
  <c r="AS112" i="9"/>
  <c r="H38" i="6"/>
  <c r="E2" i="19"/>
  <c r="F2" i="19"/>
  <c r="AH230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R19" i="16"/>
  <c r="S19" i="16"/>
  <c r="T19" i="16"/>
  <c r="U19" i="16"/>
  <c r="V19" i="16"/>
  <c r="AX472" i="7"/>
  <c r="AY472" i="7" s="1"/>
  <c r="AT40" i="9"/>
  <c r="AR40" i="9"/>
  <c r="AQ40" i="9"/>
  <c r="AX471" i="7"/>
  <c r="AY471" i="7" s="1"/>
  <c r="AS40" i="9"/>
  <c r="AX61" i="7"/>
  <c r="AY61" i="7" s="1"/>
  <c r="AX109" i="7"/>
  <c r="AY109" i="7" s="1"/>
  <c r="AI71" i="9"/>
  <c r="AH71" i="9"/>
  <c r="AI116" i="9"/>
  <c r="AH116" i="9"/>
  <c r="BA117" i="9"/>
  <c r="AP117" i="9" s="1"/>
  <c r="BA72" i="9"/>
  <c r="AP72" i="9" s="1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BA196" i="9"/>
  <c r="AP196" i="9" s="1"/>
  <c r="AH196" i="9"/>
  <c r="AI196" i="9"/>
  <c r="P40" i="5"/>
  <c r="AI108" i="9"/>
  <c r="AH108" i="9"/>
  <c r="BA108" i="9"/>
  <c r="AP108" i="9" s="1"/>
  <c r="BA29" i="9"/>
  <c r="AP29" i="9" s="1"/>
  <c r="BA30" i="9"/>
  <c r="AP30" i="9" s="1"/>
  <c r="AH29" i="9"/>
  <c r="AI29" i="9"/>
  <c r="D13" i="18"/>
  <c r="D8" i="18"/>
  <c r="D6" i="18"/>
  <c r="A7" i="8" a="1"/>
  <c r="A7" i="8" s="1"/>
  <c r="A8" i="8" a="1"/>
  <c r="A8" i="8" s="1"/>
  <c r="L8" i="8" s="1"/>
  <c r="A9" i="8" a="1"/>
  <c r="A9" i="8" s="1"/>
  <c r="G14" i="14"/>
  <c r="G22" i="14" s="1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D14" i="14"/>
  <c r="D22" i="14" s="1"/>
  <c r="BA252" i="9"/>
  <c r="AP252" i="9" s="1"/>
  <c r="BA251" i="9"/>
  <c r="AP251" i="9" s="1"/>
  <c r="BA250" i="9"/>
  <c r="AP250" i="9" s="1"/>
  <c r="BA249" i="9"/>
  <c r="AP249" i="9" s="1"/>
  <c r="BA248" i="9"/>
  <c r="AP248" i="9" s="1"/>
  <c r="BA247" i="9"/>
  <c r="AP247" i="9" s="1"/>
  <c r="BA246" i="9"/>
  <c r="AP246" i="9" s="1"/>
  <c r="BA245" i="9"/>
  <c r="AP245" i="9" s="1"/>
  <c r="BA244" i="9"/>
  <c r="AP244" i="9" s="1"/>
  <c r="BA243" i="9"/>
  <c r="AP243" i="9" s="1"/>
  <c r="BA242" i="9"/>
  <c r="AP242" i="9" s="1"/>
  <c r="BA241" i="9"/>
  <c r="AP241" i="9" s="1"/>
  <c r="BA240" i="9"/>
  <c r="AP240" i="9" s="1"/>
  <c r="BA239" i="9"/>
  <c r="AP239" i="9" s="1"/>
  <c r="BA238" i="9"/>
  <c r="AP238" i="9" s="1"/>
  <c r="BA237" i="9"/>
  <c r="AP237" i="9" s="1"/>
  <c r="BA236" i="9"/>
  <c r="AP236" i="9" s="1"/>
  <c r="BA235" i="9"/>
  <c r="AP235" i="9" s="1"/>
  <c r="BA234" i="9"/>
  <c r="AP234" i="9" s="1"/>
  <c r="BA233" i="9"/>
  <c r="AP233" i="9" s="1"/>
  <c r="BA232" i="9"/>
  <c r="AP232" i="9" s="1"/>
  <c r="BA231" i="9"/>
  <c r="AP231" i="9" s="1"/>
  <c r="BA230" i="9"/>
  <c r="AP230" i="9" s="1"/>
  <c r="BA229" i="9"/>
  <c r="AP229" i="9" s="1"/>
  <c r="BA228" i="9"/>
  <c r="AP228" i="9" s="1"/>
  <c r="BA227" i="9"/>
  <c r="AP227" i="9" s="1"/>
  <c r="BA226" i="9"/>
  <c r="AP226" i="9" s="1"/>
  <c r="BA225" i="9"/>
  <c r="AP225" i="9" s="1"/>
  <c r="BA224" i="9"/>
  <c r="AP224" i="9" s="1"/>
  <c r="BA223" i="9"/>
  <c r="AP223" i="9" s="1"/>
  <c r="BA222" i="9"/>
  <c r="AP222" i="9" s="1"/>
  <c r="BA221" i="9"/>
  <c r="AP221" i="9" s="1"/>
  <c r="BA220" i="9"/>
  <c r="AP220" i="9" s="1"/>
  <c r="BA219" i="9"/>
  <c r="AP219" i="9" s="1"/>
  <c r="BA218" i="9"/>
  <c r="AP218" i="9" s="1"/>
  <c r="BA217" i="9"/>
  <c r="AP217" i="9" s="1"/>
  <c r="BA216" i="9"/>
  <c r="AP216" i="9" s="1"/>
  <c r="BA215" i="9"/>
  <c r="AP215" i="9" s="1"/>
  <c r="BA214" i="9"/>
  <c r="AP214" i="9" s="1"/>
  <c r="BA213" i="9"/>
  <c r="AP213" i="9" s="1"/>
  <c r="BA212" i="9"/>
  <c r="AP212" i="9" s="1"/>
  <c r="BA211" i="9"/>
  <c r="AP211" i="9" s="1"/>
  <c r="BA210" i="9"/>
  <c r="AP210" i="9" s="1"/>
  <c r="BA209" i="9"/>
  <c r="AP209" i="9" s="1"/>
  <c r="BA208" i="9"/>
  <c r="AP208" i="9" s="1"/>
  <c r="BA207" i="9"/>
  <c r="AP207" i="9" s="1"/>
  <c r="BA206" i="9"/>
  <c r="AP206" i="9" s="1"/>
  <c r="BA205" i="9"/>
  <c r="AP205" i="9" s="1"/>
  <c r="BA204" i="9"/>
  <c r="AP204" i="9" s="1"/>
  <c r="BA203" i="9"/>
  <c r="AP203" i="9" s="1"/>
  <c r="BA202" i="9"/>
  <c r="AP202" i="9" s="1"/>
  <c r="BA201" i="9"/>
  <c r="AP201" i="9" s="1"/>
  <c r="BA200" i="9"/>
  <c r="AP200" i="9" s="1"/>
  <c r="BA199" i="9"/>
  <c r="AP199" i="9" s="1"/>
  <c r="BA198" i="9"/>
  <c r="AP198" i="9" s="1"/>
  <c r="BA197" i="9"/>
  <c r="AP197" i="9" s="1"/>
  <c r="BA195" i="9"/>
  <c r="AP195" i="9" s="1"/>
  <c r="BA194" i="9"/>
  <c r="AP194" i="9" s="1"/>
  <c r="BA193" i="9"/>
  <c r="AP193" i="9" s="1"/>
  <c r="BA192" i="9"/>
  <c r="AP192" i="9" s="1"/>
  <c r="BA191" i="9"/>
  <c r="AP191" i="9" s="1"/>
  <c r="BA190" i="9"/>
  <c r="AP190" i="9" s="1"/>
  <c r="BA189" i="9"/>
  <c r="AP189" i="9" s="1"/>
  <c r="BA188" i="9"/>
  <c r="AP188" i="9" s="1"/>
  <c r="BA187" i="9"/>
  <c r="AP187" i="9" s="1"/>
  <c r="BA186" i="9"/>
  <c r="AP186" i="9" s="1"/>
  <c r="BA185" i="9"/>
  <c r="AP185" i="9" s="1"/>
  <c r="BA184" i="9"/>
  <c r="AP184" i="9" s="1"/>
  <c r="BA183" i="9"/>
  <c r="AP183" i="9" s="1"/>
  <c r="BA182" i="9"/>
  <c r="AP182" i="9" s="1"/>
  <c r="BA181" i="9"/>
  <c r="AP181" i="9" s="1"/>
  <c r="BA180" i="9"/>
  <c r="AP180" i="9" s="1"/>
  <c r="BA179" i="9"/>
  <c r="AP179" i="9" s="1"/>
  <c r="BA178" i="9"/>
  <c r="AP178" i="9" s="1"/>
  <c r="BA177" i="9"/>
  <c r="AP177" i="9" s="1"/>
  <c r="BA176" i="9"/>
  <c r="AP176" i="9" s="1"/>
  <c r="BA175" i="9"/>
  <c r="AP175" i="9" s="1"/>
  <c r="BA174" i="9"/>
  <c r="AP174" i="9" s="1"/>
  <c r="BA173" i="9"/>
  <c r="AP173" i="9" s="1"/>
  <c r="BA172" i="9"/>
  <c r="AP172" i="9" s="1"/>
  <c r="BA171" i="9"/>
  <c r="AP171" i="9" s="1"/>
  <c r="BA170" i="9"/>
  <c r="AP170" i="9" s="1"/>
  <c r="BA169" i="9"/>
  <c r="AP169" i="9" s="1"/>
  <c r="BA168" i="9"/>
  <c r="AP168" i="9" s="1"/>
  <c r="BA167" i="9"/>
  <c r="AP167" i="9" s="1"/>
  <c r="BA166" i="9"/>
  <c r="AP166" i="9" s="1"/>
  <c r="BA165" i="9"/>
  <c r="AP165" i="9" s="1"/>
  <c r="BA164" i="9"/>
  <c r="AP164" i="9" s="1"/>
  <c r="BA163" i="9"/>
  <c r="AP163" i="9" s="1"/>
  <c r="BA162" i="9"/>
  <c r="AP162" i="9" s="1"/>
  <c r="BA161" i="9"/>
  <c r="AP161" i="9" s="1"/>
  <c r="BA160" i="9"/>
  <c r="AP160" i="9" s="1"/>
  <c r="BA159" i="9"/>
  <c r="AP159" i="9" s="1"/>
  <c r="BA158" i="9"/>
  <c r="AP158" i="9" s="1"/>
  <c r="BA157" i="9"/>
  <c r="AP157" i="9" s="1"/>
  <c r="BA156" i="9"/>
  <c r="AP156" i="9" s="1"/>
  <c r="BA155" i="9"/>
  <c r="AP155" i="9" s="1"/>
  <c r="BA154" i="9"/>
  <c r="AP154" i="9" s="1"/>
  <c r="BA153" i="9"/>
  <c r="AP153" i="9" s="1"/>
  <c r="BA152" i="9"/>
  <c r="AP152" i="9" s="1"/>
  <c r="BA151" i="9"/>
  <c r="AP151" i="9" s="1"/>
  <c r="BA150" i="9"/>
  <c r="AP150" i="9" s="1"/>
  <c r="BA149" i="9"/>
  <c r="AP149" i="9" s="1"/>
  <c r="BA148" i="9"/>
  <c r="AP148" i="9" s="1"/>
  <c r="BA147" i="9"/>
  <c r="AP147" i="9" s="1"/>
  <c r="BA146" i="9"/>
  <c r="AP146" i="9" s="1"/>
  <c r="BA145" i="9"/>
  <c r="AP145" i="9" s="1"/>
  <c r="BA144" i="9"/>
  <c r="AP144" i="9" s="1"/>
  <c r="BA143" i="9"/>
  <c r="AP143" i="9" s="1"/>
  <c r="BA142" i="9"/>
  <c r="AP142" i="9" s="1"/>
  <c r="BA141" i="9"/>
  <c r="AP141" i="9" s="1"/>
  <c r="BA140" i="9"/>
  <c r="AP140" i="9" s="1"/>
  <c r="BA139" i="9"/>
  <c r="AP139" i="9" s="1"/>
  <c r="BA138" i="9"/>
  <c r="AP138" i="9" s="1"/>
  <c r="BA137" i="9"/>
  <c r="AP137" i="9" s="1"/>
  <c r="BA136" i="9"/>
  <c r="AP136" i="9" s="1"/>
  <c r="BA133" i="9"/>
  <c r="AP133" i="9" s="1"/>
  <c r="BA132" i="9"/>
  <c r="AP132" i="9" s="1"/>
  <c r="BA131" i="9"/>
  <c r="AP131" i="9" s="1"/>
  <c r="BA130" i="9"/>
  <c r="AP130" i="9" s="1"/>
  <c r="BA129" i="9"/>
  <c r="AP129" i="9" s="1"/>
  <c r="BA128" i="9"/>
  <c r="AP128" i="9" s="1"/>
  <c r="BA127" i="9"/>
  <c r="AP127" i="9" s="1"/>
  <c r="BA126" i="9"/>
  <c r="AP126" i="9" s="1"/>
  <c r="BA125" i="9"/>
  <c r="AP125" i="9" s="1"/>
  <c r="BA124" i="9"/>
  <c r="AP124" i="9" s="1"/>
  <c r="BA123" i="9"/>
  <c r="AP123" i="9" s="1"/>
  <c r="BA122" i="9"/>
  <c r="AP122" i="9" s="1"/>
  <c r="BA121" i="9"/>
  <c r="AP121" i="9" s="1"/>
  <c r="BA120" i="9"/>
  <c r="AP120" i="9" s="1"/>
  <c r="BA119" i="9"/>
  <c r="AP119" i="9" s="1"/>
  <c r="BA118" i="9"/>
  <c r="AP118" i="9" s="1"/>
  <c r="BA116" i="9"/>
  <c r="AP116" i="9" s="1"/>
  <c r="BA115" i="9"/>
  <c r="AP115" i="9" s="1"/>
  <c r="BA114" i="9"/>
  <c r="AP114" i="9" s="1"/>
  <c r="BA113" i="9"/>
  <c r="AP113" i="9" s="1"/>
  <c r="BA112" i="9"/>
  <c r="AP112" i="9" s="1"/>
  <c r="BA111" i="9"/>
  <c r="AP111" i="9" s="1"/>
  <c r="BA110" i="9"/>
  <c r="AP110" i="9" s="1"/>
  <c r="BA109" i="9"/>
  <c r="AP109" i="9" s="1"/>
  <c r="BA107" i="9"/>
  <c r="AP107" i="9" s="1"/>
  <c r="BA106" i="9"/>
  <c r="AP106" i="9" s="1"/>
  <c r="BA105" i="9"/>
  <c r="AP105" i="9" s="1"/>
  <c r="BA104" i="9"/>
  <c r="AP104" i="9" s="1"/>
  <c r="BA103" i="9"/>
  <c r="AP103" i="9" s="1"/>
  <c r="BA102" i="9"/>
  <c r="AP102" i="9" s="1"/>
  <c r="BA101" i="9"/>
  <c r="AP101" i="9" s="1"/>
  <c r="BA100" i="9"/>
  <c r="AP100" i="9" s="1"/>
  <c r="BA99" i="9"/>
  <c r="AP99" i="9" s="1"/>
  <c r="BA98" i="9"/>
  <c r="AP98" i="9" s="1"/>
  <c r="BA97" i="9"/>
  <c r="AP97" i="9" s="1"/>
  <c r="BA96" i="9"/>
  <c r="AP96" i="9" s="1"/>
  <c r="BA95" i="9"/>
  <c r="AP95" i="9" s="1"/>
  <c r="BA94" i="9"/>
  <c r="AP94" i="9" s="1"/>
  <c r="BA93" i="9"/>
  <c r="AP93" i="9" s="1"/>
  <c r="BA92" i="9"/>
  <c r="AP92" i="9" s="1"/>
  <c r="BA91" i="9"/>
  <c r="AP91" i="9" s="1"/>
  <c r="BA90" i="9"/>
  <c r="AP90" i="9" s="1"/>
  <c r="BA89" i="9"/>
  <c r="AP89" i="9" s="1"/>
  <c r="BA88" i="9"/>
  <c r="AP88" i="9" s="1"/>
  <c r="BA87" i="9"/>
  <c r="AP87" i="9" s="1"/>
  <c r="BA86" i="9"/>
  <c r="AP86" i="9" s="1"/>
  <c r="BA85" i="9"/>
  <c r="AP85" i="9" s="1"/>
  <c r="BA84" i="9"/>
  <c r="AP84" i="9" s="1"/>
  <c r="BA83" i="9"/>
  <c r="AP83" i="9" s="1"/>
  <c r="BA82" i="9"/>
  <c r="AP82" i="9" s="1"/>
  <c r="BA81" i="9"/>
  <c r="AP81" i="9" s="1"/>
  <c r="BA80" i="9"/>
  <c r="AP80" i="9" s="1"/>
  <c r="BA79" i="9"/>
  <c r="AP79" i="9" s="1"/>
  <c r="AP78" i="9"/>
  <c r="AP77" i="9"/>
  <c r="BA75" i="9"/>
  <c r="AP75" i="9" s="1"/>
  <c r="BA74" i="9"/>
  <c r="AP74" i="9" s="1"/>
  <c r="BA73" i="9"/>
  <c r="AP73" i="9" s="1"/>
  <c r="BA71" i="9"/>
  <c r="AP71" i="9" s="1"/>
  <c r="BA70" i="9"/>
  <c r="AP70" i="9" s="1"/>
  <c r="BA69" i="9"/>
  <c r="AP69" i="9" s="1"/>
  <c r="BA68" i="9"/>
  <c r="AP68" i="9" s="1"/>
  <c r="BA67" i="9"/>
  <c r="AP67" i="9" s="1"/>
  <c r="BA66" i="9"/>
  <c r="AP66" i="9" s="1"/>
  <c r="BA65" i="9"/>
  <c r="AP65" i="9" s="1"/>
  <c r="BA64" i="9"/>
  <c r="AP64" i="9" s="1"/>
  <c r="BA63" i="9"/>
  <c r="AP63" i="9" s="1"/>
  <c r="BA62" i="9"/>
  <c r="AP62" i="9" s="1"/>
  <c r="BA61" i="9"/>
  <c r="AP61" i="9" s="1"/>
  <c r="BA60" i="9"/>
  <c r="AP60" i="9" s="1"/>
  <c r="BA59" i="9"/>
  <c r="AP59" i="9" s="1"/>
  <c r="BA58" i="9"/>
  <c r="AP58" i="9" s="1"/>
  <c r="BA57" i="9"/>
  <c r="AP57" i="9" s="1"/>
  <c r="BA56" i="9"/>
  <c r="AP56" i="9" s="1"/>
  <c r="BA55" i="9"/>
  <c r="AP55" i="9" s="1"/>
  <c r="BA54" i="9"/>
  <c r="AP54" i="9" s="1"/>
  <c r="BA53" i="9"/>
  <c r="AP53" i="9" s="1"/>
  <c r="BA52" i="9"/>
  <c r="AP52" i="9" s="1"/>
  <c r="BA51" i="9"/>
  <c r="AP51" i="9" s="1"/>
  <c r="BA50" i="9"/>
  <c r="AP50" i="9" s="1"/>
  <c r="BA49" i="9"/>
  <c r="AP49" i="9" s="1"/>
  <c r="BA48" i="9"/>
  <c r="AP48" i="9" s="1"/>
  <c r="BA47" i="9"/>
  <c r="AP47" i="9" s="1"/>
  <c r="BA46" i="9"/>
  <c r="AP46" i="9" s="1"/>
  <c r="BA45" i="9"/>
  <c r="AP45" i="9" s="1"/>
  <c r="BA44" i="9"/>
  <c r="AP44" i="9" s="1"/>
  <c r="BA43" i="9"/>
  <c r="AP43" i="9" s="1"/>
  <c r="BA42" i="9"/>
  <c r="AP42" i="9" s="1"/>
  <c r="BA41" i="9"/>
  <c r="AP41" i="9" s="1"/>
  <c r="AP40" i="9"/>
  <c r="BA37" i="9"/>
  <c r="AP37" i="9" s="1"/>
  <c r="BA36" i="9"/>
  <c r="AP36" i="9" s="1"/>
  <c r="BA35" i="9"/>
  <c r="AP35" i="9" s="1"/>
  <c r="BA34" i="9"/>
  <c r="AP34" i="9" s="1"/>
  <c r="BA33" i="9"/>
  <c r="AP33" i="9" s="1"/>
  <c r="BA32" i="9"/>
  <c r="AP32" i="9" s="1"/>
  <c r="BA31" i="9"/>
  <c r="AP31" i="9" s="1"/>
  <c r="BA28" i="9"/>
  <c r="AP28" i="9" s="1"/>
  <c r="BA27" i="9"/>
  <c r="AP27" i="9" s="1"/>
  <c r="BA26" i="9"/>
  <c r="AP26" i="9" s="1"/>
  <c r="BA25" i="9"/>
  <c r="AP25" i="9" s="1"/>
  <c r="BA24" i="9"/>
  <c r="AP24" i="9" s="1"/>
  <c r="BA23" i="9"/>
  <c r="AP23" i="9" s="1"/>
  <c r="BA22" i="9"/>
  <c r="AP22" i="9" s="1"/>
  <c r="BA21" i="9"/>
  <c r="AP21" i="9" s="1"/>
  <c r="BA20" i="9"/>
  <c r="AP20" i="9" s="1"/>
  <c r="BA19" i="9"/>
  <c r="AP19" i="9" s="1"/>
  <c r="BA18" i="9"/>
  <c r="AP18" i="9" s="1"/>
  <c r="BA17" i="9"/>
  <c r="AP17" i="9" s="1"/>
  <c r="BA16" i="9"/>
  <c r="AP16" i="9" s="1"/>
  <c r="BA15" i="9"/>
  <c r="AP15" i="9" s="1"/>
  <c r="BA14" i="9"/>
  <c r="AP14" i="9" s="1"/>
  <c r="BA13" i="9"/>
  <c r="AP13" i="9" s="1"/>
  <c r="BA12" i="9"/>
  <c r="AP12" i="9" s="1"/>
  <c r="BA11" i="9"/>
  <c r="AP11" i="9" s="1"/>
  <c r="BA10" i="9"/>
  <c r="AP10" i="9" s="1"/>
  <c r="BA9" i="9"/>
  <c r="AP9" i="9" s="1"/>
  <c r="BA8" i="9"/>
  <c r="AP8" i="9" s="1"/>
  <c r="AB266" i="9"/>
  <c r="AD266" i="9" s="1"/>
  <c r="AH266" i="9"/>
  <c r="AI266" i="9"/>
  <c r="AK266" i="9"/>
  <c r="AC266" i="9"/>
  <c r="AE266" i="9" s="1"/>
  <c r="AF266" i="9"/>
  <c r="AG266" i="9" s="1"/>
  <c r="AI240" i="9"/>
  <c r="AH240" i="9"/>
  <c r="AI238" i="9"/>
  <c r="AH238" i="9"/>
  <c r="AI50" i="9"/>
  <c r="AH50" i="9"/>
  <c r="AH232" i="9"/>
  <c r="AI232" i="9"/>
  <c r="AI21" i="9"/>
  <c r="AH21" i="9"/>
  <c r="AH30" i="9"/>
  <c r="AI30" i="9"/>
  <c r="A2" i="11" a="1"/>
  <c r="A2" i="11" s="1"/>
  <c r="O40" i="5"/>
  <c r="O52" i="5"/>
  <c r="O233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AH234" i="9"/>
  <c r="AI234" i="9"/>
  <c r="AI185" i="9"/>
  <c r="AH185" i="9"/>
  <c r="AI176" i="9"/>
  <c r="AH176" i="9"/>
  <c r="AI113" i="9"/>
  <c r="AH113" i="9"/>
  <c r="AI79" i="9"/>
  <c r="AH79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5" i="5"/>
  <c r="K155" i="5"/>
  <c r="AH122" i="9"/>
  <c r="AI122" i="9"/>
  <c r="A6" i="8" a="1"/>
  <c r="A6" i="8" s="1"/>
  <c r="B1" i="9"/>
  <c r="B2" i="9" s="1"/>
  <c r="C2" i="5" s="1"/>
  <c r="AH39" i="9"/>
  <c r="C40" i="5"/>
  <c r="B40" i="5"/>
  <c r="AI230" i="9"/>
  <c r="AI225" i="9"/>
  <c r="AH225" i="9"/>
  <c r="AI217" i="9"/>
  <c r="AH217" i="9"/>
  <c r="AI214" i="9"/>
  <c r="AH214" i="9"/>
  <c r="AI201" i="9"/>
  <c r="AH201" i="9"/>
  <c r="AI193" i="9"/>
  <c r="AH193" i="9"/>
  <c r="AI178" i="9"/>
  <c r="AH178" i="9"/>
  <c r="AI174" i="9"/>
  <c r="AH174" i="9"/>
  <c r="AI158" i="9"/>
  <c r="AH158" i="9"/>
  <c r="AI156" i="9"/>
  <c r="AH156" i="9"/>
  <c r="AI153" i="9"/>
  <c r="AH153" i="9"/>
  <c r="AI142" i="9"/>
  <c r="AH142" i="9"/>
  <c r="AI140" i="9"/>
  <c r="AH140" i="9"/>
  <c r="AI118" i="9"/>
  <c r="AH118" i="9"/>
  <c r="AI103" i="9"/>
  <c r="AH103" i="9"/>
  <c r="AI69" i="9"/>
  <c r="AH69" i="9"/>
  <c r="AI40" i="9"/>
  <c r="AH40" i="9"/>
  <c r="AH9" i="9"/>
  <c r="AI9" i="9"/>
  <c r="AH10" i="9"/>
  <c r="AI10" i="9"/>
  <c r="AH11" i="9"/>
  <c r="AI11" i="9"/>
  <c r="AH12" i="9"/>
  <c r="AI12" i="9"/>
  <c r="AH13" i="9"/>
  <c r="AI13" i="9"/>
  <c r="AH14" i="9"/>
  <c r="AI14" i="9"/>
  <c r="AH15" i="9"/>
  <c r="AI15" i="9"/>
  <c r="AH16" i="9"/>
  <c r="AI16" i="9"/>
  <c r="AI17" i="9"/>
  <c r="AH18" i="9"/>
  <c r="AI18" i="9"/>
  <c r="AH19" i="9"/>
  <c r="AI19" i="9"/>
  <c r="AH20" i="9"/>
  <c r="AI20" i="9"/>
  <c r="AH23" i="9"/>
  <c r="AI23" i="9"/>
  <c r="AH24" i="9"/>
  <c r="AI24" i="9"/>
  <c r="AH25" i="9"/>
  <c r="AI25" i="9"/>
  <c r="AH26" i="9"/>
  <c r="AI26" i="9"/>
  <c r="AH27" i="9"/>
  <c r="AI27" i="9"/>
  <c r="AH28" i="9"/>
  <c r="AI28" i="9"/>
  <c r="AH31" i="9"/>
  <c r="AI31" i="9"/>
  <c r="AH32" i="9"/>
  <c r="AI32" i="9"/>
  <c r="AH33" i="9"/>
  <c r="AI33" i="9"/>
  <c r="AH34" i="9"/>
  <c r="AI34" i="9"/>
  <c r="AH35" i="9"/>
  <c r="AI35" i="9"/>
  <c r="AI39" i="9"/>
  <c r="AH42" i="9"/>
  <c r="AI42" i="9"/>
  <c r="AH43" i="9"/>
  <c r="AI43" i="9"/>
  <c r="AH44" i="9"/>
  <c r="AI44" i="9"/>
  <c r="AH45" i="9"/>
  <c r="AI45" i="9"/>
  <c r="AH46" i="9"/>
  <c r="AI46" i="9"/>
  <c r="AH47" i="9"/>
  <c r="AI47" i="9"/>
  <c r="AH48" i="9"/>
  <c r="AI48" i="9"/>
  <c r="AH49" i="9"/>
  <c r="AI49" i="9"/>
  <c r="AH52" i="9"/>
  <c r="AI52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73" i="9"/>
  <c r="AI73" i="9"/>
  <c r="AH74" i="9"/>
  <c r="AI74" i="9"/>
  <c r="AH77" i="9"/>
  <c r="AI77" i="9"/>
  <c r="AH78" i="9"/>
  <c r="AI78" i="9"/>
  <c r="AH81" i="9"/>
  <c r="AI81" i="9"/>
  <c r="AH82" i="9"/>
  <c r="AI82" i="9"/>
  <c r="AI83" i="9"/>
  <c r="AJ83" i="9" s="1"/>
  <c r="AH84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5" i="9"/>
  <c r="AI105" i="9"/>
  <c r="AH106" i="9"/>
  <c r="AI106" i="9"/>
  <c r="AH107" i="9"/>
  <c r="AI107" i="9"/>
  <c r="AH110" i="9"/>
  <c r="AI110" i="9"/>
  <c r="AH111" i="9"/>
  <c r="AI111" i="9"/>
  <c r="AH112" i="9"/>
  <c r="AI112" i="9"/>
  <c r="AH115" i="9"/>
  <c r="AI115" i="9"/>
  <c r="AH120" i="9"/>
  <c r="AI120" i="9"/>
  <c r="AH121" i="9"/>
  <c r="AI121" i="9"/>
  <c r="AH123" i="9"/>
  <c r="AI123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5" i="9"/>
  <c r="AI135" i="9"/>
  <c r="AH136" i="9"/>
  <c r="AI136" i="9"/>
  <c r="AH137" i="9"/>
  <c r="AI137" i="9"/>
  <c r="AH138" i="9"/>
  <c r="AI138" i="9"/>
  <c r="AI139" i="9"/>
  <c r="AH144" i="9"/>
  <c r="AI144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60" i="9"/>
  <c r="AI160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2" i="9"/>
  <c r="AI172" i="9"/>
  <c r="AH173" i="9"/>
  <c r="AI173" i="9"/>
  <c r="AH182" i="9"/>
  <c r="AI182" i="9"/>
  <c r="AH183" i="9"/>
  <c r="AI183" i="9"/>
  <c r="AH184" i="9"/>
  <c r="AI184" i="9"/>
  <c r="AH187" i="9"/>
  <c r="AI187" i="9"/>
  <c r="AH188" i="9"/>
  <c r="AI188" i="9"/>
  <c r="AH189" i="9"/>
  <c r="AI189" i="9"/>
  <c r="AH190" i="9"/>
  <c r="AI190" i="9"/>
  <c r="AH191" i="9"/>
  <c r="AI191" i="9"/>
  <c r="AH192" i="9"/>
  <c r="AI192" i="9"/>
  <c r="AH195" i="9"/>
  <c r="AI195" i="9"/>
  <c r="AH197" i="9"/>
  <c r="AI197" i="9"/>
  <c r="AH198" i="9"/>
  <c r="AI198" i="9"/>
  <c r="AH199" i="9"/>
  <c r="AI199" i="9"/>
  <c r="AH200" i="9"/>
  <c r="AI200" i="9"/>
  <c r="AH203" i="9"/>
  <c r="AI203" i="9"/>
  <c r="AH204" i="9"/>
  <c r="AI204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21" i="9"/>
  <c r="AI221" i="9"/>
  <c r="AH222" i="9"/>
  <c r="AI222" i="9"/>
  <c r="AH223" i="9"/>
  <c r="AI223" i="9"/>
  <c r="AH224" i="9"/>
  <c r="AI224" i="9"/>
  <c r="AH229" i="9"/>
  <c r="AI229" i="9"/>
  <c r="AH233" i="9"/>
  <c r="AI233" i="9"/>
  <c r="AH235" i="9"/>
  <c r="AI235" i="9"/>
  <c r="AH236" i="9"/>
  <c r="AI236" i="9"/>
  <c r="AH237" i="9"/>
  <c r="AI237" i="9"/>
  <c r="AH242" i="9"/>
  <c r="AI242" i="9"/>
  <c r="AH243" i="9"/>
  <c r="AI243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I8" i="9"/>
  <c r="AH8" i="9"/>
  <c r="AK256" i="9"/>
  <c r="AB258" i="9"/>
  <c r="AD258" i="9" s="1"/>
  <c r="AK262" i="9"/>
  <c r="AK264" i="9"/>
  <c r="AK258" i="9"/>
  <c r="AC261" i="9"/>
  <c r="AE261" i="9" s="1"/>
  <c r="AF256" i="9"/>
  <c r="AG256" i="9" s="1"/>
  <c r="AB256" i="9"/>
  <c r="AD256" i="9" s="1"/>
  <c r="AC256" i="9"/>
  <c r="AE256" i="9" s="1"/>
  <c r="AF264" i="9"/>
  <c r="AG264" i="9" s="1"/>
  <c r="AB264" i="9"/>
  <c r="AD264" i="9" s="1"/>
  <c r="AC264" i="9"/>
  <c r="AE264" i="9" s="1"/>
  <c r="AB257" i="9"/>
  <c r="AD257" i="9" s="1"/>
  <c r="AC258" i="9"/>
  <c r="AE258" i="9" s="1"/>
  <c r="AF258" i="9"/>
  <c r="AG258" i="9" s="1"/>
  <c r="AC254" i="9"/>
  <c r="AE254" i="9" s="1"/>
  <c r="AC255" i="9"/>
  <c r="AE255" i="9" s="1"/>
  <c r="C224" i="10"/>
  <c r="N215" i="5"/>
  <c r="M215" i="5"/>
  <c r="N40" i="5"/>
  <c r="N52" i="5"/>
  <c r="N123" i="5"/>
  <c r="N185" i="5"/>
  <c r="N233" i="5"/>
  <c r="M40" i="5"/>
  <c r="M52" i="5"/>
  <c r="M123" i="5"/>
  <c r="M185" i="5"/>
  <c r="M233" i="5"/>
  <c r="C255" i="10"/>
  <c r="AJ255" i="9" l="1"/>
  <c r="AF38" i="9"/>
  <c r="J38" i="5" s="1"/>
  <c r="AC38" i="9"/>
  <c r="AE38" i="9" s="1"/>
  <c r="AJ36" i="9"/>
  <c r="D253" i="10"/>
  <c r="AJ17" i="9"/>
  <c r="AJ265" i="9"/>
  <c r="AJ230" i="9"/>
  <c r="D36" i="10"/>
  <c r="D27" i="10"/>
  <c r="AJ139" i="9"/>
  <c r="D224" i="10"/>
  <c r="D254" i="10"/>
  <c r="AJ33" i="9"/>
  <c r="D23" i="14"/>
  <c r="F46" i="14" s="1"/>
  <c r="G17" i="14"/>
  <c r="D17" i="14"/>
  <c r="AK261" i="9"/>
  <c r="AB260" i="9"/>
  <c r="AD260" i="9" s="1"/>
  <c r="AJ123" i="9"/>
  <c r="AJ112" i="9"/>
  <c r="AJ176" i="9"/>
  <c r="AJ262" i="9"/>
  <c r="AL262" i="9" s="1"/>
  <c r="AM262" i="9" s="1"/>
  <c r="AJ254" i="9"/>
  <c r="AL254" i="9" s="1"/>
  <c r="AM254" i="9" s="1"/>
  <c r="AJ43" i="9"/>
  <c r="AJ131" i="9"/>
  <c r="AJ134" i="9"/>
  <c r="AJ261" i="9"/>
  <c r="AJ264" i="9"/>
  <c r="AL264" i="9" s="1"/>
  <c r="AM264" i="9" s="1"/>
  <c r="AJ253" i="9"/>
  <c r="AJ266" i="9"/>
  <c r="AL266" i="9" s="1"/>
  <c r="AM266" i="9" s="1"/>
  <c r="AJ257" i="9"/>
  <c r="AJ260" i="9"/>
  <c r="AL260" i="9" s="1"/>
  <c r="AM260" i="9" s="1"/>
  <c r="D232" i="10"/>
  <c r="D255" i="10"/>
  <c r="AJ259" i="9"/>
  <c r="AJ258" i="9"/>
  <c r="AL258" i="9" s="1"/>
  <c r="AM258" i="9" s="1"/>
  <c r="AJ108" i="9"/>
  <c r="AJ256" i="9"/>
  <c r="AL256" i="9" s="1"/>
  <c r="AM256" i="9" s="1"/>
  <c r="AJ92" i="9"/>
  <c r="AJ40" i="9"/>
  <c r="D14" i="18"/>
  <c r="E29" i="18" s="1"/>
  <c r="AJ263" i="9"/>
  <c r="AJ44" i="9"/>
  <c r="AJ233" i="9"/>
  <c r="AJ222" i="9"/>
  <c r="AJ203" i="9"/>
  <c r="AJ145" i="9"/>
  <c r="AJ73" i="9"/>
  <c r="AJ57" i="9"/>
  <c r="AJ47" i="9"/>
  <c r="AJ13" i="9"/>
  <c r="AJ9" i="9"/>
  <c r="AJ118" i="9"/>
  <c r="AJ156" i="9"/>
  <c r="AJ193" i="9"/>
  <c r="AJ225" i="9"/>
  <c r="AJ96" i="9"/>
  <c r="G18" i="14"/>
  <c r="G23" i="14"/>
  <c r="F48" i="14" s="1"/>
  <c r="G15" i="14"/>
  <c r="D18" i="14"/>
  <c r="D15" i="14"/>
  <c r="L7" i="8"/>
  <c r="Q7" i="8"/>
  <c r="AJ200" i="9"/>
  <c r="AJ42" i="9"/>
  <c r="AJ232" i="9"/>
  <c r="AJ133" i="9"/>
  <c r="AJ120" i="9"/>
  <c r="AJ98" i="9"/>
  <c r="AJ90" i="9"/>
  <c r="AJ86" i="9"/>
  <c r="AJ35" i="9"/>
  <c r="AJ25" i="9"/>
  <c r="AJ116" i="9"/>
  <c r="AJ190" i="9"/>
  <c r="J6" i="8"/>
  <c r="AJ197" i="9"/>
  <c r="AJ172" i="9"/>
  <c r="AJ160" i="9"/>
  <c r="AJ210" i="9"/>
  <c r="AJ195" i="9"/>
  <c r="AJ12" i="9"/>
  <c r="AJ158" i="9"/>
  <c r="AJ185" i="9"/>
  <c r="AJ111" i="9"/>
  <c r="AJ252" i="9"/>
  <c r="AJ224" i="9"/>
  <c r="AJ205" i="9"/>
  <c r="AJ199" i="9"/>
  <c r="AJ182" i="9"/>
  <c r="AJ170" i="9"/>
  <c r="AJ162" i="9"/>
  <c r="AJ151" i="9"/>
  <c r="AJ82" i="9"/>
  <c r="AJ67" i="9"/>
  <c r="AJ63" i="9"/>
  <c r="AJ49" i="9"/>
  <c r="AJ11" i="9"/>
  <c r="P7" i="8"/>
  <c r="AJ223" i="9"/>
  <c r="AJ125" i="9"/>
  <c r="AJ102" i="9"/>
  <c r="AJ31" i="9"/>
  <c r="AJ113" i="9"/>
  <c r="AJ240" i="9"/>
  <c r="AJ128" i="9"/>
  <c r="AJ97" i="9"/>
  <c r="AJ85" i="9"/>
  <c r="AJ28" i="9"/>
  <c r="AJ18" i="9"/>
  <c r="AJ71" i="9"/>
  <c r="AJ124" i="9"/>
  <c r="AJ138" i="9"/>
  <c r="AJ94" i="9"/>
  <c r="AJ129" i="9"/>
  <c r="AJ19" i="9"/>
  <c r="AJ54" i="9"/>
  <c r="J8" i="8"/>
  <c r="AJ136" i="9"/>
  <c r="AJ127" i="9"/>
  <c r="AJ106" i="9"/>
  <c r="AJ122" i="9"/>
  <c r="AJ50" i="9"/>
  <c r="P9" i="8"/>
  <c r="AJ245" i="9"/>
  <c r="AJ221" i="9"/>
  <c r="AJ144" i="9"/>
  <c r="AJ77" i="9"/>
  <c r="AJ56" i="9"/>
  <c r="AJ16" i="9"/>
  <c r="AJ213" i="9"/>
  <c r="AJ209" i="9"/>
  <c r="AJ69" i="9"/>
  <c r="AJ142" i="9"/>
  <c r="AJ192" i="9"/>
  <c r="AJ166" i="9"/>
  <c r="AJ75" i="9"/>
  <c r="AJ59" i="9"/>
  <c r="AJ214" i="9"/>
  <c r="AJ79" i="9"/>
  <c r="K9" i="8"/>
  <c r="AJ110" i="9"/>
  <c r="AJ29" i="9"/>
  <c r="AJ8" i="9"/>
  <c r="AJ251" i="9"/>
  <c r="AJ243" i="9"/>
  <c r="AJ212" i="9"/>
  <c r="AJ204" i="9"/>
  <c r="AJ187" i="9"/>
  <c r="AJ169" i="9"/>
  <c r="AJ150" i="9"/>
  <c r="AJ66" i="9"/>
  <c r="AJ48" i="9"/>
  <c r="AJ14" i="9"/>
  <c r="AJ244" i="9"/>
  <c r="AJ45" i="9"/>
  <c r="J9" i="8"/>
  <c r="AJ247" i="9"/>
  <c r="AJ235" i="9"/>
  <c r="AJ208" i="9"/>
  <c r="AJ198" i="9"/>
  <c r="AJ191" i="9"/>
  <c r="AJ173" i="9"/>
  <c r="AJ165" i="9"/>
  <c r="AJ161" i="9"/>
  <c r="AJ146" i="9"/>
  <c r="AJ81" i="9"/>
  <c r="AJ74" i="9"/>
  <c r="AJ62" i="9"/>
  <c r="AJ58" i="9"/>
  <c r="AJ10" i="9"/>
  <c r="AJ103" i="9"/>
  <c r="AJ153" i="9"/>
  <c r="AJ178" i="9"/>
  <c r="AJ196" i="9"/>
  <c r="Q8" i="8"/>
  <c r="AJ137" i="9"/>
  <c r="AJ132" i="9"/>
  <c r="AJ107" i="9"/>
  <c r="AJ101" i="9"/>
  <c r="AJ89" i="9"/>
  <c r="P8" i="8"/>
  <c r="AJ242" i="9"/>
  <c r="AJ211" i="9"/>
  <c r="AJ164" i="9"/>
  <c r="AJ88" i="9"/>
  <c r="AJ30" i="9"/>
  <c r="AJ236" i="9"/>
  <c r="AJ147" i="9"/>
  <c r="AJ55" i="9"/>
  <c r="AJ39" i="9"/>
  <c r="E19" i="18"/>
  <c r="E20" i="18" s="1"/>
  <c r="AJ248" i="9"/>
  <c r="AJ188" i="9"/>
  <c r="AJ15" i="9"/>
  <c r="AJ174" i="9"/>
  <c r="AJ234" i="9"/>
  <c r="O8" i="8"/>
  <c r="Q9" i="8"/>
  <c r="AJ249" i="9"/>
  <c r="AJ237" i="9"/>
  <c r="AJ229" i="9"/>
  <c r="AJ206" i="9"/>
  <c r="AJ189" i="9"/>
  <c r="AJ183" i="9"/>
  <c r="AJ171" i="9"/>
  <c r="AJ167" i="9"/>
  <c r="AJ163" i="9"/>
  <c r="AJ152" i="9"/>
  <c r="AJ148" i="9"/>
  <c r="AJ135" i="9"/>
  <c r="AJ130" i="9"/>
  <c r="AJ126" i="9"/>
  <c r="AJ121" i="9"/>
  <c r="AJ105" i="9"/>
  <c r="AJ99" i="9"/>
  <c r="AJ95" i="9"/>
  <c r="AJ91" i="9"/>
  <c r="AJ87" i="9"/>
  <c r="AJ68" i="9"/>
  <c r="AJ64" i="9"/>
  <c r="AJ60" i="9"/>
  <c r="AJ52" i="9"/>
  <c r="AJ46" i="9"/>
  <c r="AJ32" i="9"/>
  <c r="AJ26" i="9"/>
  <c r="AJ20" i="9"/>
  <c r="AJ140" i="9"/>
  <c r="AJ201" i="9"/>
  <c r="AJ21" i="9"/>
  <c r="L6" i="8"/>
  <c r="K7" i="8"/>
  <c r="K6" i="8"/>
  <c r="J7" i="8"/>
  <c r="O9" i="8"/>
  <c r="AJ238" i="9"/>
  <c r="AJ217" i="9"/>
  <c r="Q6" i="8"/>
  <c r="AJ115" i="9"/>
  <c r="AJ93" i="9"/>
  <c r="AJ34" i="9"/>
  <c r="AJ24" i="9"/>
  <c r="L9" i="8"/>
  <c r="P6" i="8"/>
  <c r="AJ250" i="9"/>
  <c r="AJ207" i="9"/>
  <c r="AJ168" i="9"/>
  <c r="AJ149" i="9"/>
  <c r="AJ61" i="9"/>
  <c r="O7" i="8"/>
  <c r="I9" i="8"/>
  <c r="AJ246" i="9"/>
  <c r="AJ184" i="9"/>
  <c r="AJ78" i="9"/>
  <c r="AJ65" i="9"/>
  <c r="AJ53" i="9"/>
  <c r="K8" i="8"/>
  <c r="H9" i="8"/>
  <c r="O6" i="8"/>
  <c r="AF254" i="9"/>
  <c r="AG254" i="9" s="1"/>
  <c r="AJ100" i="9"/>
  <c r="AJ84" i="9"/>
  <c r="AJ27" i="9"/>
  <c r="AJ23" i="9"/>
  <c r="AB261" i="9"/>
  <c r="AD261" i="9" s="1"/>
  <c r="AF262" i="9"/>
  <c r="AG262" i="9" s="1"/>
  <c r="AC262" i="9"/>
  <c r="AE262" i="9" s="1"/>
  <c r="AB254" i="9"/>
  <c r="AD254" i="9" s="1"/>
  <c r="AC263" i="9"/>
  <c r="AE263" i="9" s="1"/>
  <c r="AF263" i="9"/>
  <c r="AG263" i="9" s="1"/>
  <c r="AB255" i="9"/>
  <c r="AD255" i="9" s="1"/>
  <c r="AK263" i="9"/>
  <c r="AK255" i="9"/>
  <c r="AL255" i="9" s="1"/>
  <c r="AM255" i="9" s="1"/>
  <c r="AF260" i="9"/>
  <c r="AG260" i="9" s="1"/>
  <c r="AC260" i="9"/>
  <c r="AE260" i="9" s="1"/>
  <c r="AK257" i="9"/>
  <c r="AB265" i="9"/>
  <c r="AD265" i="9" s="1"/>
  <c r="AF265" i="9"/>
  <c r="AG265" i="9" s="1"/>
  <c r="AC257" i="9"/>
  <c r="AE257" i="9" s="1"/>
  <c r="AC259" i="9"/>
  <c r="AE259" i="9" s="1"/>
  <c r="AK265" i="9"/>
  <c r="AK259" i="9"/>
  <c r="AB259" i="9"/>
  <c r="AD259" i="9" s="1"/>
  <c r="A44" i="8" a="1"/>
  <c r="A44" i="8" s="1"/>
  <c r="K44" i="8" s="1"/>
  <c r="F38" i="5"/>
  <c r="AD38" i="9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H38" i="5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G38" i="9" l="1"/>
  <c r="I38" i="5" s="1"/>
  <c r="AL259" i="9"/>
  <c r="AM259" i="9" s="1"/>
  <c r="AL265" i="9"/>
  <c r="AM265" i="9" s="1"/>
  <c r="AL257" i="9"/>
  <c r="AM257" i="9" s="1"/>
  <c r="AL261" i="9"/>
  <c r="AM261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3" i="9"/>
  <c r="AM263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G38" i="5"/>
  <c r="E38" i="5"/>
  <c r="C38" i="10"/>
  <c r="D38" i="10" s="1"/>
  <c r="AV46" i="6"/>
  <c r="G46" i="6" s="1"/>
  <c r="R46" i="5" s="1"/>
  <c r="AA46" i="9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AZ389" i="7" s="1"/>
  <c r="BA389" i="7" s="1"/>
  <c r="P389" i="7" s="1"/>
  <c r="BB389" i="7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D44" i="8"/>
  <c r="H44" i="8"/>
  <c r="U44" i="8" s="1"/>
  <c r="G43" i="8"/>
  <c r="V43" i="8" s="1"/>
  <c r="H43" i="8"/>
  <c r="U43" i="8" s="1"/>
  <c r="B17" i="8"/>
  <c r="O17" i="8" s="1"/>
  <c r="Q25" i="8"/>
  <c r="AZ447" i="7"/>
  <c r="BA447" i="7" s="1"/>
  <c r="P447" i="7" s="1"/>
  <c r="AZ4" i="7"/>
  <c r="BA4" i="7" s="1"/>
  <c r="P4" i="7" s="1"/>
  <c r="Q26" i="8"/>
  <c r="B26" i="8"/>
  <c r="O26" i="8" s="1"/>
  <c r="AZ436" i="7" s="1"/>
  <c r="BA436" i="7" s="1"/>
  <c r="P436" i="7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AZ449" i="7"/>
  <c r="BA449" i="7" s="1"/>
  <c r="P449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7" i="6"/>
  <c r="G117" i="6" s="1"/>
  <c r="R117" i="5" s="1"/>
  <c r="AA117" i="9" s="1"/>
  <c r="AZ11" i="7"/>
  <c r="BA11" i="7" s="1"/>
  <c r="P11" i="7" s="1"/>
  <c r="AV107" i="6"/>
  <c r="G107" i="6" s="1"/>
  <c r="R107" i="5" s="1"/>
  <c r="AA107" i="9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4" i="6"/>
  <c r="G134" i="6" s="1"/>
  <c r="R134" i="5" s="1"/>
  <c r="AA134" i="9" s="1"/>
  <c r="AV196" i="6"/>
  <c r="G196" i="6" s="1"/>
  <c r="R196" i="5" s="1"/>
  <c r="AA196" i="9" s="1"/>
  <c r="AV108" i="6"/>
  <c r="G108" i="6" s="1"/>
  <c r="R108" i="5" s="1"/>
  <c r="AA108" i="9" s="1"/>
  <c r="AV30" i="6"/>
  <c r="G30" i="6" s="1"/>
  <c r="R30" i="5" s="1"/>
  <c r="AA30" i="9" s="1"/>
  <c r="AV22" i="6"/>
  <c r="G22" i="6" s="1"/>
  <c r="R22" i="5" s="1"/>
  <c r="AA22" i="9" s="1"/>
  <c r="AV26" i="6"/>
  <c r="G26" i="6" s="1"/>
  <c r="R26" i="5" s="1"/>
  <c r="AA26" i="9" s="1"/>
  <c r="AV28" i="6"/>
  <c r="G28" i="6" s="1"/>
  <c r="R28" i="5" s="1"/>
  <c r="AA28" i="9" s="1"/>
  <c r="AV125" i="6"/>
  <c r="G125" i="6" s="1"/>
  <c r="R125" i="5" s="1"/>
  <c r="AA125" i="9" s="1"/>
  <c r="AV158" i="6"/>
  <c r="G158" i="6" s="1"/>
  <c r="R158" i="5" s="1"/>
  <c r="AA158" i="9" s="1"/>
  <c r="AV190" i="6"/>
  <c r="G190" i="6" s="1"/>
  <c r="R190" i="5" s="1"/>
  <c r="AA190" i="9" s="1"/>
  <c r="AV223" i="6"/>
  <c r="G223" i="6" s="1"/>
  <c r="R223" i="5" s="1"/>
  <c r="AA223" i="9" s="1"/>
  <c r="AV45" i="6"/>
  <c r="G45" i="6" s="1"/>
  <c r="R45" i="5" s="1"/>
  <c r="AA45" i="9" s="1"/>
  <c r="AV167" i="6"/>
  <c r="G167" i="6" s="1"/>
  <c r="R167" i="5" s="1"/>
  <c r="AA167" i="9" s="1"/>
  <c r="AV216" i="6"/>
  <c r="G216" i="6" s="1"/>
  <c r="R216" i="5" s="1"/>
  <c r="AA216" i="9" s="1"/>
  <c r="AV98" i="6"/>
  <c r="G98" i="6" s="1"/>
  <c r="R98" i="5" s="1"/>
  <c r="AA98" i="9" s="1"/>
  <c r="AV131" i="6"/>
  <c r="G131" i="6" s="1"/>
  <c r="R131" i="5" s="1"/>
  <c r="AA131" i="9" s="1"/>
  <c r="AV164" i="6"/>
  <c r="G164" i="6" s="1"/>
  <c r="R164" i="5" s="1"/>
  <c r="AA164" i="9" s="1"/>
  <c r="AV197" i="6"/>
  <c r="G197" i="6" s="1"/>
  <c r="R197" i="5" s="1"/>
  <c r="AA197" i="9" s="1"/>
  <c r="AV229" i="6"/>
  <c r="G229" i="6" s="1"/>
  <c r="R229" i="5" s="1"/>
  <c r="AA229" i="9" s="1"/>
  <c r="AV17" i="6"/>
  <c r="G17" i="6" s="1"/>
  <c r="R17" i="5" s="1"/>
  <c r="AA17" i="9" s="1"/>
  <c r="AV82" i="6"/>
  <c r="G82" i="6" s="1"/>
  <c r="R82" i="5" s="1"/>
  <c r="AA82" i="9" s="1"/>
  <c r="AV79" i="6"/>
  <c r="G79" i="6" s="1"/>
  <c r="R79" i="5" s="1"/>
  <c r="AA79" i="9" s="1"/>
  <c r="AV49" i="6"/>
  <c r="G49" i="6" s="1"/>
  <c r="R49" i="5" s="1"/>
  <c r="AA49" i="9" s="1"/>
  <c r="AV122" i="6"/>
  <c r="G122" i="6" s="1"/>
  <c r="R122" i="5" s="1"/>
  <c r="AA122" i="9" s="1"/>
  <c r="AV155" i="6"/>
  <c r="G155" i="6" s="1"/>
  <c r="R155" i="5" s="1"/>
  <c r="AA155" i="9" s="1"/>
  <c r="AV187" i="6"/>
  <c r="G187" i="6" s="1"/>
  <c r="R187" i="5" s="1"/>
  <c r="AA187" i="9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5" i="6"/>
  <c r="G135" i="6" s="1"/>
  <c r="R135" i="5" s="1"/>
  <c r="AA135" i="9" s="1"/>
  <c r="AV149" i="6"/>
  <c r="G149" i="6" s="1"/>
  <c r="R149" i="5" s="1"/>
  <c r="AA149" i="9" s="1"/>
  <c r="AV66" i="6"/>
  <c r="G66" i="6" s="1"/>
  <c r="R66" i="5" s="1"/>
  <c r="AA66" i="9" s="1"/>
  <c r="AV81" i="6"/>
  <c r="G81" i="6" s="1"/>
  <c r="R81" i="5" s="1"/>
  <c r="AA81" i="9" s="1"/>
  <c r="AV112" i="6"/>
  <c r="G112" i="6" s="1"/>
  <c r="R112" i="5" s="1"/>
  <c r="AA112" i="9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2" i="6"/>
  <c r="G72" i="6" s="1"/>
  <c r="R72" i="5" s="1"/>
  <c r="AA72" i="9" s="1"/>
  <c r="AV55" i="6"/>
  <c r="G55" i="6" s="1"/>
  <c r="R55" i="5" s="1"/>
  <c r="AA55" i="9" s="1"/>
  <c r="AV84" i="6"/>
  <c r="G84" i="6" s="1"/>
  <c r="R84" i="5" s="1"/>
  <c r="AA84" i="9" s="1"/>
  <c r="AV97" i="6"/>
  <c r="G97" i="6" s="1"/>
  <c r="R97" i="5" s="1"/>
  <c r="AA97" i="9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09" i="6"/>
  <c r="G109" i="6" s="1"/>
  <c r="R109" i="5" s="1"/>
  <c r="AA109" i="9" s="1"/>
  <c r="AV29" i="6"/>
  <c r="G29" i="6" s="1"/>
  <c r="R29" i="5" s="1"/>
  <c r="AA29" i="9" s="1"/>
  <c r="AV239" i="6"/>
  <c r="G239" i="6" s="1"/>
  <c r="R239" i="5" s="1"/>
  <c r="AA239" i="9" s="1"/>
  <c r="AV24" i="6"/>
  <c r="G24" i="6" s="1"/>
  <c r="R24" i="5" s="1"/>
  <c r="AA24" i="9" s="1"/>
  <c r="AV23" i="6"/>
  <c r="G23" i="6" s="1"/>
  <c r="R23" i="5" s="1"/>
  <c r="AA23" i="9" s="1"/>
  <c r="AV31" i="6"/>
  <c r="G31" i="6" s="1"/>
  <c r="R31" i="5" s="1"/>
  <c r="AA31" i="9" s="1"/>
  <c r="AV57" i="6"/>
  <c r="G57" i="6" s="1"/>
  <c r="R57" i="5" s="1"/>
  <c r="AA57" i="9" s="1"/>
  <c r="AV142" i="6"/>
  <c r="G142" i="6" s="1"/>
  <c r="R142" i="5" s="1"/>
  <c r="AA142" i="9" s="1"/>
  <c r="AV174" i="6"/>
  <c r="G174" i="6" s="1"/>
  <c r="R174" i="5" s="1"/>
  <c r="AA174" i="9" s="1"/>
  <c r="AV207" i="6"/>
  <c r="G207" i="6" s="1"/>
  <c r="R207" i="5" s="1"/>
  <c r="AA207" i="9" s="1"/>
  <c r="AV11" i="6"/>
  <c r="G11" i="6" s="1"/>
  <c r="R11" i="5" s="1"/>
  <c r="AA11" i="9" s="1"/>
  <c r="AV100" i="6"/>
  <c r="G100" i="6" s="1"/>
  <c r="R100" i="5" s="1"/>
  <c r="AA100" i="9" s="1"/>
  <c r="AV151" i="6"/>
  <c r="G151" i="6" s="1"/>
  <c r="R151" i="5" s="1"/>
  <c r="AA151" i="9" s="1"/>
  <c r="AV200" i="6"/>
  <c r="G200" i="6" s="1"/>
  <c r="R200" i="5" s="1"/>
  <c r="AA200" i="9" s="1"/>
  <c r="AV114" i="6"/>
  <c r="G114" i="6" s="1"/>
  <c r="R114" i="5" s="1"/>
  <c r="AA114" i="9" s="1"/>
  <c r="AV148" i="6"/>
  <c r="G148" i="6" s="1"/>
  <c r="R148" i="5" s="1"/>
  <c r="AA148" i="9" s="1"/>
  <c r="AV180" i="6"/>
  <c r="G180" i="6" s="1"/>
  <c r="R180" i="5" s="1"/>
  <c r="AA180" i="9" s="1"/>
  <c r="AV213" i="6"/>
  <c r="G213" i="6" s="1"/>
  <c r="R213" i="5" s="1"/>
  <c r="AA213" i="9" s="1"/>
  <c r="AV246" i="6"/>
  <c r="G246" i="6" s="1"/>
  <c r="R246" i="5" s="1"/>
  <c r="AA246" i="9" s="1"/>
  <c r="AV52" i="6"/>
  <c r="G52" i="6" s="1"/>
  <c r="R52" i="5" s="1"/>
  <c r="AA52" i="9" s="1"/>
  <c r="AV106" i="6"/>
  <c r="G106" i="6" s="1"/>
  <c r="R106" i="5" s="1"/>
  <c r="AA106" i="9" s="1"/>
  <c r="AV139" i="6"/>
  <c r="G139" i="6" s="1"/>
  <c r="R139" i="5" s="1"/>
  <c r="AA139" i="9" s="1"/>
  <c r="AV171" i="6"/>
  <c r="G171" i="6" s="1"/>
  <c r="R171" i="5" s="1"/>
  <c r="AA171" i="9" s="1"/>
  <c r="AV56" i="6"/>
  <c r="G56" i="6" s="1"/>
  <c r="R56" i="5" s="1"/>
  <c r="AA56" i="9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7" i="6"/>
  <c r="G27" i="6" s="1"/>
  <c r="R27" i="5" s="1"/>
  <c r="AA27" i="9" s="1"/>
  <c r="AV32" i="6"/>
  <c r="G32" i="6" s="1"/>
  <c r="R32" i="5" s="1"/>
  <c r="AA32" i="9" s="1"/>
  <c r="AV74" i="6"/>
  <c r="G74" i="6" s="1"/>
  <c r="R74" i="5" s="1"/>
  <c r="AA74" i="9" s="1"/>
  <c r="AV118" i="6"/>
  <c r="G118" i="6" s="1"/>
  <c r="R118" i="5" s="1"/>
  <c r="AA118" i="9" s="1"/>
  <c r="AV248" i="6"/>
  <c r="G248" i="6" s="1"/>
  <c r="R248" i="5" s="1"/>
  <c r="AA248" i="9" s="1"/>
  <c r="AV39" i="6"/>
  <c r="G39" i="6" s="1"/>
  <c r="R39" i="5" s="1"/>
  <c r="AA39" i="9" s="1"/>
  <c r="AV240" i="6"/>
  <c r="G240" i="6" s="1"/>
  <c r="R240" i="5" s="1"/>
  <c r="AA240" i="9" s="1"/>
  <c r="AV181" i="6"/>
  <c r="G181" i="6" s="1"/>
  <c r="R181" i="5" s="1"/>
  <c r="AA181" i="9" s="1"/>
  <c r="AV161" i="6"/>
  <c r="G161" i="6" s="1"/>
  <c r="R161" i="5" s="1"/>
  <c r="AA161" i="9" s="1"/>
  <c r="AV70" i="6"/>
  <c r="G70" i="6" s="1"/>
  <c r="R70" i="5" s="1"/>
  <c r="AA70" i="9" s="1"/>
  <c r="AV220" i="6"/>
  <c r="G220" i="6" s="1"/>
  <c r="R220" i="5" s="1"/>
  <c r="AA220" i="9" s="1"/>
  <c r="AV252" i="6"/>
  <c r="G252" i="6" s="1"/>
  <c r="R252" i="5" s="1"/>
  <c r="AV43" i="6"/>
  <c r="G43" i="6" s="1"/>
  <c r="R43" i="5" s="1"/>
  <c r="AA43" i="9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2" i="6"/>
  <c r="G232" i="6" s="1"/>
  <c r="R232" i="5" s="1"/>
  <c r="AA232" i="9" s="1"/>
  <c r="AV91" i="6"/>
  <c r="G91" i="6" s="1"/>
  <c r="R91" i="5" s="1"/>
  <c r="AA91" i="9" s="1"/>
  <c r="AV129" i="6"/>
  <c r="G129" i="6" s="1"/>
  <c r="R129" i="5" s="1"/>
  <c r="AA129" i="9" s="1"/>
  <c r="AV194" i="6"/>
  <c r="G194" i="6" s="1"/>
  <c r="R194" i="5" s="1"/>
  <c r="AA194" i="9" s="1"/>
  <c r="AV15" i="6"/>
  <c r="G15" i="6" s="1"/>
  <c r="R15" i="5" s="1"/>
  <c r="AA15" i="9" s="1"/>
  <c r="AZ96" i="7"/>
  <c r="BA96" i="7" s="1"/>
  <c r="P96" i="7" s="1"/>
  <c r="AV63" i="6"/>
  <c r="G63" i="6" s="1"/>
  <c r="R63" i="5" s="1"/>
  <c r="AA63" i="9" s="1"/>
  <c r="AV204" i="6"/>
  <c r="G204" i="6" s="1"/>
  <c r="R204" i="5" s="1"/>
  <c r="AA204" i="9" s="1"/>
  <c r="AV67" i="6"/>
  <c r="G67" i="6" s="1"/>
  <c r="R67" i="5" s="1"/>
  <c r="AA67" i="9" s="1"/>
  <c r="AV124" i="6"/>
  <c r="G124" i="6" s="1"/>
  <c r="R124" i="5" s="1"/>
  <c r="AA124" i="9" s="1"/>
  <c r="AV222" i="6"/>
  <c r="G222" i="6" s="1"/>
  <c r="R222" i="5" s="1"/>
  <c r="AA222" i="9" s="1"/>
  <c r="AV87" i="6"/>
  <c r="G87" i="6" s="1"/>
  <c r="R87" i="5" s="1"/>
  <c r="AA87" i="9" s="1"/>
  <c r="AZ237" i="7"/>
  <c r="BA237" i="7" s="1"/>
  <c r="P237" i="7" s="1"/>
  <c r="AZ144" i="7"/>
  <c r="BA144" i="7" s="1"/>
  <c r="P144" i="7" s="1"/>
  <c r="AV14" i="6"/>
  <c r="G14" i="6" s="1"/>
  <c r="R14" i="5" s="1"/>
  <c r="AA14" i="9" s="1"/>
  <c r="AV162" i="6"/>
  <c r="G162" i="6" s="1"/>
  <c r="R162" i="5" s="1"/>
  <c r="AA162" i="9" s="1"/>
  <c r="AV227" i="6"/>
  <c r="G227" i="6" s="1"/>
  <c r="R227" i="5" s="1"/>
  <c r="AA227" i="9" s="1"/>
  <c r="AV8" i="6"/>
  <c r="G8" i="6" s="1"/>
  <c r="R8" i="5" s="1"/>
  <c r="AA8" i="9" s="1"/>
  <c r="AV202" i="6"/>
  <c r="G202" i="6" s="1"/>
  <c r="AV85" i="6"/>
  <c r="G85" i="6" s="1"/>
  <c r="R85" i="5" s="1"/>
  <c r="AA85" i="9" s="1"/>
  <c r="AV152" i="6"/>
  <c r="G152" i="6" s="1"/>
  <c r="R152" i="5" s="1"/>
  <c r="AA152" i="9" s="1"/>
  <c r="AV201" i="6"/>
  <c r="G201" i="6" s="1"/>
  <c r="AV140" i="6"/>
  <c r="G140" i="6" s="1"/>
  <c r="R140" i="5" s="1"/>
  <c r="AA140" i="9" s="1"/>
  <c r="AV103" i="6"/>
  <c r="G103" i="6" s="1"/>
  <c r="R103" i="5" s="1"/>
  <c r="AA103" i="9" s="1"/>
  <c r="AV138" i="6"/>
  <c r="G138" i="6" s="1"/>
  <c r="R138" i="5" s="1"/>
  <c r="AA138" i="9" s="1"/>
  <c r="AV170" i="6"/>
  <c r="G170" i="6" s="1"/>
  <c r="R170" i="5" s="1"/>
  <c r="AA170" i="9" s="1"/>
  <c r="AV219" i="6"/>
  <c r="G219" i="6" s="1"/>
  <c r="R219" i="5" s="1"/>
  <c r="AA219" i="9" s="1"/>
  <c r="AV251" i="6"/>
  <c r="G251" i="6" s="1"/>
  <c r="R251" i="5" s="1"/>
  <c r="AA251" i="9" s="1"/>
  <c r="AV80" i="6"/>
  <c r="G80" i="6" s="1"/>
  <c r="R80" i="5" s="1"/>
  <c r="AA80" i="9" s="1"/>
  <c r="AV110" i="6"/>
  <c r="G110" i="6" s="1"/>
  <c r="R110" i="5" s="1"/>
  <c r="AA110" i="9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4" i="6"/>
  <c r="G94" i="6" s="1"/>
  <c r="R94" i="5" s="1"/>
  <c r="AA94" i="9" s="1"/>
  <c r="AV233" i="6"/>
  <c r="G233" i="6" s="1"/>
  <c r="R233" i="5" s="1"/>
  <c r="AA233" i="9" s="1"/>
  <c r="AV101" i="6"/>
  <c r="G101" i="6" s="1"/>
  <c r="R101" i="5" s="1"/>
  <c r="AA101" i="9" s="1"/>
  <c r="AV247" i="6"/>
  <c r="G247" i="6" s="1"/>
  <c r="R247" i="5" s="1"/>
  <c r="AA247" i="9" s="1"/>
  <c r="AV61" i="6"/>
  <c r="G61" i="6" s="1"/>
  <c r="R61" i="5" s="1"/>
  <c r="AA61" i="9" s="1"/>
  <c r="AV178" i="6"/>
  <c r="G178" i="6" s="1"/>
  <c r="R178" i="5" s="1"/>
  <c r="AA178" i="9" s="1"/>
  <c r="AV244" i="6"/>
  <c r="G244" i="6" s="1"/>
  <c r="R244" i="5" s="1"/>
  <c r="AA244" i="9" s="1"/>
  <c r="AV60" i="6"/>
  <c r="G60" i="6" s="1"/>
  <c r="R60" i="5" s="1"/>
  <c r="AA60" i="9" s="1"/>
  <c r="AV119" i="6"/>
  <c r="G119" i="6" s="1"/>
  <c r="R119" i="5" s="1"/>
  <c r="AA119" i="9" s="1"/>
  <c r="AV168" i="6"/>
  <c r="G168" i="6" s="1"/>
  <c r="R168" i="5" s="1"/>
  <c r="AA168" i="9" s="1"/>
  <c r="AV249" i="6"/>
  <c r="G249" i="6" s="1"/>
  <c r="R249" i="5" s="1"/>
  <c r="AA249" i="9" s="1"/>
  <c r="AV193" i="6"/>
  <c r="G193" i="6" s="1"/>
  <c r="R193" i="5" s="1"/>
  <c r="AA193" i="9" s="1"/>
  <c r="AV65" i="6"/>
  <c r="G65" i="6" s="1"/>
  <c r="R65" i="5" s="1"/>
  <c r="AA65" i="9" s="1"/>
  <c r="AV143" i="6"/>
  <c r="G143" i="6" s="1"/>
  <c r="R143" i="5" s="1"/>
  <c r="AA143" i="9" s="1"/>
  <c r="AV175" i="6"/>
  <c r="G175" i="6" s="1"/>
  <c r="R175" i="5" s="1"/>
  <c r="AA175" i="9" s="1"/>
  <c r="AV208" i="6"/>
  <c r="G208" i="6" s="1"/>
  <c r="R208" i="5" s="1"/>
  <c r="AA208" i="9" s="1"/>
  <c r="AV241" i="6"/>
  <c r="G241" i="6" s="1"/>
  <c r="R241" i="5" s="1"/>
  <c r="AA241" i="9" s="1"/>
  <c r="AV89" i="6"/>
  <c r="G89" i="6" s="1"/>
  <c r="R89" i="5" s="1"/>
  <c r="AA89" i="9" s="1"/>
  <c r="AV64" i="6"/>
  <c r="G64" i="6" s="1"/>
  <c r="R64" i="5" s="1"/>
  <c r="AA64" i="9" s="1"/>
  <c r="AV235" i="6"/>
  <c r="G235" i="6" s="1"/>
  <c r="R235" i="5" s="1"/>
  <c r="AA235" i="9" s="1"/>
  <c r="AV147" i="6"/>
  <c r="G147" i="6" s="1"/>
  <c r="R147" i="5" s="1"/>
  <c r="AA147" i="9" s="1"/>
  <c r="AV179" i="6"/>
  <c r="G179" i="6" s="1"/>
  <c r="R179" i="5" s="1"/>
  <c r="AA179" i="9" s="1"/>
  <c r="AV212" i="6"/>
  <c r="G212" i="6" s="1"/>
  <c r="R212" i="5" s="1"/>
  <c r="AA212" i="9" s="1"/>
  <c r="AV245" i="6"/>
  <c r="G245" i="6" s="1"/>
  <c r="R245" i="5" s="1"/>
  <c r="AA245" i="9" s="1"/>
  <c r="AV35" i="6"/>
  <c r="G35" i="6" s="1"/>
  <c r="R35" i="5" s="1"/>
  <c r="AA35" i="9" s="1"/>
  <c r="AV169" i="6"/>
  <c r="G169" i="6" s="1"/>
  <c r="R169" i="5" s="1"/>
  <c r="AA169" i="9" s="1"/>
  <c r="AV53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0" i="6"/>
  <c r="G20" i="6" s="1"/>
  <c r="R20" i="5" s="1"/>
  <c r="AA20" i="9" s="1"/>
  <c r="AV132" i="6"/>
  <c r="G132" i="6" s="1"/>
  <c r="R132" i="5" s="1"/>
  <c r="AA132" i="9" s="1"/>
  <c r="AV95" i="6"/>
  <c r="G95" i="6" s="1"/>
  <c r="R95" i="5" s="1"/>
  <c r="AA95" i="9" s="1"/>
  <c r="AV210" i="6"/>
  <c r="G210" i="6" s="1"/>
  <c r="R210" i="5" s="1"/>
  <c r="AA210" i="9" s="1"/>
  <c r="AV237" i="6"/>
  <c r="G237" i="6" s="1"/>
  <c r="R237" i="5" s="1"/>
  <c r="AA237" i="9" s="1"/>
  <c r="AV102" i="6"/>
  <c r="G102" i="6" s="1"/>
  <c r="R102" i="5" s="1"/>
  <c r="AA102" i="9" s="1"/>
  <c r="AV83" i="6"/>
  <c r="G83" i="6" s="1"/>
  <c r="R83" i="5" s="1"/>
  <c r="AA83" i="9" s="1"/>
  <c r="AV173" i="6"/>
  <c r="G173" i="6" s="1"/>
  <c r="R173" i="5" s="1"/>
  <c r="AA173" i="9" s="1"/>
  <c r="AV58" i="6"/>
  <c r="G58" i="6" s="1"/>
  <c r="R58" i="5" s="1"/>
  <c r="AA58" i="9" s="1"/>
  <c r="AV78" i="6"/>
  <c r="G78" i="6" s="1"/>
  <c r="R78" i="5" s="1"/>
  <c r="AA78" i="9" s="1"/>
  <c r="AV105" i="6"/>
  <c r="G105" i="6" s="1"/>
  <c r="R105" i="5" s="1"/>
  <c r="AA105" i="9" s="1"/>
  <c r="AV111" i="6"/>
  <c r="G111" i="6" s="1"/>
  <c r="R111" i="5" s="1"/>
  <c r="AA111" i="9" s="1"/>
  <c r="AV50" i="6"/>
  <c r="G50" i="6" s="1"/>
  <c r="R50" i="5" s="1"/>
  <c r="AA50" i="9" s="1"/>
  <c r="AV88" i="6"/>
  <c r="G88" i="6" s="1"/>
  <c r="R88" i="5" s="1"/>
  <c r="AA88" i="9" s="1"/>
  <c r="AV71" i="6"/>
  <c r="G71" i="6" s="1"/>
  <c r="R71" i="5" s="1"/>
  <c r="AA71" i="9" s="1"/>
  <c r="AV205" i="6"/>
  <c r="G205" i="6" s="1"/>
  <c r="R205" i="5" s="1"/>
  <c r="AA205" i="9" s="1"/>
  <c r="AV44" i="6"/>
  <c r="G44" i="6" s="1"/>
  <c r="R44" i="5" s="1"/>
  <c r="AA44" i="9" s="1"/>
  <c r="AV68" i="6"/>
  <c r="G68" i="6" s="1"/>
  <c r="R68" i="5" s="1"/>
  <c r="AA68" i="9" s="1"/>
  <c r="AV163" i="6"/>
  <c r="G163" i="6" s="1"/>
  <c r="R163" i="5" s="1"/>
  <c r="AA163" i="9" s="1"/>
  <c r="AV226" i="6"/>
  <c r="G226" i="6" s="1"/>
  <c r="R226" i="5" s="1"/>
  <c r="AA226" i="9" s="1"/>
  <c r="AV127" i="6"/>
  <c r="G127" i="6" s="1"/>
  <c r="R127" i="5" s="1"/>
  <c r="AA127" i="9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0" i="6"/>
  <c r="G230" i="6" s="1"/>
  <c r="R230" i="5" s="1"/>
  <c r="AA230" i="9" s="1"/>
  <c r="AV104" i="6"/>
  <c r="G104" i="6" s="1"/>
  <c r="R104" i="5" s="1"/>
  <c r="AA104" i="9" s="1"/>
  <c r="AV153" i="6"/>
  <c r="G153" i="6" s="1"/>
  <c r="R153" i="5" s="1"/>
  <c r="AA153" i="9" s="1"/>
  <c r="AV21" i="6"/>
  <c r="G21" i="6" s="1"/>
  <c r="R21" i="5" s="1"/>
  <c r="AA21" i="9" s="1"/>
  <c r="AV150" i="6"/>
  <c r="G150" i="6" s="1"/>
  <c r="R150" i="5" s="1"/>
  <c r="AA150" i="9" s="1"/>
  <c r="AV231" i="6"/>
  <c r="G231" i="6" s="1"/>
  <c r="R231" i="5" s="1"/>
  <c r="AA231" i="9" s="1"/>
  <c r="AV115" i="6"/>
  <c r="G115" i="6" s="1"/>
  <c r="R115" i="5" s="1"/>
  <c r="AA115" i="9" s="1"/>
  <c r="AV123" i="6"/>
  <c r="G123" i="6" s="1"/>
  <c r="R123" i="5" s="1"/>
  <c r="AA123" i="9" s="1"/>
  <c r="AV157" i="6"/>
  <c r="G157" i="6" s="1"/>
  <c r="R157" i="5" s="1"/>
  <c r="AA157" i="9" s="1"/>
  <c r="AV154" i="6"/>
  <c r="G154" i="6" s="1"/>
  <c r="R154" i="5" s="1"/>
  <c r="AA154" i="9" s="1"/>
  <c r="AV137" i="6"/>
  <c r="G137" i="6" s="1"/>
  <c r="R137" i="5" s="1"/>
  <c r="AA137" i="9" s="1"/>
  <c r="AV96" i="6"/>
  <c r="G96" i="6" s="1"/>
  <c r="R96" i="5" s="1"/>
  <c r="AA96" i="9" s="1"/>
  <c r="AV145" i="6"/>
  <c r="G145" i="6" s="1"/>
  <c r="R145" i="5" s="1"/>
  <c r="AA145" i="9" s="1"/>
  <c r="AV250" i="6"/>
  <c r="G250" i="6" s="1"/>
  <c r="R250" i="5" s="1"/>
  <c r="AA250" i="9" s="1"/>
  <c r="AV184" i="6"/>
  <c r="G184" i="6" s="1"/>
  <c r="R184" i="5" s="1"/>
  <c r="AA184" i="9" s="1"/>
  <c r="AV243" i="6"/>
  <c r="G243" i="6" s="1"/>
  <c r="R243" i="5" s="1"/>
  <c r="AA243" i="9" s="1"/>
  <c r="AV159" i="6"/>
  <c r="G159" i="6" s="1"/>
  <c r="R159" i="5" s="1"/>
  <c r="AA159" i="9" s="1"/>
  <c r="AV224" i="6"/>
  <c r="G224" i="6" s="1"/>
  <c r="R224" i="5" s="1"/>
  <c r="AA224" i="9" s="1"/>
  <c r="AV165" i="6"/>
  <c r="G165" i="6" s="1"/>
  <c r="R165" i="5" s="1"/>
  <c r="AA165" i="9" s="1"/>
  <c r="AV221" i="6"/>
  <c r="G221" i="6" s="1"/>
  <c r="R221" i="5" s="1"/>
  <c r="AA221" i="9" s="1"/>
  <c r="AV41" i="6"/>
  <c r="G41" i="6" s="1"/>
  <c r="R41" i="5" s="1"/>
  <c r="AA41" i="9" s="1"/>
  <c r="AV236" i="6"/>
  <c r="G236" i="6" s="1"/>
  <c r="R236" i="5" s="1"/>
  <c r="AA236" i="9" s="1"/>
  <c r="AV113" i="6"/>
  <c r="G113" i="6" s="1"/>
  <c r="R113" i="5" s="1"/>
  <c r="AA113" i="9" s="1"/>
  <c r="AV228" i="6"/>
  <c r="G228" i="6" s="1"/>
  <c r="AV86" i="6"/>
  <c r="G86" i="6" s="1"/>
  <c r="R86" i="5" s="1"/>
  <c r="AA86" i="9" s="1"/>
  <c r="AV144" i="6"/>
  <c r="G144" i="6" s="1"/>
  <c r="R144" i="5" s="1"/>
  <c r="AA144" i="9" s="1"/>
  <c r="AV209" i="6"/>
  <c r="G209" i="6" s="1"/>
  <c r="R209" i="5" s="1"/>
  <c r="AA209" i="9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6" i="6"/>
  <c r="G146" i="6" s="1"/>
  <c r="R146" i="5" s="1"/>
  <c r="AA146" i="9" s="1"/>
  <c r="AV40" i="6"/>
  <c r="G40" i="6" s="1"/>
  <c r="R40" i="5" s="1"/>
  <c r="AA40" i="9" s="1"/>
  <c r="AV166" i="6"/>
  <c r="G166" i="6" s="1"/>
  <c r="R166" i="5" s="1"/>
  <c r="AA166" i="9" s="1"/>
  <c r="AV19" i="6"/>
  <c r="G19" i="6" s="1"/>
  <c r="R19" i="5" s="1"/>
  <c r="AA19" i="9" s="1"/>
  <c r="AV69" i="6"/>
  <c r="G69" i="6" s="1"/>
  <c r="R69" i="5" s="1"/>
  <c r="AA69" i="9" s="1"/>
  <c r="AV130" i="6"/>
  <c r="G130" i="6" s="1"/>
  <c r="R130" i="5" s="1"/>
  <c r="AA130" i="9" s="1"/>
  <c r="AV128" i="6"/>
  <c r="G128" i="6" s="1"/>
  <c r="R128" i="5" s="1"/>
  <c r="AA128" i="9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4" i="6"/>
  <c r="G234" i="6" s="1"/>
  <c r="R234" i="5" s="1"/>
  <c r="AA234" i="9" s="1"/>
  <c r="AV90" i="6"/>
  <c r="G90" i="6" s="1"/>
  <c r="R90" i="5" s="1"/>
  <c r="AA90" i="9" s="1"/>
  <c r="AV199" i="6"/>
  <c r="G199" i="6" s="1"/>
  <c r="R199" i="5" s="1"/>
  <c r="AA199" i="9" s="1"/>
  <c r="AV92" i="6"/>
  <c r="G92" i="6" s="1"/>
  <c r="R92" i="5" s="1"/>
  <c r="AA92" i="9" s="1"/>
  <c r="AV73" i="6"/>
  <c r="G73" i="6" s="1"/>
  <c r="R73" i="5" s="1"/>
  <c r="AA73" i="9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6" i="6"/>
  <c r="G36" i="6" s="1"/>
  <c r="R36" i="5" s="1"/>
  <c r="AA36" i="9" s="1"/>
  <c r="AV141" i="6"/>
  <c r="G141" i="6" s="1"/>
  <c r="R141" i="5" s="1"/>
  <c r="AA141" i="9" s="1"/>
  <c r="AV126" i="6"/>
  <c r="G126" i="6" s="1"/>
  <c r="R126" i="5" s="1"/>
  <c r="AA126" i="9" s="1"/>
  <c r="AV12" i="6"/>
  <c r="G12" i="6" s="1"/>
  <c r="R12" i="5" s="1"/>
  <c r="AA12" i="9" s="1"/>
  <c r="AV156" i="6"/>
  <c r="G156" i="6" s="1"/>
  <c r="R156" i="5" s="1"/>
  <c r="AA156" i="9" s="1"/>
  <c r="AV121" i="6"/>
  <c r="G121" i="6" s="1"/>
  <c r="R121" i="5" s="1"/>
  <c r="AA121" i="9" s="1"/>
  <c r="AV59" i="6"/>
  <c r="G59" i="6" s="1"/>
  <c r="R59" i="5" s="1"/>
  <c r="AA59" i="9" s="1"/>
  <c r="AV225" i="6"/>
  <c r="G225" i="6" s="1"/>
  <c r="R225" i="5" s="1"/>
  <c r="AA225" i="9" s="1"/>
  <c r="AV120" i="6"/>
  <c r="G120" i="6" s="1"/>
  <c r="R120" i="5" s="1"/>
  <c r="AA120" i="9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172" i="7"/>
  <c r="BA172" i="7" s="1"/>
  <c r="P172" i="7" s="1"/>
  <c r="AZ350" i="7"/>
  <c r="BA350" i="7" s="1"/>
  <c r="P350" i="7" s="1"/>
  <c r="AZ396" i="7"/>
  <c r="BA396" i="7" s="1"/>
  <c r="P396" i="7" s="1"/>
  <c r="AV136" i="6"/>
  <c r="G136" i="6" s="1"/>
  <c r="R136" i="5" s="1"/>
  <c r="AA136" i="9" s="1"/>
  <c r="AV215" i="6"/>
  <c r="G215" i="6" s="1"/>
  <c r="R215" i="5" s="1"/>
  <c r="AA215" i="9" s="1"/>
  <c r="AV172" i="6"/>
  <c r="G172" i="6" s="1"/>
  <c r="R172" i="5" s="1"/>
  <c r="AA172" i="9" s="1"/>
  <c r="AV77" i="6"/>
  <c r="G77" i="6" s="1"/>
  <c r="R77" i="5" s="1"/>
  <c r="AA77" i="9" s="1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99" i="6"/>
  <c r="G99" i="6" s="1"/>
  <c r="R99" i="5" s="1"/>
  <c r="AA99" i="9" s="1"/>
  <c r="AV42" i="6"/>
  <c r="G42" i="6" s="1"/>
  <c r="R42" i="5" s="1"/>
  <c r="AA42" i="9" s="1"/>
  <c r="AV16" i="6"/>
  <c r="G16" i="6" s="1"/>
  <c r="R16" i="5" s="1"/>
  <c r="AA16" i="9" s="1"/>
  <c r="AV93" i="6"/>
  <c r="G93" i="6" s="1"/>
  <c r="R93" i="5" s="1"/>
  <c r="AA93" i="9" s="1"/>
  <c r="AV218" i="6"/>
  <c r="G218" i="6" s="1"/>
  <c r="R218" i="5" s="1"/>
  <c r="AA218" i="9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1" i="6"/>
  <c r="G211" i="6" s="1"/>
  <c r="R211" i="5" s="1"/>
  <c r="AA211" i="9" s="1"/>
  <c r="AV217" i="6"/>
  <c r="G217" i="6" s="1"/>
  <c r="R217" i="5" s="1"/>
  <c r="AA217" i="9" s="1"/>
  <c r="AV116" i="6"/>
  <c r="G116" i="6" s="1"/>
  <c r="R116" i="5" s="1"/>
  <c r="AA116" i="9" s="1"/>
  <c r="AV37" i="6"/>
  <c r="G37" i="6" s="1"/>
  <c r="R37" i="5" s="1"/>
  <c r="AA37" i="9" s="1"/>
  <c r="AV214" i="6"/>
  <c r="G214" i="6" s="1"/>
  <c r="R214" i="5" s="1"/>
  <c r="AA214" i="9" s="1"/>
  <c r="AV238" i="6"/>
  <c r="G238" i="6" s="1"/>
  <c r="R238" i="5" s="1"/>
  <c r="AA238" i="9" s="1"/>
  <c r="AV242" i="6"/>
  <c r="G242" i="6" s="1"/>
  <c r="R242" i="5" s="1"/>
  <c r="AA242" i="9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Z109" i="7"/>
  <c r="BA109" i="7" s="1"/>
  <c r="P109" i="7" s="1"/>
  <c r="AV34" i="6"/>
  <c r="G34" i="6" s="1"/>
  <c r="R34" i="5" s="1"/>
  <c r="AA34" i="9" s="1"/>
  <c r="AV54" i="6"/>
  <c r="AV191" i="6"/>
  <c r="G191" i="6" s="1"/>
  <c r="R191" i="5" s="1"/>
  <c r="AA191" i="9" s="1"/>
  <c r="AV203" i="6"/>
  <c r="G203" i="6" s="1"/>
  <c r="AV195" i="6"/>
  <c r="G195" i="6" s="1"/>
  <c r="R195" i="5" s="1"/>
  <c r="AA195" i="9" s="1"/>
  <c r="AV160" i="6"/>
  <c r="G160" i="6" s="1"/>
  <c r="R160" i="5" s="1"/>
  <c r="AA160" i="9" s="1"/>
  <c r="AV13" i="6"/>
  <c r="G13" i="6" s="1"/>
  <c r="R13" i="5" s="1"/>
  <c r="AA13" i="9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173" i="7"/>
  <c r="BA173" i="7" s="1"/>
  <c r="P173" i="7" s="1"/>
  <c r="AZ351" i="7"/>
  <c r="BA351" i="7" s="1"/>
  <c r="P351" i="7" s="1"/>
  <c r="AZ267" i="7"/>
  <c r="BA267" i="7" s="1"/>
  <c r="P267" i="7" s="1"/>
  <c r="AV25" i="6"/>
  <c r="G25" i="6" s="1"/>
  <c r="R25" i="5" s="1"/>
  <c r="AA25" i="9" s="1"/>
  <c r="AV133" i="6"/>
  <c r="G133" i="6" s="1"/>
  <c r="R133" i="5" s="1"/>
  <c r="AA133" i="9" s="1"/>
  <c r="AV48" i="6"/>
  <c r="G48" i="6" s="1"/>
  <c r="R48" i="5" s="1"/>
  <c r="AA48" i="9" s="1"/>
  <c r="AV9" i="6"/>
  <c r="G9" i="6" s="1"/>
  <c r="R9" i="5" s="1"/>
  <c r="AA9" i="9" s="1"/>
  <c r="AV33" i="6"/>
  <c r="G33" i="6" s="1"/>
  <c r="R33" i="5" s="1"/>
  <c r="AA33" i="9" s="1"/>
  <c r="AV177" i="6"/>
  <c r="G177" i="6" s="1"/>
  <c r="R177" i="5" s="1"/>
  <c r="AA177" i="9" s="1"/>
  <c r="AV47" i="6"/>
  <c r="G47" i="6" s="1"/>
  <c r="R47" i="5" s="1"/>
  <c r="AA47" i="9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2" i="6"/>
  <c r="G62" i="6" s="1"/>
  <c r="R62" i="5" s="1"/>
  <c r="AA62" i="9" s="1"/>
  <c r="C26" i="10"/>
  <c r="D26" i="10" s="1"/>
  <c r="C140" i="10"/>
  <c r="D140" i="10" s="1"/>
  <c r="AZ137" i="7"/>
  <c r="BA137" i="7" s="1"/>
  <c r="P137" i="7" s="1"/>
  <c r="AV75" i="6"/>
  <c r="G75" i="6" s="1"/>
  <c r="R75" i="5" s="1"/>
  <c r="AA75" i="9" s="1"/>
  <c r="AK75" i="9" s="1"/>
  <c r="C88" i="10"/>
  <c r="D88" i="10" s="1"/>
  <c r="C122" i="10"/>
  <c r="D122" i="10" s="1"/>
  <c r="AZ108" i="7"/>
  <c r="BA108" i="7" s="1"/>
  <c r="P108" i="7" s="1"/>
  <c r="AV176" i="6"/>
  <c r="G176" i="6" s="1"/>
  <c r="R176" i="5" s="1"/>
  <c r="AA176" i="9" s="1"/>
  <c r="C63" i="10"/>
  <c r="D63" i="10" s="1"/>
  <c r="AZ167" i="7"/>
  <c r="BA167" i="7" s="1"/>
  <c r="P167" i="7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5" i="6"/>
  <c r="AV261" i="6"/>
  <c r="AV192" i="6"/>
  <c r="G192" i="6" s="1"/>
  <c r="R192" i="5" s="1"/>
  <c r="AA192" i="9" s="1"/>
  <c r="AZ460" i="7"/>
  <c r="BA460" i="7" s="1"/>
  <c r="P460" i="7" s="1"/>
  <c r="AZ253" i="7"/>
  <c r="BA253" i="7" s="1"/>
  <c r="P253" i="7" s="1"/>
  <c r="AZ16" i="7"/>
  <c r="BA16" i="7" s="1"/>
  <c r="P16" i="7" s="1"/>
  <c r="AV186" i="6"/>
  <c r="G186" i="6" s="1"/>
  <c r="R186" i="5" s="1"/>
  <c r="AA186" i="9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30" i="7"/>
  <c r="BA30" i="7" s="1"/>
  <c r="P30" i="7" s="1"/>
  <c r="AZ233" i="7"/>
  <c r="BA233" i="7" s="1"/>
  <c r="P233" i="7" s="1"/>
  <c r="AZ358" i="7"/>
  <c r="BA358" i="7" s="1"/>
  <c r="P358" i="7" s="1"/>
  <c r="AZ412" i="7"/>
  <c r="BA412" i="7" s="1"/>
  <c r="P412" i="7" s="1"/>
  <c r="AV260" i="6"/>
  <c r="AZ293" i="7"/>
  <c r="BA293" i="7" s="1"/>
  <c r="P293" i="7" s="1"/>
  <c r="AZ307" i="7"/>
  <c r="BA307" i="7" s="1"/>
  <c r="P307" i="7" s="1"/>
  <c r="AV182" i="6"/>
  <c r="G182" i="6" s="1"/>
  <c r="R182" i="5" s="1"/>
  <c r="AA182" i="9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92" i="7"/>
  <c r="BA392" i="7" s="1"/>
  <c r="P392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5" i="6"/>
  <c r="AV266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354" i="7"/>
  <c r="BA354" i="7" s="1"/>
  <c r="P354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4" i="6"/>
  <c r="AV262" i="6"/>
  <c r="AZ471" i="7"/>
  <c r="BA471" i="7" s="1"/>
  <c r="P471" i="7" s="1"/>
  <c r="AZ388" i="7"/>
  <c r="BA388" i="7" s="1"/>
  <c r="P388" i="7" s="1"/>
  <c r="AZ258" i="7"/>
  <c r="BA258" i="7" s="1"/>
  <c r="P258" i="7" s="1"/>
  <c r="AV183" i="6"/>
  <c r="G183" i="6" s="1"/>
  <c r="R183" i="5" s="1"/>
  <c r="AA183" i="9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250" i="7"/>
  <c r="BA250" i="7" s="1"/>
  <c r="P250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59" i="6"/>
  <c r="AV258" i="6"/>
  <c r="C252" i="10"/>
  <c r="D252" i="10" s="1"/>
  <c r="AZ9" i="7"/>
  <c r="BA9" i="7" s="1"/>
  <c r="P9" i="7" s="1"/>
  <c r="AZ287" i="7"/>
  <c r="BA287" i="7" s="1"/>
  <c r="P287" i="7" s="1"/>
  <c r="AV185" i="6"/>
  <c r="G185" i="6" s="1"/>
  <c r="R185" i="5" s="1"/>
  <c r="AA185" i="9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6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3" i="6"/>
  <c r="AV198" i="6"/>
  <c r="G198" i="6" s="1"/>
  <c r="R198" i="5" s="1"/>
  <c r="AA198" i="9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84" i="7"/>
  <c r="BA184" i="7" s="1"/>
  <c r="P184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7" i="6"/>
  <c r="AZ182" i="7"/>
  <c r="BA182" i="7" s="1"/>
  <c r="P182" i="7" s="1"/>
  <c r="AZ50" i="7"/>
  <c r="BA50" i="7" s="1"/>
  <c r="P50" i="7" s="1"/>
  <c r="AV188" i="6"/>
  <c r="G188" i="6" s="1"/>
  <c r="R188" i="5" s="1"/>
  <c r="AA188" i="9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50" i="7"/>
  <c r="BA150" i="7" s="1"/>
  <c r="P150" i="7" s="1"/>
  <c r="AZ177" i="7"/>
  <c r="BA177" i="7" s="1"/>
  <c r="P177" i="7" s="1"/>
  <c r="AZ393" i="7"/>
  <c r="BA393" i="7" s="1"/>
  <c r="P393" i="7" s="1"/>
  <c r="AZ340" i="7"/>
  <c r="BA340" i="7" s="1"/>
  <c r="P340" i="7" s="1"/>
  <c r="AZ73" i="7"/>
  <c r="BA73" i="7" s="1"/>
  <c r="P73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7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4" i="6"/>
  <c r="AZ141" i="7"/>
  <c r="BA141" i="7" s="1"/>
  <c r="P141" i="7" s="1"/>
  <c r="AZ251" i="7"/>
  <c r="BA251" i="7" s="1"/>
  <c r="P251" i="7" s="1"/>
  <c r="AZ368" i="7"/>
  <c r="BA368" i="7" s="1"/>
  <c r="P368" i="7" s="1"/>
  <c r="AV18" i="6"/>
  <c r="G18" i="6" s="1"/>
  <c r="R18" i="5" s="1"/>
  <c r="AA18" i="9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1" i="6"/>
  <c r="G51" i="6" s="1"/>
  <c r="R51" i="5" s="1"/>
  <c r="AA51" i="9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28" i="7"/>
  <c r="BA28" i="7" s="1"/>
  <c r="P28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6" i="6"/>
  <c r="G206" i="6" s="1"/>
  <c r="R206" i="5" s="1"/>
  <c r="AA206" i="9" s="1"/>
  <c r="AV189" i="6"/>
  <c r="G189" i="6" s="1"/>
  <c r="R189" i="5" s="1"/>
  <c r="AA189" i="9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3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92" i="7"/>
  <c r="BA92" i="7" s="1"/>
  <c r="P92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38" i="7"/>
  <c r="BA38" i="7" s="1"/>
  <c r="P38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353" i="7" s="1"/>
  <c r="BA353" i="7" s="1"/>
  <c r="P353" i="7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AZ469" i="7" l="1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BB209" i="7" s="1"/>
  <c r="AZ435" i="7"/>
  <c r="BA435" i="7" s="1"/>
  <c r="P435" i="7" s="1"/>
  <c r="G54" i="6"/>
  <c r="R54" i="5" s="1"/>
  <c r="AA54" i="9" s="1"/>
  <c r="G53" i="6"/>
  <c r="R53" i="5" s="1"/>
  <c r="AA53" i="9" s="1"/>
  <c r="AZ314" i="7"/>
  <c r="BA314" i="7" s="1"/>
  <c r="P314" i="7" s="1"/>
  <c r="AZ394" i="7"/>
  <c r="BA394" i="7" s="1"/>
  <c r="P394" i="7" s="1"/>
  <c r="AZ204" i="7"/>
  <c r="BA204" i="7" s="1"/>
  <c r="P204" i="7" s="1"/>
  <c r="AZ428" i="7"/>
  <c r="BA428" i="7" s="1"/>
  <c r="P428" i="7" s="1"/>
  <c r="R228" i="5"/>
  <c r="AA228" i="9" s="1"/>
  <c r="M9" i="8"/>
  <c r="R203" i="5"/>
  <c r="AA203" i="9" s="1"/>
  <c r="M8" i="8"/>
  <c r="R202" i="5"/>
  <c r="AA202" i="9" s="1"/>
  <c r="R201" i="5"/>
  <c r="AA201" i="9" s="1"/>
  <c r="M6" i="8"/>
  <c r="AZ397" i="7"/>
  <c r="BA397" i="7" s="1"/>
  <c r="P397" i="7" s="1"/>
  <c r="AA252" i="9"/>
  <c r="AA253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6" i="6"/>
  <c r="BC389" i="7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7" i="6"/>
  <c r="H199" i="6"/>
  <c r="H145" i="6"/>
  <c r="H95" i="6"/>
  <c r="H61" i="6"/>
  <c r="H204" i="6"/>
  <c r="H248" i="6"/>
  <c r="H52" i="6"/>
  <c r="H98" i="6"/>
  <c r="H10" i="6"/>
  <c r="H96" i="6"/>
  <c r="H78" i="6"/>
  <c r="H193" i="6"/>
  <c r="H140" i="6"/>
  <c r="H63" i="6"/>
  <c r="H118" i="6"/>
  <c r="H246" i="6"/>
  <c r="H66" i="6"/>
  <c r="H216" i="6"/>
  <c r="H185" i="6"/>
  <c r="H217" i="6"/>
  <c r="H225" i="6"/>
  <c r="H128" i="6"/>
  <c r="H165" i="6"/>
  <c r="H58" i="6"/>
  <c r="H51" i="6"/>
  <c r="H172" i="6"/>
  <c r="H59" i="6"/>
  <c r="H130" i="6"/>
  <c r="H224" i="6"/>
  <c r="H104" i="6"/>
  <c r="H205" i="6"/>
  <c r="H173" i="6"/>
  <c r="H89" i="6"/>
  <c r="H233" i="6"/>
  <c r="H152" i="6"/>
  <c r="H15" i="6"/>
  <c r="H70" i="6"/>
  <c r="H174" i="6"/>
  <c r="H135" i="6"/>
  <c r="H17" i="6"/>
  <c r="H30" i="6"/>
  <c r="H117" i="6"/>
  <c r="T29" i="8"/>
  <c r="X29" i="8"/>
  <c r="V29" i="8"/>
  <c r="W29" i="8"/>
  <c r="W31" i="8"/>
  <c r="V31" i="8"/>
  <c r="X31" i="8"/>
  <c r="T31" i="8"/>
  <c r="H186" i="6"/>
  <c r="H69" i="6"/>
  <c r="H159" i="6"/>
  <c r="H230" i="6"/>
  <c r="H83" i="6"/>
  <c r="H35" i="6"/>
  <c r="H241" i="6"/>
  <c r="H94" i="6"/>
  <c r="H251" i="6"/>
  <c r="H87" i="6"/>
  <c r="H27" i="6"/>
  <c r="H148" i="6"/>
  <c r="H223" i="6"/>
  <c r="T42" i="8"/>
  <c r="X42" i="8"/>
  <c r="V42" i="8"/>
  <c r="W42" i="8"/>
  <c r="W39" i="8"/>
  <c r="V39" i="8"/>
  <c r="X39" i="8"/>
  <c r="T39" i="8"/>
  <c r="H182" i="6"/>
  <c r="BB346" i="7"/>
  <c r="BC346" i="7"/>
  <c r="H177" i="6"/>
  <c r="H195" i="6"/>
  <c r="H242" i="6"/>
  <c r="H99" i="6"/>
  <c r="H136" i="6"/>
  <c r="H156" i="6"/>
  <c r="H19" i="6"/>
  <c r="H228" i="6"/>
  <c r="H243" i="6"/>
  <c r="H123" i="6"/>
  <c r="H88" i="6"/>
  <c r="H102" i="6"/>
  <c r="H245" i="6"/>
  <c r="H208" i="6"/>
  <c r="H60" i="6"/>
  <c r="H219" i="6"/>
  <c r="H202" i="6"/>
  <c r="H222" i="6"/>
  <c r="H129" i="6"/>
  <c r="H181" i="6"/>
  <c r="H171" i="6"/>
  <c r="H114" i="6"/>
  <c r="H57" i="6"/>
  <c r="H84" i="6"/>
  <c r="H187" i="6"/>
  <c r="H197" i="6"/>
  <c r="H190" i="6"/>
  <c r="H196" i="6"/>
  <c r="H192" i="6"/>
  <c r="H75" i="6"/>
  <c r="H48" i="6"/>
  <c r="H146" i="6"/>
  <c r="H150" i="6"/>
  <c r="H163" i="6"/>
  <c r="H65" i="6"/>
  <c r="H103" i="6"/>
  <c r="H24" i="6"/>
  <c r="H81" i="6"/>
  <c r="H28" i="6"/>
  <c r="T28" i="8"/>
  <c r="X28" i="8"/>
  <c r="W28" i="8"/>
  <c r="V28" i="8"/>
  <c r="H206" i="6"/>
  <c r="H18" i="6"/>
  <c r="H116" i="6"/>
  <c r="H120" i="6"/>
  <c r="H221" i="6"/>
  <c r="H132" i="6"/>
  <c r="H247" i="6"/>
  <c r="BC99" i="7"/>
  <c r="BB99" i="7"/>
  <c r="H239" i="6"/>
  <c r="H26" i="6"/>
  <c r="X40" i="8"/>
  <c r="V40" i="8"/>
  <c r="W40" i="8"/>
  <c r="T40" i="8"/>
  <c r="BC348" i="7"/>
  <c r="BB348" i="7"/>
  <c r="H176" i="6"/>
  <c r="H77" i="6"/>
  <c r="H234" i="6"/>
  <c r="H137" i="6"/>
  <c r="H44" i="6"/>
  <c r="W35" i="8"/>
  <c r="V35" i="8"/>
  <c r="X35" i="8"/>
  <c r="T35" i="8"/>
  <c r="BC19" i="7"/>
  <c r="BB19" i="7"/>
  <c r="BC287" i="7"/>
  <c r="BB287" i="7"/>
  <c r="H183" i="6"/>
  <c r="H13" i="6"/>
  <c r="H211" i="6"/>
  <c r="H16" i="6"/>
  <c r="H144" i="6"/>
  <c r="H154" i="6"/>
  <c r="H169" i="6"/>
  <c r="H168" i="6"/>
  <c r="H80" i="6"/>
  <c r="H32" i="6"/>
  <c r="H180" i="6"/>
  <c r="H109" i="6"/>
  <c r="H45" i="6"/>
  <c r="X46" i="8"/>
  <c r="T46" i="8"/>
  <c r="W46" i="8"/>
  <c r="V46" i="8"/>
  <c r="BB463" i="7"/>
  <c r="BC463" i="7"/>
  <c r="H62" i="6"/>
  <c r="H47" i="6"/>
  <c r="H160" i="6"/>
  <c r="H42" i="6"/>
  <c r="H215" i="6"/>
  <c r="H121" i="6"/>
  <c r="H86" i="6"/>
  <c r="H157" i="6"/>
  <c r="H71" i="6"/>
  <c r="H119" i="6"/>
  <c r="H85" i="6"/>
  <c r="H194" i="6"/>
  <c r="H161" i="6"/>
  <c r="H56" i="6"/>
  <c r="H142" i="6"/>
  <c r="H97" i="6"/>
  <c r="H229" i="6"/>
  <c r="H108" i="6"/>
  <c r="X30" i="8"/>
  <c r="T30" i="8"/>
  <c r="V30" i="8"/>
  <c r="W30" i="8"/>
  <c r="H188" i="6"/>
  <c r="BC299" i="7"/>
  <c r="BB299" i="7"/>
  <c r="H198" i="6"/>
  <c r="BB288" i="7"/>
  <c r="BC288" i="7"/>
  <c r="H33" i="6"/>
  <c r="H203" i="6"/>
  <c r="H238" i="6"/>
  <c r="H12" i="6"/>
  <c r="H73" i="6"/>
  <c r="H166" i="6"/>
  <c r="H113" i="6"/>
  <c r="H184" i="6"/>
  <c r="H115" i="6"/>
  <c r="H127" i="6"/>
  <c r="H50" i="6"/>
  <c r="H237" i="6"/>
  <c r="H212" i="6"/>
  <c r="H175" i="6"/>
  <c r="H244" i="6"/>
  <c r="H170" i="6"/>
  <c r="H8" i="6"/>
  <c r="H124" i="6"/>
  <c r="H91" i="6"/>
  <c r="H240" i="6"/>
  <c r="H139" i="6"/>
  <c r="H200" i="6"/>
  <c r="H31" i="6"/>
  <c r="H55" i="6"/>
  <c r="H155" i="6"/>
  <c r="H164" i="6"/>
  <c r="H158" i="6"/>
  <c r="H134" i="6"/>
  <c r="T45" i="8"/>
  <c r="X45" i="8"/>
  <c r="V45" i="8"/>
  <c r="W45" i="8"/>
  <c r="H189" i="6"/>
  <c r="BC123" i="7"/>
  <c r="BB123" i="7"/>
  <c r="BC20" i="7"/>
  <c r="BB20" i="7"/>
  <c r="H141" i="6"/>
  <c r="H41" i="6"/>
  <c r="H105" i="6"/>
  <c r="H147" i="6"/>
  <c r="H162" i="6"/>
  <c r="H43" i="6"/>
  <c r="H100" i="6"/>
  <c r="BC243" i="7"/>
  <c r="BB243" i="7"/>
  <c r="H49" i="6"/>
  <c r="H133" i="6"/>
  <c r="H34" i="6"/>
  <c r="H218" i="6"/>
  <c r="H36" i="6"/>
  <c r="H90" i="6"/>
  <c r="H21" i="6"/>
  <c r="H68" i="6"/>
  <c r="H235" i="6"/>
  <c r="H14" i="6"/>
  <c r="H252" i="6"/>
  <c r="H11" i="6"/>
  <c r="H79" i="6"/>
  <c r="H107" i="6"/>
  <c r="H25" i="6"/>
  <c r="H93" i="6"/>
  <c r="H209" i="6"/>
  <c r="H153" i="6"/>
  <c r="H20" i="6"/>
  <c r="T34" i="8"/>
  <c r="X34" i="8"/>
  <c r="W34" i="8"/>
  <c r="V34" i="8"/>
  <c r="H9" i="6"/>
  <c r="H191" i="6"/>
  <c r="H214" i="6"/>
  <c r="H126" i="6"/>
  <c r="H92" i="6"/>
  <c r="H40" i="6"/>
  <c r="H236" i="6"/>
  <c r="H250" i="6"/>
  <c r="H231" i="6"/>
  <c r="H226" i="6"/>
  <c r="H111" i="6"/>
  <c r="H210" i="6"/>
  <c r="H179" i="6"/>
  <c r="H143" i="6"/>
  <c r="H178" i="6"/>
  <c r="H138" i="6"/>
  <c r="H227" i="6"/>
  <c r="H67" i="6"/>
  <c r="H232" i="6"/>
  <c r="H39" i="6"/>
  <c r="BC248" i="7"/>
  <c r="BB248" i="7"/>
  <c r="H106" i="6"/>
  <c r="H151" i="6"/>
  <c r="H23" i="6"/>
  <c r="H72" i="6"/>
  <c r="H112" i="6"/>
  <c r="H122" i="6"/>
  <c r="H131" i="6"/>
  <c r="H125" i="6"/>
  <c r="T33" i="8"/>
  <c r="X33" i="8"/>
  <c r="V33" i="8"/>
  <c r="W33" i="8"/>
  <c r="X41" i="8"/>
  <c r="T41" i="8"/>
  <c r="W41" i="8"/>
  <c r="V41" i="8"/>
  <c r="X32" i="8"/>
  <c r="V32" i="8"/>
  <c r="W32" i="8"/>
  <c r="T32" i="8"/>
  <c r="H64" i="6"/>
  <c r="H249" i="6"/>
  <c r="H101" i="6"/>
  <c r="H110" i="6"/>
  <c r="H201" i="6"/>
  <c r="H220" i="6"/>
  <c r="H74" i="6"/>
  <c r="H213" i="6"/>
  <c r="H207" i="6"/>
  <c r="H29" i="6"/>
  <c r="BB244" i="7"/>
  <c r="BC244" i="7"/>
  <c r="H149" i="6"/>
  <c r="H82" i="6"/>
  <c r="H167" i="6"/>
  <c r="H22" i="6"/>
  <c r="BC11" i="7"/>
  <c r="BB11" i="7"/>
  <c r="V36" i="8"/>
  <c r="X36" i="8"/>
  <c r="T36" i="8"/>
  <c r="W36" i="8"/>
  <c r="X38" i="8"/>
  <c r="T38" i="8"/>
  <c r="W38" i="8"/>
  <c r="V38" i="8"/>
  <c r="BC102" i="7"/>
  <c r="BB102" i="7"/>
  <c r="BC101" i="7"/>
  <c r="BB101" i="7"/>
  <c r="BC444" i="7"/>
  <c r="BB444" i="7"/>
  <c r="BC289" i="7"/>
  <c r="BB289" i="7"/>
  <c r="BC51" i="7"/>
  <c r="BB51" i="7"/>
  <c r="BC473" i="7"/>
  <c r="BB473" i="7"/>
  <c r="BC477" i="7"/>
  <c r="BB477" i="7"/>
  <c r="BC476" i="7"/>
  <c r="BB476" i="7"/>
  <c r="BC475" i="7"/>
  <c r="BB475" i="7"/>
  <c r="BC474" i="7"/>
  <c r="BB474" i="7"/>
  <c r="BC440" i="7"/>
  <c r="BB440" i="7"/>
  <c r="BC439" i="7"/>
  <c r="BB439" i="7"/>
  <c r="BC438" i="7"/>
  <c r="BB438" i="7"/>
  <c r="BC472" i="7"/>
  <c r="BB472" i="7"/>
  <c r="BC471" i="7"/>
  <c r="BB471" i="7"/>
  <c r="BC469" i="7"/>
  <c r="BB469" i="7"/>
  <c r="BC468" i="7"/>
  <c r="BB468" i="7"/>
  <c r="BC467" i="7"/>
  <c r="BB467" i="7"/>
  <c r="BC466" i="7"/>
  <c r="BB466" i="7"/>
  <c r="BB465" i="7"/>
  <c r="BC462" i="7"/>
  <c r="BB462" i="7"/>
  <c r="BC461" i="7"/>
  <c r="BB461" i="7"/>
  <c r="BC460" i="7"/>
  <c r="BB460" i="7"/>
  <c r="BC459" i="7"/>
  <c r="BB459" i="7"/>
  <c r="BC458" i="7"/>
  <c r="BB458" i="7"/>
  <c r="BC457" i="7"/>
  <c r="BB457" i="7"/>
  <c r="BC456" i="7"/>
  <c r="BB456" i="7"/>
  <c r="BC455" i="7"/>
  <c r="BB455" i="7"/>
  <c r="BC454" i="7"/>
  <c r="BB454" i="7"/>
  <c r="BC453" i="7"/>
  <c r="BB453" i="7"/>
  <c r="BC452" i="7"/>
  <c r="BB452" i="7"/>
  <c r="BC451" i="7"/>
  <c r="BB451" i="7"/>
  <c r="BC450" i="7"/>
  <c r="BB450" i="7"/>
  <c r="BC449" i="7"/>
  <c r="BB449" i="7"/>
  <c r="BC448" i="7"/>
  <c r="BB448" i="7"/>
  <c r="BC447" i="7"/>
  <c r="BB447" i="7"/>
  <c r="BC446" i="7"/>
  <c r="BB446" i="7"/>
  <c r="BC445" i="7"/>
  <c r="BB445" i="7"/>
  <c r="BC443" i="7"/>
  <c r="BB443" i="7"/>
  <c r="BC442" i="7"/>
  <c r="BB442" i="7"/>
  <c r="BC441" i="7"/>
  <c r="BB441" i="7"/>
  <c r="BC427" i="7"/>
  <c r="BB427" i="7"/>
  <c r="BC426" i="7"/>
  <c r="BB426" i="7"/>
  <c r="BC425" i="7"/>
  <c r="BB425" i="7"/>
  <c r="BC424" i="7"/>
  <c r="BB424" i="7"/>
  <c r="BC423" i="7"/>
  <c r="BB423" i="7"/>
  <c r="BC422" i="7"/>
  <c r="BB422" i="7"/>
  <c r="BC421" i="7"/>
  <c r="BB421" i="7"/>
  <c r="BC420" i="7"/>
  <c r="BB420" i="7"/>
  <c r="BC419" i="7"/>
  <c r="BB419" i="7"/>
  <c r="BC418" i="7"/>
  <c r="BB418" i="7"/>
  <c r="BC417" i="7"/>
  <c r="BB417" i="7"/>
  <c r="BC416" i="7"/>
  <c r="BB416" i="7"/>
  <c r="BC415" i="7"/>
  <c r="BB415" i="7"/>
  <c r="BC414" i="7"/>
  <c r="BB414" i="7"/>
  <c r="BC413" i="7"/>
  <c r="BB413" i="7"/>
  <c r="BC412" i="7"/>
  <c r="BB412" i="7"/>
  <c r="BC411" i="7"/>
  <c r="BB411" i="7"/>
  <c r="BC410" i="7"/>
  <c r="BB410" i="7"/>
  <c r="BC409" i="7"/>
  <c r="BB409" i="7"/>
  <c r="BC406" i="7"/>
  <c r="BB406" i="7"/>
  <c r="BC405" i="7"/>
  <c r="BB405" i="7"/>
  <c r="BC404" i="7"/>
  <c r="BB404" i="7"/>
  <c r="BC403" i="7"/>
  <c r="BB403" i="7"/>
  <c r="BC402" i="7"/>
  <c r="BB402" i="7"/>
  <c r="BC401" i="7"/>
  <c r="BB401" i="7"/>
  <c r="BC396" i="7"/>
  <c r="BB396" i="7"/>
  <c r="BC395" i="7"/>
  <c r="BB395" i="7"/>
  <c r="BC393" i="7"/>
  <c r="BB393" i="7"/>
  <c r="BC392" i="7"/>
  <c r="BB392" i="7"/>
  <c r="BC388" i="7"/>
  <c r="BB388" i="7"/>
  <c r="BC387" i="7"/>
  <c r="BB387" i="7"/>
  <c r="BC386" i="7"/>
  <c r="BB386" i="7"/>
  <c r="BC385" i="7"/>
  <c r="BB385" i="7"/>
  <c r="BC384" i="7"/>
  <c r="BB384" i="7"/>
  <c r="BC383" i="7"/>
  <c r="BB383" i="7"/>
  <c r="BC382" i="7"/>
  <c r="BB382" i="7"/>
  <c r="BC381" i="7"/>
  <c r="BB381" i="7"/>
  <c r="BC380" i="7"/>
  <c r="BB380" i="7"/>
  <c r="BC379" i="7"/>
  <c r="BB379" i="7"/>
  <c r="BC378" i="7"/>
  <c r="BB378" i="7"/>
  <c r="BC377" i="7"/>
  <c r="BB377" i="7"/>
  <c r="BC376" i="7"/>
  <c r="BB376" i="7"/>
  <c r="BC375" i="7"/>
  <c r="BB375" i="7"/>
  <c r="BC374" i="7"/>
  <c r="BB374" i="7"/>
  <c r="BC373" i="7"/>
  <c r="BB373" i="7"/>
  <c r="BC372" i="7"/>
  <c r="BB372" i="7"/>
  <c r="BC371" i="7"/>
  <c r="BB371" i="7"/>
  <c r="BC370" i="7"/>
  <c r="BB370" i="7"/>
  <c r="BC369" i="7"/>
  <c r="BB369" i="7"/>
  <c r="BC368" i="7"/>
  <c r="BB368" i="7"/>
  <c r="BC367" i="7"/>
  <c r="BB367" i="7"/>
  <c r="BC366" i="7"/>
  <c r="BB366" i="7"/>
  <c r="BC365" i="7"/>
  <c r="BB365" i="7"/>
  <c r="BC364" i="7"/>
  <c r="BB364" i="7"/>
  <c r="BC363" i="7"/>
  <c r="BB363" i="7"/>
  <c r="BC362" i="7"/>
  <c r="BB362" i="7"/>
  <c r="BC361" i="7"/>
  <c r="BB361" i="7"/>
  <c r="BC360" i="7"/>
  <c r="BB360" i="7"/>
  <c r="BC359" i="7"/>
  <c r="BB359" i="7"/>
  <c r="BC358" i="7"/>
  <c r="BB358" i="7"/>
  <c r="BC357" i="7"/>
  <c r="BB357" i="7"/>
  <c r="BC356" i="7"/>
  <c r="BB356" i="7"/>
  <c r="BC355" i="7"/>
  <c r="BB355" i="7"/>
  <c r="BC354" i="7"/>
  <c r="BB354" i="7"/>
  <c r="BC353" i="7"/>
  <c r="BB353" i="7"/>
  <c r="BC351" i="7"/>
  <c r="BB351" i="7"/>
  <c r="BC350" i="7"/>
  <c r="BB350" i="7"/>
  <c r="BC349" i="7"/>
  <c r="BB349" i="7"/>
  <c r="BC347" i="7"/>
  <c r="BB347" i="7"/>
  <c r="BC345" i="7"/>
  <c r="BB345" i="7"/>
  <c r="BC344" i="7"/>
  <c r="BB344" i="7"/>
  <c r="BC343" i="7"/>
  <c r="BB343" i="7"/>
  <c r="BC342" i="7"/>
  <c r="BB342" i="7"/>
  <c r="BC341" i="7"/>
  <c r="BB341" i="7"/>
  <c r="BC340" i="7"/>
  <c r="BB340" i="7"/>
  <c r="BC339" i="7"/>
  <c r="BB339" i="7"/>
  <c r="BC338" i="7"/>
  <c r="BB338" i="7"/>
  <c r="BC337" i="7"/>
  <c r="BB337" i="7"/>
  <c r="BC336" i="7"/>
  <c r="BB336" i="7"/>
  <c r="BC335" i="7"/>
  <c r="BB335" i="7"/>
  <c r="BC334" i="7"/>
  <c r="BB334" i="7"/>
  <c r="BC333" i="7"/>
  <c r="BB333" i="7"/>
  <c r="BC332" i="7"/>
  <c r="BB332" i="7"/>
  <c r="BC331" i="7"/>
  <c r="BB331" i="7"/>
  <c r="BC330" i="7"/>
  <c r="BB330" i="7"/>
  <c r="BC329" i="7"/>
  <c r="BB329" i="7"/>
  <c r="BC328" i="7"/>
  <c r="BB328" i="7"/>
  <c r="BC327" i="7"/>
  <c r="BB327" i="7"/>
  <c r="BC326" i="7"/>
  <c r="BB326" i="7"/>
  <c r="BC325" i="7"/>
  <c r="BB325" i="7"/>
  <c r="BC324" i="7"/>
  <c r="BB324" i="7"/>
  <c r="BC323" i="7"/>
  <c r="BB323" i="7"/>
  <c r="BC322" i="7"/>
  <c r="BB322" i="7"/>
  <c r="BC321" i="7"/>
  <c r="BB321" i="7"/>
  <c r="BC320" i="7"/>
  <c r="BB320" i="7"/>
  <c r="BC319" i="7"/>
  <c r="BB319" i="7"/>
  <c r="BC318" i="7"/>
  <c r="BB318" i="7"/>
  <c r="BC317" i="7"/>
  <c r="BB317" i="7"/>
  <c r="BC316" i="7"/>
  <c r="BB316" i="7"/>
  <c r="BC315" i="7"/>
  <c r="BB315" i="7"/>
  <c r="BC313" i="7"/>
  <c r="BB313" i="7"/>
  <c r="BC312" i="7"/>
  <c r="BB312" i="7"/>
  <c r="BC311" i="7"/>
  <c r="BB311" i="7"/>
  <c r="BC310" i="7"/>
  <c r="BB310" i="7"/>
  <c r="BC309" i="7"/>
  <c r="BB309" i="7"/>
  <c r="BC308" i="7"/>
  <c r="BB308" i="7"/>
  <c r="BC307" i="7"/>
  <c r="BB307" i="7"/>
  <c r="BC306" i="7"/>
  <c r="BB306" i="7"/>
  <c r="BC305" i="7"/>
  <c r="BB305" i="7"/>
  <c r="BC304" i="7"/>
  <c r="BB304" i="7"/>
  <c r="BC303" i="7"/>
  <c r="BB303" i="7"/>
  <c r="BC302" i="7"/>
  <c r="BB302" i="7"/>
  <c r="BC301" i="7"/>
  <c r="BB301" i="7"/>
  <c r="BC300" i="7"/>
  <c r="BB300" i="7"/>
  <c r="BC298" i="7"/>
  <c r="BB298" i="7"/>
  <c r="BC297" i="7"/>
  <c r="BB297" i="7"/>
  <c r="BC296" i="7"/>
  <c r="BB296" i="7"/>
  <c r="BC295" i="7"/>
  <c r="BB295" i="7"/>
  <c r="BC294" i="7"/>
  <c r="BB294" i="7"/>
  <c r="BC293" i="7"/>
  <c r="BB293" i="7"/>
  <c r="BC292" i="7"/>
  <c r="BB292" i="7"/>
  <c r="BC291" i="7"/>
  <c r="BB291" i="7"/>
  <c r="BC290" i="7"/>
  <c r="BB290" i="7"/>
  <c r="BC286" i="7"/>
  <c r="BB286" i="7"/>
  <c r="BC285" i="7"/>
  <c r="BB285" i="7"/>
  <c r="BC284" i="7"/>
  <c r="BB284" i="7"/>
  <c r="BC283" i="7"/>
  <c r="BB283" i="7"/>
  <c r="BC282" i="7"/>
  <c r="BB282" i="7"/>
  <c r="BC281" i="7"/>
  <c r="BB281" i="7"/>
  <c r="BC280" i="7"/>
  <c r="BB280" i="7"/>
  <c r="BC279" i="7"/>
  <c r="BB279" i="7"/>
  <c r="BC278" i="7"/>
  <c r="BB278" i="7"/>
  <c r="BC277" i="7"/>
  <c r="BB277" i="7"/>
  <c r="BC276" i="7"/>
  <c r="BB276" i="7"/>
  <c r="BC275" i="7"/>
  <c r="BB275" i="7"/>
  <c r="BC274" i="7"/>
  <c r="BB274" i="7"/>
  <c r="BC273" i="7"/>
  <c r="BB273" i="7"/>
  <c r="BC272" i="7"/>
  <c r="BB272" i="7"/>
  <c r="BC271" i="7"/>
  <c r="BB271" i="7"/>
  <c r="BC270" i="7"/>
  <c r="BB270" i="7"/>
  <c r="BC269" i="7"/>
  <c r="BB269" i="7"/>
  <c r="BC268" i="7"/>
  <c r="BB268" i="7"/>
  <c r="BC267" i="7"/>
  <c r="BB267" i="7"/>
  <c r="BC266" i="7"/>
  <c r="BB266" i="7"/>
  <c r="BC265" i="7"/>
  <c r="BB265" i="7"/>
  <c r="BC260" i="7"/>
  <c r="BB260" i="7"/>
  <c r="BC259" i="7"/>
  <c r="BB259" i="7"/>
  <c r="BC258" i="7"/>
  <c r="BB258" i="7"/>
  <c r="BC257" i="7"/>
  <c r="BB257" i="7"/>
  <c r="BC256" i="7"/>
  <c r="BB256" i="7"/>
  <c r="BC255" i="7"/>
  <c r="BB255" i="7"/>
  <c r="BC254" i="7"/>
  <c r="BB254" i="7"/>
  <c r="BC253" i="7"/>
  <c r="BB253" i="7"/>
  <c r="BC252" i="7"/>
  <c r="BB252" i="7"/>
  <c r="BC251" i="7"/>
  <c r="BB251" i="7"/>
  <c r="BC250" i="7"/>
  <c r="BB250" i="7"/>
  <c r="BC249" i="7"/>
  <c r="BB249" i="7"/>
  <c r="BC247" i="7"/>
  <c r="BB247" i="7"/>
  <c r="BC246" i="7"/>
  <c r="BB246" i="7"/>
  <c r="BC245" i="7"/>
  <c r="BB245" i="7"/>
  <c r="BC242" i="7"/>
  <c r="BB242" i="7"/>
  <c r="BC241" i="7"/>
  <c r="BB241" i="7"/>
  <c r="BC240" i="7"/>
  <c r="BB240" i="7"/>
  <c r="BC239" i="7"/>
  <c r="BB239" i="7"/>
  <c r="BC238" i="7"/>
  <c r="BB238" i="7"/>
  <c r="BC237" i="7"/>
  <c r="BB237" i="7"/>
  <c r="BC236" i="7"/>
  <c r="BB236" i="7"/>
  <c r="BC235" i="7"/>
  <c r="BB235" i="7"/>
  <c r="BC234" i="7"/>
  <c r="BB234" i="7"/>
  <c r="BC233" i="7"/>
  <c r="BB233" i="7"/>
  <c r="BC230" i="7"/>
  <c r="BB230" i="7"/>
  <c r="BC229" i="7"/>
  <c r="BB229" i="7"/>
  <c r="BC228" i="7"/>
  <c r="BB228" i="7"/>
  <c r="BC227" i="7"/>
  <c r="BB227" i="7"/>
  <c r="BC226" i="7"/>
  <c r="BB226" i="7"/>
  <c r="BC225" i="7"/>
  <c r="BB225" i="7"/>
  <c r="BC224" i="7"/>
  <c r="BB224" i="7"/>
  <c r="BC223" i="7"/>
  <c r="BB223" i="7"/>
  <c r="BC222" i="7"/>
  <c r="BB222" i="7"/>
  <c r="BC221" i="7"/>
  <c r="BB221" i="7"/>
  <c r="BC220" i="7"/>
  <c r="BB220" i="7"/>
  <c r="BC219" i="7"/>
  <c r="BB219" i="7"/>
  <c r="BC218" i="7"/>
  <c r="BB218" i="7"/>
  <c r="BC217" i="7"/>
  <c r="BB217" i="7"/>
  <c r="BC216" i="7"/>
  <c r="BB216" i="7"/>
  <c r="BC215" i="7"/>
  <c r="BB215" i="7"/>
  <c r="BC211" i="7"/>
  <c r="BB211" i="7"/>
  <c r="BC210" i="7"/>
  <c r="BB210" i="7"/>
  <c r="BC209" i="7"/>
  <c r="BC204" i="7"/>
  <c r="BB204" i="7"/>
  <c r="BC203" i="7"/>
  <c r="BB203" i="7"/>
  <c r="BC202" i="7"/>
  <c r="BB202" i="7"/>
  <c r="BC201" i="7"/>
  <c r="BB201" i="7"/>
  <c r="BC200" i="7"/>
  <c r="BB200" i="7"/>
  <c r="BC199" i="7"/>
  <c r="BB199" i="7"/>
  <c r="BC196" i="7"/>
  <c r="BB196" i="7"/>
  <c r="BC195" i="7"/>
  <c r="BB195" i="7"/>
  <c r="BC194" i="7"/>
  <c r="BB194" i="7"/>
  <c r="BC193" i="7"/>
  <c r="BB193" i="7"/>
  <c r="BC192" i="7"/>
  <c r="BB192" i="7"/>
  <c r="BC191" i="7"/>
  <c r="BB191" i="7"/>
  <c r="BC190" i="7"/>
  <c r="BB190" i="7"/>
  <c r="BC189" i="7"/>
  <c r="BB189" i="7"/>
  <c r="BC188" i="7"/>
  <c r="BB188" i="7"/>
  <c r="BC187" i="7"/>
  <c r="BB187" i="7"/>
  <c r="BC186" i="7"/>
  <c r="BB186" i="7"/>
  <c r="BC185" i="7"/>
  <c r="BB185" i="7"/>
  <c r="BC184" i="7"/>
  <c r="BB184" i="7"/>
  <c r="BC183" i="7"/>
  <c r="BB183" i="7"/>
  <c r="BC182" i="7"/>
  <c r="BB182" i="7"/>
  <c r="BC181" i="7"/>
  <c r="BB181" i="7"/>
  <c r="BC180" i="7"/>
  <c r="BB180" i="7"/>
  <c r="BC179" i="7"/>
  <c r="BB179" i="7"/>
  <c r="BC178" i="7"/>
  <c r="BB178" i="7"/>
  <c r="BC177" i="7"/>
  <c r="BB177" i="7"/>
  <c r="BC176" i="7"/>
  <c r="BB176" i="7"/>
  <c r="BC175" i="7"/>
  <c r="BB175" i="7"/>
  <c r="BC174" i="7"/>
  <c r="BB174" i="7"/>
  <c r="BC173" i="7"/>
  <c r="BB173" i="7"/>
  <c r="BC172" i="7"/>
  <c r="BB172" i="7"/>
  <c r="BC167" i="7"/>
  <c r="BB167" i="7"/>
  <c r="BC166" i="7"/>
  <c r="BB166" i="7"/>
  <c r="BC165" i="7"/>
  <c r="BB165" i="7"/>
  <c r="BC164" i="7"/>
  <c r="BB164" i="7"/>
  <c r="BC163" i="7"/>
  <c r="BB163" i="7"/>
  <c r="BC162" i="7"/>
  <c r="BB162" i="7"/>
  <c r="BC161" i="7"/>
  <c r="BB161" i="7"/>
  <c r="BC160" i="7"/>
  <c r="BB160" i="7"/>
  <c r="BC159" i="7"/>
  <c r="BB159" i="7"/>
  <c r="BC158" i="7"/>
  <c r="BB158" i="7"/>
  <c r="BC157" i="7"/>
  <c r="BB157" i="7"/>
  <c r="BC156" i="7"/>
  <c r="BB156" i="7"/>
  <c r="BC155" i="7"/>
  <c r="BB155" i="7"/>
  <c r="BC154" i="7"/>
  <c r="BB154" i="7"/>
  <c r="BC153" i="7"/>
  <c r="BB153" i="7"/>
  <c r="BC152" i="7"/>
  <c r="BB152" i="7"/>
  <c r="BC151" i="7"/>
  <c r="BB151" i="7"/>
  <c r="BC150" i="7"/>
  <c r="BB150" i="7"/>
  <c r="BC149" i="7"/>
  <c r="BB149" i="7"/>
  <c r="BC148" i="7"/>
  <c r="BB148" i="7"/>
  <c r="BC147" i="7"/>
  <c r="BB147" i="7"/>
  <c r="BC146" i="7"/>
  <c r="BB146" i="7"/>
  <c r="BC145" i="7"/>
  <c r="BB145" i="7"/>
  <c r="BC144" i="7"/>
  <c r="BB144" i="7"/>
  <c r="BC143" i="7"/>
  <c r="BB143" i="7"/>
  <c r="BC142" i="7"/>
  <c r="BB142" i="7"/>
  <c r="BC141" i="7"/>
  <c r="BB141" i="7"/>
  <c r="BC140" i="7"/>
  <c r="BB140" i="7"/>
  <c r="BC139" i="7"/>
  <c r="BB139" i="7"/>
  <c r="BC138" i="7"/>
  <c r="BB138" i="7"/>
  <c r="BC137" i="7"/>
  <c r="BB137" i="7"/>
  <c r="BC136" i="7"/>
  <c r="BB136" i="7"/>
  <c r="BC135" i="7"/>
  <c r="BB135" i="7"/>
  <c r="BC134" i="7"/>
  <c r="BB134" i="7"/>
  <c r="BC133" i="7"/>
  <c r="BB133" i="7"/>
  <c r="BC132" i="7"/>
  <c r="BB132" i="7"/>
  <c r="BC131" i="7"/>
  <c r="BB131" i="7"/>
  <c r="BC130" i="7"/>
  <c r="BB130" i="7"/>
  <c r="BC129" i="7"/>
  <c r="BB129" i="7"/>
  <c r="BC128" i="7"/>
  <c r="BB128" i="7"/>
  <c r="BC127" i="7"/>
  <c r="BB127" i="7"/>
  <c r="BC126" i="7"/>
  <c r="BB126" i="7"/>
  <c r="BC125" i="7"/>
  <c r="BB125" i="7"/>
  <c r="BC124" i="7"/>
  <c r="BB124" i="7"/>
  <c r="BC122" i="7"/>
  <c r="BB122" i="7"/>
  <c r="BC121" i="7"/>
  <c r="BB121" i="7"/>
  <c r="BC120" i="7"/>
  <c r="BB120" i="7"/>
  <c r="BC119" i="7"/>
  <c r="BB119" i="7"/>
  <c r="BC118" i="7"/>
  <c r="BB118" i="7"/>
  <c r="BC117" i="7"/>
  <c r="BB117" i="7"/>
  <c r="BC116" i="7"/>
  <c r="BB116" i="7"/>
  <c r="BC115" i="7"/>
  <c r="BB115" i="7"/>
  <c r="BC114" i="7"/>
  <c r="BB114" i="7"/>
  <c r="BC113" i="7"/>
  <c r="BB113" i="7"/>
  <c r="BC109" i="7"/>
  <c r="BB109" i="7"/>
  <c r="BC108" i="7"/>
  <c r="BB108" i="7"/>
  <c r="BC107" i="7"/>
  <c r="BB107" i="7"/>
  <c r="BC106" i="7"/>
  <c r="BB106" i="7"/>
  <c r="BC105" i="7"/>
  <c r="BB105" i="7"/>
  <c r="BC104" i="7"/>
  <c r="BB104" i="7"/>
  <c r="BC103" i="7"/>
  <c r="BB103" i="7"/>
  <c r="BC100" i="7"/>
  <c r="BB100" i="7"/>
  <c r="BC98" i="7"/>
  <c r="BB98" i="7"/>
  <c r="BC97" i="7"/>
  <c r="BB97" i="7"/>
  <c r="BC96" i="7"/>
  <c r="BB96" i="7"/>
  <c r="BC92" i="7"/>
  <c r="BB92" i="7"/>
  <c r="BC91" i="7"/>
  <c r="BB91" i="7"/>
  <c r="BC90" i="7"/>
  <c r="BB90" i="7"/>
  <c r="BC89" i="7"/>
  <c r="BB89" i="7"/>
  <c r="BC88" i="7"/>
  <c r="BB88" i="7"/>
  <c r="BC87" i="7"/>
  <c r="BB87" i="7"/>
  <c r="BC85" i="7"/>
  <c r="BB85" i="7"/>
  <c r="BC81" i="7"/>
  <c r="BB81" i="7"/>
  <c r="BC80" i="7"/>
  <c r="BB80" i="7"/>
  <c r="BC79" i="7"/>
  <c r="BB79" i="7"/>
  <c r="BC78" i="7"/>
  <c r="BB78" i="7"/>
  <c r="BC77" i="7"/>
  <c r="BB77" i="7"/>
  <c r="BC76" i="7"/>
  <c r="BB76" i="7"/>
  <c r="BC75" i="7"/>
  <c r="BB75" i="7"/>
  <c r="BC74" i="7"/>
  <c r="BB74" i="7"/>
  <c r="BC73" i="7"/>
  <c r="BB73" i="7"/>
  <c r="BC72" i="7"/>
  <c r="BB72" i="7"/>
  <c r="BC71" i="7"/>
  <c r="BB71" i="7"/>
  <c r="BC70" i="7"/>
  <c r="BB70" i="7"/>
  <c r="BC69" i="7"/>
  <c r="BB69" i="7"/>
  <c r="BC68" i="7"/>
  <c r="BB68" i="7"/>
  <c r="BC67" i="7"/>
  <c r="BB67" i="7"/>
  <c r="BC66" i="7"/>
  <c r="BB66" i="7"/>
  <c r="BC65" i="7"/>
  <c r="BB65" i="7"/>
  <c r="BC64" i="7"/>
  <c r="BB64" i="7"/>
  <c r="BC63" i="7"/>
  <c r="BB63" i="7"/>
  <c r="BC62" i="7"/>
  <c r="BB62" i="7"/>
  <c r="BC61" i="7"/>
  <c r="BB61" i="7"/>
  <c r="BC60" i="7"/>
  <c r="BB60" i="7"/>
  <c r="BC59" i="7"/>
  <c r="BB59" i="7"/>
  <c r="BC58" i="7"/>
  <c r="BB58" i="7"/>
  <c r="BC53" i="7"/>
  <c r="BB53" i="7"/>
  <c r="BC52" i="7"/>
  <c r="BB52" i="7"/>
  <c r="BC50" i="7"/>
  <c r="BB50" i="7"/>
  <c r="BC49" i="7"/>
  <c r="BB49" i="7"/>
  <c r="BC48" i="7"/>
  <c r="BB48" i="7"/>
  <c r="BC47" i="7"/>
  <c r="BB47" i="7"/>
  <c r="BC46" i="7"/>
  <c r="BB46" i="7"/>
  <c r="BC45" i="7"/>
  <c r="BB45" i="7"/>
  <c r="BC44" i="7"/>
  <c r="BB44" i="7"/>
  <c r="BC38" i="7"/>
  <c r="BB38" i="7"/>
  <c r="BC37" i="7"/>
  <c r="BB37" i="7"/>
  <c r="BC36" i="7"/>
  <c r="BB36" i="7"/>
  <c r="BC35" i="7"/>
  <c r="BB35" i="7"/>
  <c r="BC34" i="7"/>
  <c r="BB34" i="7"/>
  <c r="BC33" i="7"/>
  <c r="BB33" i="7"/>
  <c r="BC32" i="7"/>
  <c r="BB32" i="7"/>
  <c r="BC31" i="7"/>
  <c r="BB31" i="7"/>
  <c r="BC30" i="7"/>
  <c r="BB30" i="7"/>
  <c r="BC29" i="7"/>
  <c r="BB29" i="7"/>
  <c r="BC28" i="7"/>
  <c r="BB28" i="7"/>
  <c r="BC27" i="7"/>
  <c r="BB27" i="7"/>
  <c r="BC26" i="7"/>
  <c r="BB26" i="7"/>
  <c r="BC25" i="7"/>
  <c r="BB25" i="7"/>
  <c r="BC24" i="7"/>
  <c r="BB24" i="7"/>
  <c r="BC23" i="7"/>
  <c r="BB23" i="7"/>
  <c r="BC21" i="7"/>
  <c r="BB21" i="7"/>
  <c r="BC18" i="7"/>
  <c r="BB18" i="7"/>
  <c r="BC17" i="7"/>
  <c r="BB17" i="7"/>
  <c r="BC16" i="7"/>
  <c r="BB16" i="7"/>
  <c r="BC15" i="7"/>
  <c r="BB15" i="7"/>
  <c r="BC14" i="7"/>
  <c r="BB14" i="7"/>
  <c r="BC13" i="7"/>
  <c r="BB13" i="7"/>
  <c r="BC12" i="7"/>
  <c r="BB12" i="7"/>
  <c r="BC10" i="7"/>
  <c r="BB10" i="7"/>
  <c r="BC9" i="7"/>
  <c r="BB9" i="7"/>
  <c r="BC8" i="7"/>
  <c r="BB8" i="7"/>
  <c r="BC7" i="7"/>
  <c r="BB7" i="7"/>
  <c r="BC6" i="7"/>
  <c r="BB6" i="7"/>
  <c r="BC5" i="7"/>
  <c r="BB5" i="7"/>
  <c r="BC4" i="7"/>
  <c r="BB4" i="7"/>
  <c r="BC3" i="7"/>
  <c r="BB3" i="7"/>
  <c r="BC2" i="7"/>
  <c r="BB2" i="7"/>
  <c r="BB400" i="7" l="1"/>
  <c r="BC400" i="7"/>
  <c r="BC465" i="7"/>
  <c r="M7" i="8"/>
  <c r="H53" i="6"/>
  <c r="BB394" i="7"/>
  <c r="BC394" i="7"/>
  <c r="BB314" i="7"/>
  <c r="BC314" i="7"/>
  <c r="H54" i="6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D9" i="18"/>
  <c r="D11" i="18" s="1"/>
  <c r="D24" i="18" s="1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3" i="9"/>
  <c r="AD253" i="9" s="1"/>
  <c r="AK253" i="9"/>
  <c r="AL253" i="9" s="1"/>
  <c r="AM253" i="9" s="1"/>
  <c r="AC253" i="9"/>
  <c r="AE253" i="9" s="1"/>
  <c r="AF253" i="9"/>
  <c r="AG253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6" i="9"/>
  <c r="AF46" i="9"/>
  <c r="AK46" i="9"/>
  <c r="AL46" i="9" s="1"/>
  <c r="AC46" i="9"/>
  <c r="AC252" i="9"/>
  <c r="D14" i="8"/>
  <c r="BB407" i="7"/>
  <c r="D15" i="8"/>
  <c r="BB408" i="7"/>
  <c r="E15" i="8"/>
  <c r="BC408" i="7"/>
  <c r="E14" i="8"/>
  <c r="BC407" i="7"/>
  <c r="AB32" i="9"/>
  <c r="AF32" i="9"/>
  <c r="AC32" i="9"/>
  <c r="AK32" i="9"/>
  <c r="AL32" i="9" s="1"/>
  <c r="AB149" i="9"/>
  <c r="AF149" i="9"/>
  <c r="AK149" i="9"/>
  <c r="AL149" i="9" s="1"/>
  <c r="AC149" i="9"/>
  <c r="AB201" i="9"/>
  <c r="AK201" i="9"/>
  <c r="AL201" i="9" s="1"/>
  <c r="AF201" i="9"/>
  <c r="AC201" i="9"/>
  <c r="AC226" i="9"/>
  <c r="AB226" i="9"/>
  <c r="AF226" i="9"/>
  <c r="AK20" i="9"/>
  <c r="AL20" i="9" s="1"/>
  <c r="AB20" i="9"/>
  <c r="AF20" i="9"/>
  <c r="AC20" i="9"/>
  <c r="AF175" i="9"/>
  <c r="AC175" i="9"/>
  <c r="AB175" i="9"/>
  <c r="AK121" i="9"/>
  <c r="AL121" i="9" s="1"/>
  <c r="AF121" i="9"/>
  <c r="AC121" i="9"/>
  <c r="AB121" i="9"/>
  <c r="AB167" i="9"/>
  <c r="AF167" i="9"/>
  <c r="AC167" i="9"/>
  <c r="AK167" i="9"/>
  <c r="AL167" i="9" s="1"/>
  <c r="AF231" i="9"/>
  <c r="AC231" i="9"/>
  <c r="AB231" i="9"/>
  <c r="AC101" i="9"/>
  <c r="AK101" i="9"/>
  <c r="AL101" i="9" s="1"/>
  <c r="AB101" i="9"/>
  <c r="AF101" i="9"/>
  <c r="AC112" i="9"/>
  <c r="AB112" i="9"/>
  <c r="AF112" i="9"/>
  <c r="AK112" i="9"/>
  <c r="AL112" i="9" s="1"/>
  <c r="AF189" i="9"/>
  <c r="AC189" i="9"/>
  <c r="AK189" i="9"/>
  <c r="AL189" i="9" s="1"/>
  <c r="AB189" i="9"/>
  <c r="AC33" i="9"/>
  <c r="AB33" i="9"/>
  <c r="AF33" i="9"/>
  <c r="AK33" i="9"/>
  <c r="AL33" i="9" s="1"/>
  <c r="AC161" i="9"/>
  <c r="AB161" i="9"/>
  <c r="AF161" i="9"/>
  <c r="AK161" i="9"/>
  <c r="AL161" i="9" s="1"/>
  <c r="AK71" i="9"/>
  <c r="AL71" i="9" s="1"/>
  <c r="AC71" i="9"/>
  <c r="AB71" i="9"/>
  <c r="AF71" i="9"/>
  <c r="AF215" i="9"/>
  <c r="AB215" i="9"/>
  <c r="AC215" i="9"/>
  <c r="AC47" i="9"/>
  <c r="AF47" i="9"/>
  <c r="AK47" i="9"/>
  <c r="AL47" i="9" s="1"/>
  <c r="AB47" i="9"/>
  <c r="AB180" i="9"/>
  <c r="AF180" i="9"/>
  <c r="AC180" i="9"/>
  <c r="AF80" i="9"/>
  <c r="AC80" i="9"/>
  <c r="AB80" i="9"/>
  <c r="AF154" i="9"/>
  <c r="AC154" i="9"/>
  <c r="AB154" i="9"/>
  <c r="AF16" i="9"/>
  <c r="AB16" i="9"/>
  <c r="AK16" i="9"/>
  <c r="AL16" i="9" s="1"/>
  <c r="AC16" i="9"/>
  <c r="AB239" i="9"/>
  <c r="AC239" i="9"/>
  <c r="AF239" i="9"/>
  <c r="AB132" i="9"/>
  <c r="AF132" i="9"/>
  <c r="AC132" i="9"/>
  <c r="AK132" i="9"/>
  <c r="AL132" i="9" s="1"/>
  <c r="AB163" i="9"/>
  <c r="AF163" i="9"/>
  <c r="AK163" i="9"/>
  <c r="AL163" i="9" s="1"/>
  <c r="AC163" i="9"/>
  <c r="AK222" i="9"/>
  <c r="AL222" i="9" s="1"/>
  <c r="AB222" i="9"/>
  <c r="AF222" i="9"/>
  <c r="AC222" i="9"/>
  <c r="AB228" i="9"/>
  <c r="AC228" i="9"/>
  <c r="AF228" i="9"/>
  <c r="AK136" i="9"/>
  <c r="AL136" i="9" s="1"/>
  <c r="AF136" i="9"/>
  <c r="AB136" i="9"/>
  <c r="AC136" i="9"/>
  <c r="AB223" i="9"/>
  <c r="AC223" i="9"/>
  <c r="AF223" i="9"/>
  <c r="AK223" i="9"/>
  <c r="AL223" i="9" s="1"/>
  <c r="AC27" i="9"/>
  <c r="AF27" i="9"/>
  <c r="AK27" i="9"/>
  <c r="AL27" i="9" s="1"/>
  <c r="AB27" i="9"/>
  <c r="AK230" i="9"/>
  <c r="AL230" i="9" s="1"/>
  <c r="AC230" i="9"/>
  <c r="AB230" i="9"/>
  <c r="AF230" i="9"/>
  <c r="AF89" i="9"/>
  <c r="AB89" i="9"/>
  <c r="AK89" i="9"/>
  <c r="AL89" i="9" s="1"/>
  <c r="AC89" i="9"/>
  <c r="AB78" i="9"/>
  <c r="AF78" i="9"/>
  <c r="AK78" i="9"/>
  <c r="AL78" i="9" s="1"/>
  <c r="AC78" i="9"/>
  <c r="AB61" i="9"/>
  <c r="AC61" i="9"/>
  <c r="AF61" i="9"/>
  <c r="AK61" i="9"/>
  <c r="AL61" i="9" s="1"/>
  <c r="AB82" i="9"/>
  <c r="AK82" i="9"/>
  <c r="AL82" i="9" s="1"/>
  <c r="AF82" i="9"/>
  <c r="AC82" i="9"/>
  <c r="AC125" i="9"/>
  <c r="AK125" i="9"/>
  <c r="AL125" i="9" s="1"/>
  <c r="AF125" i="9"/>
  <c r="AB125" i="9"/>
  <c r="AF151" i="9"/>
  <c r="AC151" i="9"/>
  <c r="AB151" i="9"/>
  <c r="AK151" i="9"/>
  <c r="AL151" i="9" s="1"/>
  <c r="AB138" i="9"/>
  <c r="AC138" i="9"/>
  <c r="AF138" i="9"/>
  <c r="AK138" i="9"/>
  <c r="AL138" i="9" s="1"/>
  <c r="AC210" i="9"/>
  <c r="AF210" i="9"/>
  <c r="AB210" i="9"/>
  <c r="AK210" i="9"/>
  <c r="AL210" i="9" s="1"/>
  <c r="AC250" i="9"/>
  <c r="AK250" i="9"/>
  <c r="AL250" i="9" s="1"/>
  <c r="AB250" i="9"/>
  <c r="AF250" i="9"/>
  <c r="AF214" i="9"/>
  <c r="AK214" i="9"/>
  <c r="AL214" i="9" s="1"/>
  <c r="AB214" i="9"/>
  <c r="AC214" i="9"/>
  <c r="AK9" i="9"/>
  <c r="AL9" i="9" s="1"/>
  <c r="AB9" i="9"/>
  <c r="AF9" i="9"/>
  <c r="AC9" i="9"/>
  <c r="AC209" i="9"/>
  <c r="AK209" i="9"/>
  <c r="AL209" i="9" s="1"/>
  <c r="AF209" i="9"/>
  <c r="AB209" i="9"/>
  <c r="AB25" i="9"/>
  <c r="AC25" i="9"/>
  <c r="AF25" i="9"/>
  <c r="AK25" i="9"/>
  <c r="AL25" i="9" s="1"/>
  <c r="AK79" i="9"/>
  <c r="AL79" i="9" s="1"/>
  <c r="AF79" i="9"/>
  <c r="AB79" i="9"/>
  <c r="AC79" i="9"/>
  <c r="AC14" i="9"/>
  <c r="AB14" i="9"/>
  <c r="AF14" i="9"/>
  <c r="AK14" i="9"/>
  <c r="AL14" i="9" s="1"/>
  <c r="AF90" i="9"/>
  <c r="AB90" i="9"/>
  <c r="AC90" i="9"/>
  <c r="AK90" i="9"/>
  <c r="AL90" i="9" s="1"/>
  <c r="AK34" i="9"/>
  <c r="AL34" i="9" s="1"/>
  <c r="AF34" i="9"/>
  <c r="AB34" i="9"/>
  <c r="AC34" i="9"/>
  <c r="AC49" i="9"/>
  <c r="AK49" i="9"/>
  <c r="AL49" i="9" s="1"/>
  <c r="AB49" i="9"/>
  <c r="AF49" i="9"/>
  <c r="AK162" i="9"/>
  <c r="AL162" i="9" s="1"/>
  <c r="AC162" i="9"/>
  <c r="AF162" i="9"/>
  <c r="AB162" i="9"/>
  <c r="AF141" i="9"/>
  <c r="AC141" i="9"/>
  <c r="AB141" i="9"/>
  <c r="AK158" i="9"/>
  <c r="AL158" i="9" s="1"/>
  <c r="AF158" i="9"/>
  <c r="AB158" i="9"/>
  <c r="AC158" i="9"/>
  <c r="AB200" i="9"/>
  <c r="AF200" i="9"/>
  <c r="AC200" i="9"/>
  <c r="AK200" i="9"/>
  <c r="AL200" i="9" s="1"/>
  <c r="AC170" i="9"/>
  <c r="AK170" i="9"/>
  <c r="AL170" i="9" s="1"/>
  <c r="AB170" i="9"/>
  <c r="AF170" i="9"/>
  <c r="AF237" i="9"/>
  <c r="AC237" i="9"/>
  <c r="AK237" i="9"/>
  <c r="AL237" i="9" s="1"/>
  <c r="AB237" i="9"/>
  <c r="AB184" i="9"/>
  <c r="AK184" i="9"/>
  <c r="AL184" i="9" s="1"/>
  <c r="AF184" i="9"/>
  <c r="AC184" i="9"/>
  <c r="AK238" i="9"/>
  <c r="AL238" i="9" s="1"/>
  <c r="AC238" i="9"/>
  <c r="AB238" i="9"/>
  <c r="AF238" i="9"/>
  <c r="AC188" i="9"/>
  <c r="AF188" i="9"/>
  <c r="AK188" i="9"/>
  <c r="AL188" i="9" s="1"/>
  <c r="AB188" i="9"/>
  <c r="AC157" i="9"/>
  <c r="AF157" i="9"/>
  <c r="AB157" i="9"/>
  <c r="AF206" i="9"/>
  <c r="AC206" i="9"/>
  <c r="AK206" i="9"/>
  <c r="AL206" i="9" s="1"/>
  <c r="AB206" i="9"/>
  <c r="AB192" i="9"/>
  <c r="AC192" i="9"/>
  <c r="AF192" i="9"/>
  <c r="AK192" i="9"/>
  <c r="AL192" i="9" s="1"/>
  <c r="AC57" i="9"/>
  <c r="AK57" i="9"/>
  <c r="AL57" i="9" s="1"/>
  <c r="AF57" i="9"/>
  <c r="AB57" i="9"/>
  <c r="AF181" i="9"/>
  <c r="AB181" i="9"/>
  <c r="AC181" i="9"/>
  <c r="AK99" i="9"/>
  <c r="AL99" i="9" s="1"/>
  <c r="AF99" i="9"/>
  <c r="AC99" i="9"/>
  <c r="AB99" i="9"/>
  <c r="AK135" i="9"/>
  <c r="AL135" i="9" s="1"/>
  <c r="AF135" i="9"/>
  <c r="AC135" i="9"/>
  <c r="AB135" i="9"/>
  <c r="AB70" i="9"/>
  <c r="AC70" i="9"/>
  <c r="AF70" i="9"/>
  <c r="AK224" i="9"/>
  <c r="AL224" i="9" s="1"/>
  <c r="AF224" i="9"/>
  <c r="AB224" i="9"/>
  <c r="AC224" i="9"/>
  <c r="AC51" i="9"/>
  <c r="AF51" i="9"/>
  <c r="AB51" i="9"/>
  <c r="AF225" i="9"/>
  <c r="AK225" i="9"/>
  <c r="AL225" i="9" s="1"/>
  <c r="AC225" i="9"/>
  <c r="AB225" i="9"/>
  <c r="AC216" i="9"/>
  <c r="AF216" i="9"/>
  <c r="AB216" i="9"/>
  <c r="AK118" i="9"/>
  <c r="AL118" i="9" s="1"/>
  <c r="AC118" i="9"/>
  <c r="AB118" i="9"/>
  <c r="AF118" i="9"/>
  <c r="AK232" i="9"/>
  <c r="AL232" i="9" s="1"/>
  <c r="AC232" i="9"/>
  <c r="AF232" i="9"/>
  <c r="AB232" i="9"/>
  <c r="AB91" i="9"/>
  <c r="AF91" i="9"/>
  <c r="AC91" i="9"/>
  <c r="AK91" i="9"/>
  <c r="AL91" i="9" s="1"/>
  <c r="AB198" i="9"/>
  <c r="AK198" i="9"/>
  <c r="AL198" i="9" s="1"/>
  <c r="AF198" i="9"/>
  <c r="AC198" i="9"/>
  <c r="AF194" i="9"/>
  <c r="AC194" i="9"/>
  <c r="AB194" i="9"/>
  <c r="AC62" i="9"/>
  <c r="AF62" i="9"/>
  <c r="AK62" i="9"/>
  <c r="AL62" i="9" s="1"/>
  <c r="AB62" i="9"/>
  <c r="AK168" i="9"/>
  <c r="AL168" i="9" s="1"/>
  <c r="AB168" i="9"/>
  <c r="AF168" i="9"/>
  <c r="AC168" i="9"/>
  <c r="AB211" i="9"/>
  <c r="AF211" i="9"/>
  <c r="AK211" i="9"/>
  <c r="AL211" i="9" s="1"/>
  <c r="AC211" i="9"/>
  <c r="AC137" i="9"/>
  <c r="AF137" i="9"/>
  <c r="AB137" i="9"/>
  <c r="AK137" i="9"/>
  <c r="AL137" i="9" s="1"/>
  <c r="AK176" i="9"/>
  <c r="AL176" i="9" s="1"/>
  <c r="AC176" i="9"/>
  <c r="AB176" i="9"/>
  <c r="AF176" i="9"/>
  <c r="AF221" i="9"/>
  <c r="AB221" i="9"/>
  <c r="AC221" i="9"/>
  <c r="AK221" i="9"/>
  <c r="AL221" i="9" s="1"/>
  <c r="AK28" i="9"/>
  <c r="AL28" i="9" s="1"/>
  <c r="AF28" i="9"/>
  <c r="AC28" i="9"/>
  <c r="AB28" i="9"/>
  <c r="AC150" i="9"/>
  <c r="AF150" i="9"/>
  <c r="AK150" i="9"/>
  <c r="AL150" i="9" s="1"/>
  <c r="AB150" i="9"/>
  <c r="AC196" i="9"/>
  <c r="AK196" i="9"/>
  <c r="AL196" i="9" s="1"/>
  <c r="AF196" i="9"/>
  <c r="AB196" i="9"/>
  <c r="AB202" i="9"/>
  <c r="AC202" i="9"/>
  <c r="AF202" i="9"/>
  <c r="AK208" i="9"/>
  <c r="AL208" i="9" s="1"/>
  <c r="AB208" i="9"/>
  <c r="AF208" i="9"/>
  <c r="AC208" i="9"/>
  <c r="AK19" i="9"/>
  <c r="AL19" i="9" s="1"/>
  <c r="AC19" i="9"/>
  <c r="AB19" i="9"/>
  <c r="AF19" i="9"/>
  <c r="AF241" i="9"/>
  <c r="AB241" i="9"/>
  <c r="AC241" i="9"/>
  <c r="AC186" i="9"/>
  <c r="AF186" i="9"/>
  <c r="AB186" i="9"/>
  <c r="AB74" i="9"/>
  <c r="AC74" i="9"/>
  <c r="AK74" i="9"/>
  <c r="AL74" i="9" s="1"/>
  <c r="AF74" i="9"/>
  <c r="AF131" i="9"/>
  <c r="AK131" i="9"/>
  <c r="AL131" i="9" s="1"/>
  <c r="AC131" i="9"/>
  <c r="AB131" i="9"/>
  <c r="AC106" i="9"/>
  <c r="AK106" i="9"/>
  <c r="AL106" i="9" s="1"/>
  <c r="AB106" i="9"/>
  <c r="AF106" i="9"/>
  <c r="AK178" i="9"/>
  <c r="AL178" i="9" s="1"/>
  <c r="AF178" i="9"/>
  <c r="AC178" i="9"/>
  <c r="AB178" i="9"/>
  <c r="AC236" i="9"/>
  <c r="AF236" i="9"/>
  <c r="AK236" i="9"/>
  <c r="AL236" i="9" s="1"/>
  <c r="AB236" i="9"/>
  <c r="AC126" i="9"/>
  <c r="AK126" i="9"/>
  <c r="AL126" i="9" s="1"/>
  <c r="AF126" i="9"/>
  <c r="AB126" i="9"/>
  <c r="AC235" i="9"/>
  <c r="AK235" i="9"/>
  <c r="AL235" i="9" s="1"/>
  <c r="AF235" i="9"/>
  <c r="AB235" i="9"/>
  <c r="AF36" i="9"/>
  <c r="AC36" i="9"/>
  <c r="AB36" i="9"/>
  <c r="AK36" i="9"/>
  <c r="AL36" i="9" s="1"/>
  <c r="AB133" i="9"/>
  <c r="AF133" i="9"/>
  <c r="AK133" i="9"/>
  <c r="AL133" i="9" s="1"/>
  <c r="AC133" i="9"/>
  <c r="AF147" i="9"/>
  <c r="AK147" i="9"/>
  <c r="AL147" i="9" s="1"/>
  <c r="AC147" i="9"/>
  <c r="AB147" i="9"/>
  <c r="AB164" i="9"/>
  <c r="AF164" i="9"/>
  <c r="AK164" i="9"/>
  <c r="AL164" i="9" s="1"/>
  <c r="AC164" i="9"/>
  <c r="AC55" i="9"/>
  <c r="AB55" i="9"/>
  <c r="AF55" i="9"/>
  <c r="AK55" i="9"/>
  <c r="AL55" i="9" s="1"/>
  <c r="AB139" i="9"/>
  <c r="AC139" i="9"/>
  <c r="AK139" i="9"/>
  <c r="AL139" i="9" s="1"/>
  <c r="AF139" i="9"/>
  <c r="AF244" i="9"/>
  <c r="AC244" i="9"/>
  <c r="AK244" i="9"/>
  <c r="AL244" i="9" s="1"/>
  <c r="AB244" i="9"/>
  <c r="AC50" i="9"/>
  <c r="AF50" i="9"/>
  <c r="AB50" i="9"/>
  <c r="AK50" i="9"/>
  <c r="AL50" i="9" s="1"/>
  <c r="AB12" i="9"/>
  <c r="AF12" i="9"/>
  <c r="AC12" i="9"/>
  <c r="AK12" i="9"/>
  <c r="AL12" i="9" s="1"/>
  <c r="AK85" i="9"/>
  <c r="AL85" i="9" s="1"/>
  <c r="AC85" i="9"/>
  <c r="AF85" i="9"/>
  <c r="AB85" i="9"/>
  <c r="AF87" i="9"/>
  <c r="AB87" i="9"/>
  <c r="AC87" i="9"/>
  <c r="AK87" i="9"/>
  <c r="AL87" i="9" s="1"/>
  <c r="AC15" i="9"/>
  <c r="AK15" i="9"/>
  <c r="AL15" i="9" s="1"/>
  <c r="AB15" i="9"/>
  <c r="AF15" i="9"/>
  <c r="AK173" i="9"/>
  <c r="AL173" i="9" s="1"/>
  <c r="AF173" i="9"/>
  <c r="AB173" i="9"/>
  <c r="AC173" i="9"/>
  <c r="AB130" i="9"/>
  <c r="AC130" i="9"/>
  <c r="AK130" i="9"/>
  <c r="AL130" i="9" s="1"/>
  <c r="AF130" i="9"/>
  <c r="AF58" i="9"/>
  <c r="AC58" i="9"/>
  <c r="AK58" i="9"/>
  <c r="AL58" i="9" s="1"/>
  <c r="AB58" i="9"/>
  <c r="AC217" i="9"/>
  <c r="AF217" i="9"/>
  <c r="AK217" i="9"/>
  <c r="AL217" i="9" s="1"/>
  <c r="AB217" i="9"/>
  <c r="AB66" i="9"/>
  <c r="AC66" i="9"/>
  <c r="AK66" i="9"/>
  <c r="AL66" i="9" s="1"/>
  <c r="AF66" i="9"/>
  <c r="AK63" i="9"/>
  <c r="AL63" i="9" s="1"/>
  <c r="AB63" i="9"/>
  <c r="AF63" i="9"/>
  <c r="AC63" i="9"/>
  <c r="AK96" i="9"/>
  <c r="AL96" i="9" s="1"/>
  <c r="AC96" i="9"/>
  <c r="AF96" i="9"/>
  <c r="AB96" i="9"/>
  <c r="AK52" i="9"/>
  <c r="AL52" i="9" s="1"/>
  <c r="AF52" i="9"/>
  <c r="AB52" i="9"/>
  <c r="AC52" i="9"/>
  <c r="AC95" i="9"/>
  <c r="AK95" i="9"/>
  <c r="AL95" i="9" s="1"/>
  <c r="AB95" i="9"/>
  <c r="AF95" i="9"/>
  <c r="AC37" i="9"/>
  <c r="AB37" i="9"/>
  <c r="AF37" i="9"/>
  <c r="AB111" i="9"/>
  <c r="AF111" i="9"/>
  <c r="AK111" i="9"/>
  <c r="AL111" i="9" s="1"/>
  <c r="AC111" i="9"/>
  <c r="AF113" i="9"/>
  <c r="AK113" i="9"/>
  <c r="AL113" i="9" s="1"/>
  <c r="AC113" i="9"/>
  <c r="AB113" i="9"/>
  <c r="AB97" i="9"/>
  <c r="AF97" i="9"/>
  <c r="AK97" i="9"/>
  <c r="AL97" i="9" s="1"/>
  <c r="AC97" i="9"/>
  <c r="AF42" i="9"/>
  <c r="AK42" i="9"/>
  <c r="AL42" i="9" s="1"/>
  <c r="AC42" i="9"/>
  <c r="AB42" i="9"/>
  <c r="AK144" i="9"/>
  <c r="AL144" i="9" s="1"/>
  <c r="AC144" i="9"/>
  <c r="AF144" i="9"/>
  <c r="AB144" i="9"/>
  <c r="AF195" i="9"/>
  <c r="AC195" i="9"/>
  <c r="AK195" i="9"/>
  <c r="AL195" i="9" s="1"/>
  <c r="AB195" i="9"/>
  <c r="AB159" i="9"/>
  <c r="AF159" i="9"/>
  <c r="AC159" i="9"/>
  <c r="AB117" i="9"/>
  <c r="AF117" i="9"/>
  <c r="AC117" i="9"/>
  <c r="AF29" i="9"/>
  <c r="AB29" i="9"/>
  <c r="AK29" i="9"/>
  <c r="AL29" i="9" s="1"/>
  <c r="AC29" i="9"/>
  <c r="AC249" i="9"/>
  <c r="AB249" i="9"/>
  <c r="AK249" i="9"/>
  <c r="AL249" i="9" s="1"/>
  <c r="AF249" i="9"/>
  <c r="AF72" i="9"/>
  <c r="AC72" i="9"/>
  <c r="AB72" i="9"/>
  <c r="AK40" i="9"/>
  <c r="AL40" i="9" s="1"/>
  <c r="AB40" i="9"/>
  <c r="AF40" i="9"/>
  <c r="AC40" i="9"/>
  <c r="AB100" i="9"/>
  <c r="AK100" i="9"/>
  <c r="AL100" i="9" s="1"/>
  <c r="AF100" i="9"/>
  <c r="AC100" i="9"/>
  <c r="AB105" i="9"/>
  <c r="AC105" i="9"/>
  <c r="AK105" i="9"/>
  <c r="AL105" i="9" s="1"/>
  <c r="AF105" i="9"/>
  <c r="AB203" i="9"/>
  <c r="AK203" i="9"/>
  <c r="AL203" i="9" s="1"/>
  <c r="I8" i="8" s="1"/>
  <c r="AC203" i="9"/>
  <c r="AF203" i="9"/>
  <c r="AB108" i="9"/>
  <c r="AF108" i="9"/>
  <c r="AC108" i="9"/>
  <c r="AK108" i="9"/>
  <c r="AL108" i="9" s="1"/>
  <c r="AC142" i="9"/>
  <c r="AK142" i="9"/>
  <c r="AL142" i="9" s="1"/>
  <c r="AB142" i="9"/>
  <c r="AF142" i="9"/>
  <c r="AB86" i="9"/>
  <c r="AK86" i="9"/>
  <c r="AL86" i="9" s="1"/>
  <c r="AC86" i="9"/>
  <c r="AF86" i="9"/>
  <c r="AF169" i="9"/>
  <c r="AB169" i="9"/>
  <c r="AK169" i="9"/>
  <c r="AL169" i="9" s="1"/>
  <c r="AC169" i="9"/>
  <c r="AK13" i="9"/>
  <c r="AL13" i="9" s="1"/>
  <c r="AF13" i="9"/>
  <c r="AC13" i="9"/>
  <c r="AB13" i="9"/>
  <c r="AF183" i="9"/>
  <c r="AC183" i="9"/>
  <c r="AB183" i="9"/>
  <c r="AK183" i="9"/>
  <c r="AL183" i="9" s="1"/>
  <c r="AK234" i="9"/>
  <c r="AL234" i="9" s="1"/>
  <c r="AC234" i="9"/>
  <c r="AF234" i="9"/>
  <c r="AB234" i="9"/>
  <c r="AF26" i="9"/>
  <c r="AB26" i="9"/>
  <c r="AC26" i="9"/>
  <c r="AK26" i="9"/>
  <c r="AL26" i="9" s="1"/>
  <c r="AB120" i="9"/>
  <c r="AC120" i="9"/>
  <c r="AK120" i="9"/>
  <c r="AL120" i="9" s="1"/>
  <c r="AF120" i="9"/>
  <c r="AC81" i="9"/>
  <c r="AF81" i="9"/>
  <c r="AK81" i="9"/>
  <c r="AL81" i="9" s="1"/>
  <c r="AB81" i="9"/>
  <c r="AK103" i="9"/>
  <c r="AL103" i="9" s="1"/>
  <c r="AC103" i="9"/>
  <c r="AB103" i="9"/>
  <c r="AF103" i="9"/>
  <c r="AC146" i="9"/>
  <c r="AB146" i="9"/>
  <c r="AF146" i="9"/>
  <c r="AK146" i="9"/>
  <c r="AL146" i="9" s="1"/>
  <c r="AB190" i="9"/>
  <c r="AK190" i="9"/>
  <c r="AL190" i="9" s="1"/>
  <c r="AF190" i="9"/>
  <c r="AC190" i="9"/>
  <c r="AF114" i="9"/>
  <c r="AC114" i="9"/>
  <c r="AB114" i="9"/>
  <c r="AF219" i="9"/>
  <c r="AC219" i="9"/>
  <c r="AB219" i="9"/>
  <c r="AF245" i="9"/>
  <c r="AC245" i="9"/>
  <c r="AK245" i="9"/>
  <c r="AL245" i="9" s="1"/>
  <c r="AB245" i="9"/>
  <c r="AK123" i="9"/>
  <c r="AL123" i="9" s="1"/>
  <c r="AF123" i="9"/>
  <c r="AB123" i="9"/>
  <c r="AC123" i="9"/>
  <c r="AK35" i="9"/>
  <c r="AL35" i="9" s="1"/>
  <c r="AC35" i="9"/>
  <c r="AF35" i="9"/>
  <c r="AB35" i="9"/>
  <c r="AB69" i="9"/>
  <c r="AC69" i="9"/>
  <c r="AF69" i="9"/>
  <c r="AK69" i="9"/>
  <c r="AL69" i="9" s="1"/>
  <c r="AK59" i="9"/>
  <c r="AL59" i="9" s="1"/>
  <c r="AC59" i="9"/>
  <c r="AB59" i="9"/>
  <c r="AF59" i="9"/>
  <c r="AB185" i="9"/>
  <c r="AF185" i="9"/>
  <c r="AC185" i="9"/>
  <c r="AK185" i="9"/>
  <c r="AL185" i="9" s="1"/>
  <c r="AC98" i="9"/>
  <c r="AB98" i="9"/>
  <c r="AK98" i="9"/>
  <c r="AL98" i="9" s="1"/>
  <c r="AF98" i="9"/>
  <c r="AK54" i="9"/>
  <c r="AL54" i="9" s="1"/>
  <c r="AB54" i="9"/>
  <c r="AC54" i="9"/>
  <c r="AF54" i="9"/>
  <c r="AF145" i="9"/>
  <c r="AC145" i="9"/>
  <c r="AB145" i="9"/>
  <c r="AK145" i="9"/>
  <c r="AL145" i="9" s="1"/>
  <c r="AK207" i="9"/>
  <c r="AL207" i="9" s="1"/>
  <c r="AF207" i="9"/>
  <c r="AC207" i="9"/>
  <c r="AB207" i="9"/>
  <c r="AB64" i="9"/>
  <c r="AF64" i="9"/>
  <c r="AK64" i="9"/>
  <c r="AL64" i="9" s="1"/>
  <c r="AC64" i="9"/>
  <c r="AF67" i="9"/>
  <c r="AC67" i="9"/>
  <c r="AK67" i="9"/>
  <c r="AL67" i="9" s="1"/>
  <c r="AB67" i="9"/>
  <c r="AC191" i="9"/>
  <c r="AF191" i="9"/>
  <c r="AK191" i="9"/>
  <c r="AL191" i="9" s="1"/>
  <c r="AB191" i="9"/>
  <c r="AK68" i="9"/>
  <c r="AL68" i="9" s="1"/>
  <c r="AC68" i="9"/>
  <c r="AB68" i="9"/>
  <c r="AF68" i="9"/>
  <c r="AK124" i="9"/>
  <c r="AL124" i="9" s="1"/>
  <c r="AB124" i="9"/>
  <c r="AF124" i="9"/>
  <c r="AC124" i="9"/>
  <c r="AB166" i="9"/>
  <c r="AF166" i="9"/>
  <c r="AK166" i="9"/>
  <c r="AL166" i="9" s="1"/>
  <c r="AC166" i="9"/>
  <c r="AF65" i="9"/>
  <c r="AK65" i="9"/>
  <c r="AL65" i="9" s="1"/>
  <c r="AB65" i="9"/>
  <c r="AC65" i="9"/>
  <c r="AK84" i="9"/>
  <c r="AL84" i="9" s="1"/>
  <c r="AF84" i="9"/>
  <c r="AC84" i="9"/>
  <c r="AB84" i="9"/>
  <c r="AC83" i="9"/>
  <c r="AK83" i="9"/>
  <c r="AL83" i="9" s="1"/>
  <c r="AB83" i="9"/>
  <c r="AF83" i="9"/>
  <c r="AK30" i="9"/>
  <c r="AL30" i="9" s="1"/>
  <c r="AB30" i="9"/>
  <c r="AF30" i="9"/>
  <c r="AC30" i="9"/>
  <c r="AF174" i="9"/>
  <c r="AK174" i="9"/>
  <c r="AL174" i="9" s="1"/>
  <c r="AC174" i="9"/>
  <c r="AB174" i="9"/>
  <c r="AF152" i="9"/>
  <c r="AK152" i="9"/>
  <c r="AL152" i="9" s="1"/>
  <c r="AC152" i="9"/>
  <c r="AB152" i="9"/>
  <c r="AC205" i="9"/>
  <c r="AF205" i="9"/>
  <c r="AB205" i="9"/>
  <c r="AK205" i="9"/>
  <c r="AL205" i="9" s="1"/>
  <c r="AB165" i="9"/>
  <c r="AK165" i="9"/>
  <c r="AL165" i="9" s="1"/>
  <c r="AC165" i="9"/>
  <c r="AF165" i="9"/>
  <c r="AF140" i="9"/>
  <c r="AC140" i="9"/>
  <c r="AK140" i="9"/>
  <c r="AL140" i="9" s="1"/>
  <c r="AB140" i="9"/>
  <c r="AC10" i="9"/>
  <c r="AF10" i="9"/>
  <c r="AB10" i="9"/>
  <c r="AK10" i="9"/>
  <c r="AL10" i="9" s="1"/>
  <c r="AC248" i="9"/>
  <c r="AK248" i="9"/>
  <c r="AL248" i="9" s="1"/>
  <c r="AB248" i="9"/>
  <c r="AF248" i="9"/>
  <c r="AC39" i="9"/>
  <c r="AB39" i="9"/>
  <c r="AK39" i="9"/>
  <c r="AL39" i="9" s="1"/>
  <c r="AF39" i="9"/>
  <c r="AB43" i="9"/>
  <c r="AK43" i="9"/>
  <c r="AL43" i="9" s="1"/>
  <c r="AF43" i="9"/>
  <c r="AC43" i="9"/>
  <c r="AF41" i="9"/>
  <c r="AB41" i="9"/>
  <c r="AC41" i="9"/>
  <c r="AC134" i="9"/>
  <c r="AF134" i="9"/>
  <c r="AK134" i="9"/>
  <c r="AL134" i="9" s="1"/>
  <c r="AB134" i="9"/>
  <c r="AF31" i="9"/>
  <c r="AC31" i="9"/>
  <c r="AB31" i="9"/>
  <c r="AK31" i="9"/>
  <c r="AL31" i="9" s="1"/>
  <c r="AK229" i="9"/>
  <c r="AL229" i="9" s="1"/>
  <c r="AB229" i="9"/>
  <c r="AF229" i="9"/>
  <c r="AC229" i="9"/>
  <c r="AB56" i="9"/>
  <c r="AF56" i="9"/>
  <c r="AK56" i="9"/>
  <c r="AL56" i="9" s="1"/>
  <c r="AC56" i="9"/>
  <c r="AC119" i="9"/>
  <c r="AF119" i="9"/>
  <c r="AB119" i="9"/>
  <c r="AK160" i="9"/>
  <c r="AL160" i="9" s="1"/>
  <c r="AC160" i="9"/>
  <c r="AF160" i="9"/>
  <c r="AB160" i="9"/>
  <c r="AC109" i="9"/>
  <c r="AF109" i="9"/>
  <c r="AB109" i="9"/>
  <c r="AK77" i="9"/>
  <c r="AL77" i="9" s="1"/>
  <c r="AF77" i="9"/>
  <c r="AC77" i="9"/>
  <c r="AB77" i="9"/>
  <c r="AF247" i="9"/>
  <c r="AB247" i="9"/>
  <c r="AC247" i="9"/>
  <c r="AK247" i="9"/>
  <c r="AL247" i="9" s="1"/>
  <c r="AK116" i="9"/>
  <c r="AL116" i="9" s="1"/>
  <c r="AF116" i="9"/>
  <c r="AC116" i="9"/>
  <c r="AB116" i="9"/>
  <c r="AB18" i="9"/>
  <c r="AC18" i="9"/>
  <c r="AF18" i="9"/>
  <c r="AK18" i="9"/>
  <c r="AL18" i="9" s="1"/>
  <c r="AK24" i="9"/>
  <c r="AL24" i="9" s="1"/>
  <c r="AC24" i="9"/>
  <c r="AF24" i="9"/>
  <c r="AB24" i="9"/>
  <c r="AF48" i="9"/>
  <c r="AB48" i="9"/>
  <c r="AK48" i="9"/>
  <c r="AL48" i="9" s="1"/>
  <c r="AC48" i="9"/>
  <c r="AB197" i="9"/>
  <c r="AF197" i="9"/>
  <c r="AC197" i="9"/>
  <c r="AK197" i="9"/>
  <c r="AL197" i="9" s="1"/>
  <c r="AK171" i="9"/>
  <c r="AL171" i="9" s="1"/>
  <c r="AF171" i="9"/>
  <c r="AB171" i="9"/>
  <c r="AC171" i="9"/>
  <c r="AK129" i="9"/>
  <c r="AL129" i="9" s="1"/>
  <c r="AC129" i="9"/>
  <c r="AF129" i="9"/>
  <c r="AB129" i="9"/>
  <c r="AB102" i="9"/>
  <c r="AC102" i="9"/>
  <c r="AF102" i="9"/>
  <c r="AK102" i="9"/>
  <c r="AL102" i="9" s="1"/>
  <c r="AF243" i="9"/>
  <c r="AB243" i="9"/>
  <c r="AK243" i="9"/>
  <c r="AL243" i="9" s="1"/>
  <c r="AC243" i="9"/>
  <c r="AB156" i="9"/>
  <c r="AC156" i="9"/>
  <c r="AK156" i="9"/>
  <c r="AL156" i="9" s="1"/>
  <c r="AF156" i="9"/>
  <c r="AK242" i="9"/>
  <c r="AL242" i="9" s="1"/>
  <c r="AC242" i="9"/>
  <c r="AB242" i="9"/>
  <c r="AF242" i="9"/>
  <c r="AF177" i="9"/>
  <c r="AB177" i="9"/>
  <c r="AC177" i="9"/>
  <c r="AB148" i="9"/>
  <c r="AF148" i="9"/>
  <c r="AK148" i="9"/>
  <c r="AL148" i="9" s="1"/>
  <c r="AC148" i="9"/>
  <c r="AB251" i="9"/>
  <c r="AF251" i="9"/>
  <c r="AK251" i="9"/>
  <c r="AL251" i="9" s="1"/>
  <c r="AC251" i="9"/>
  <c r="AF22" i="9"/>
  <c r="AC22" i="9"/>
  <c r="AB22" i="9"/>
  <c r="AC220" i="9"/>
  <c r="AB220" i="9"/>
  <c r="C9" i="8" s="1"/>
  <c r="AF220" i="9"/>
  <c r="G9" i="8" s="1"/>
  <c r="AF122" i="9"/>
  <c r="AC122" i="9"/>
  <c r="AK122" i="9"/>
  <c r="AL122" i="9" s="1"/>
  <c r="AB122" i="9"/>
  <c r="AB143" i="9"/>
  <c r="AF143" i="9"/>
  <c r="AC143" i="9"/>
  <c r="AF11" i="9"/>
  <c r="AC11" i="9"/>
  <c r="AK11" i="9"/>
  <c r="AL11" i="9" s="1"/>
  <c r="AB11" i="9"/>
  <c r="AB127" i="9"/>
  <c r="AF127" i="9"/>
  <c r="AK127" i="9"/>
  <c r="AL127" i="9" s="1"/>
  <c r="AC127" i="9"/>
  <c r="AK213" i="9"/>
  <c r="AL213" i="9" s="1"/>
  <c r="AF213" i="9"/>
  <c r="AC213" i="9"/>
  <c r="AB213" i="9"/>
  <c r="AK110" i="9"/>
  <c r="AL110" i="9" s="1"/>
  <c r="AB110" i="9"/>
  <c r="AF110" i="9"/>
  <c r="AC110" i="9"/>
  <c r="AC53" i="9"/>
  <c r="AK53" i="9"/>
  <c r="AL53" i="9" s="1"/>
  <c r="AB53" i="9"/>
  <c r="AF53" i="9"/>
  <c r="AC23" i="9"/>
  <c r="AB23" i="9"/>
  <c r="AF23" i="9"/>
  <c r="AK23" i="9"/>
  <c r="AL23" i="9" s="1"/>
  <c r="AB227" i="9"/>
  <c r="AF227" i="9"/>
  <c r="AC227" i="9"/>
  <c r="AC179" i="9"/>
  <c r="AF179" i="9"/>
  <c r="AB179" i="9"/>
  <c r="AF92" i="9"/>
  <c r="AC92" i="9"/>
  <c r="AB92" i="9"/>
  <c r="AK92" i="9"/>
  <c r="AL92" i="9" s="1"/>
  <c r="AC153" i="9"/>
  <c r="AB153" i="9"/>
  <c r="AF153" i="9"/>
  <c r="AK153" i="9"/>
  <c r="AL153" i="9" s="1"/>
  <c r="AK93" i="9"/>
  <c r="AL93" i="9" s="1"/>
  <c r="AC93" i="9"/>
  <c r="AB93" i="9"/>
  <c r="AF93" i="9"/>
  <c r="AK107" i="9"/>
  <c r="AL107" i="9" s="1"/>
  <c r="AC107" i="9"/>
  <c r="AB107" i="9"/>
  <c r="AF107" i="9"/>
  <c r="AK21" i="9"/>
  <c r="AL21" i="9" s="1"/>
  <c r="AF21" i="9"/>
  <c r="AB21" i="9"/>
  <c r="AC21" i="9"/>
  <c r="AF218" i="9"/>
  <c r="AC218" i="9"/>
  <c r="AB218" i="9"/>
  <c r="AK240" i="9"/>
  <c r="AL240" i="9" s="1"/>
  <c r="AC240" i="9"/>
  <c r="AF240" i="9"/>
  <c r="AB240" i="9"/>
  <c r="AF8" i="9"/>
  <c r="AK8" i="9"/>
  <c r="AL8" i="9" s="1"/>
  <c r="AC8" i="9"/>
  <c r="AB8" i="9"/>
  <c r="AB212" i="9"/>
  <c r="AC212" i="9"/>
  <c r="AF212" i="9"/>
  <c r="AK212" i="9"/>
  <c r="AL212" i="9" s="1"/>
  <c r="AF115" i="9"/>
  <c r="AB115" i="9"/>
  <c r="AK115" i="9"/>
  <c r="AL115" i="9" s="1"/>
  <c r="AC115" i="9"/>
  <c r="AF73" i="9"/>
  <c r="AB73" i="9"/>
  <c r="AC73" i="9"/>
  <c r="AK73" i="9"/>
  <c r="AL73" i="9" s="1"/>
  <c r="AK45" i="9"/>
  <c r="AL45" i="9" s="1"/>
  <c r="AB45" i="9"/>
  <c r="AF45" i="9"/>
  <c r="AC45" i="9"/>
  <c r="AK44" i="9"/>
  <c r="AL44" i="9" s="1"/>
  <c r="AF44" i="9"/>
  <c r="AB44" i="9"/>
  <c r="AC44" i="9"/>
  <c r="AC75" i="9"/>
  <c r="AL75" i="9"/>
  <c r="AF75" i="9"/>
  <c r="AB75" i="9"/>
  <c r="AK187" i="9"/>
  <c r="AL187" i="9" s="1"/>
  <c r="AF187" i="9"/>
  <c r="AC187" i="9"/>
  <c r="AB187" i="9"/>
  <c r="AB60" i="9"/>
  <c r="AF60" i="9"/>
  <c r="AC60" i="9"/>
  <c r="AK60" i="9"/>
  <c r="AL60" i="9" s="1"/>
  <c r="AK88" i="9"/>
  <c r="AL88" i="9" s="1"/>
  <c r="AC88" i="9"/>
  <c r="AB88" i="9"/>
  <c r="AF88" i="9"/>
  <c r="AK182" i="9"/>
  <c r="AL182" i="9" s="1"/>
  <c r="AF182" i="9"/>
  <c r="AC182" i="9"/>
  <c r="AB182" i="9"/>
  <c r="AF94" i="9"/>
  <c r="AC94" i="9"/>
  <c r="AB94" i="9"/>
  <c r="AK94" i="9"/>
  <c r="AL94" i="9" s="1"/>
  <c r="AF17" i="9"/>
  <c r="AB17" i="9"/>
  <c r="AC17" i="9"/>
  <c r="AK17" i="9"/>
  <c r="AL17" i="9" s="1"/>
  <c r="AC233" i="9"/>
  <c r="AF233" i="9"/>
  <c r="AB233" i="9"/>
  <c r="AK233" i="9"/>
  <c r="AL233" i="9" s="1"/>
  <c r="AB104" i="9"/>
  <c r="AC104" i="9"/>
  <c r="AF104" i="9"/>
  <c r="AK172" i="9"/>
  <c r="AL172" i="9" s="1"/>
  <c r="AB172" i="9"/>
  <c r="AF172" i="9"/>
  <c r="AC172" i="9"/>
  <c r="AC128" i="9"/>
  <c r="AK128" i="9"/>
  <c r="AL128" i="9" s="1"/>
  <c r="AB128" i="9"/>
  <c r="AF128" i="9"/>
  <c r="AC246" i="9"/>
  <c r="AK246" i="9"/>
  <c r="AL246" i="9" s="1"/>
  <c r="AF246" i="9"/>
  <c r="AB246" i="9"/>
  <c r="AB193" i="9"/>
  <c r="AF193" i="9"/>
  <c r="AK193" i="9"/>
  <c r="AL193" i="9" s="1"/>
  <c r="AC193" i="9"/>
  <c r="AF204" i="9"/>
  <c r="AC204" i="9"/>
  <c r="AK204" i="9"/>
  <c r="AL204" i="9" s="1"/>
  <c r="AB204" i="9"/>
  <c r="AK199" i="9"/>
  <c r="AL199" i="9" s="1"/>
  <c r="AF199" i="9"/>
  <c r="AB199" i="9"/>
  <c r="AC199" i="9"/>
  <c r="V18" i="8" l="1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2" i="9"/>
  <c r="AD252" i="9" s="1"/>
  <c r="E252" i="5" s="1"/>
  <c r="W19" i="8"/>
  <c r="AF252" i="9"/>
  <c r="AG252" i="9" s="1"/>
  <c r="I252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7" i="8"/>
  <c r="E6" i="8"/>
  <c r="C6" i="8"/>
  <c r="H46" i="5"/>
  <c r="AE46" i="9"/>
  <c r="G46" i="5" s="1"/>
  <c r="L46" i="5"/>
  <c r="AM46" i="9"/>
  <c r="K46" i="5" s="1"/>
  <c r="J46" i="5"/>
  <c r="AG46" i="9"/>
  <c r="I46" i="5" s="1"/>
  <c r="F46" i="5"/>
  <c r="AD46" i="9"/>
  <c r="E46" i="5" s="1"/>
  <c r="AK252" i="9"/>
  <c r="AL252" i="9" s="1"/>
  <c r="L252" i="5" s="1"/>
  <c r="L139" i="5"/>
  <c r="AM139" i="9"/>
  <c r="K139" i="5" s="1"/>
  <c r="AM133" i="9"/>
  <c r="K133" i="5" s="1"/>
  <c r="L133" i="5"/>
  <c r="L236" i="5"/>
  <c r="AM236" i="9"/>
  <c r="K236" i="5" s="1"/>
  <c r="F106" i="5"/>
  <c r="AD106" i="9"/>
  <c r="E106" i="5" s="1"/>
  <c r="J241" i="5"/>
  <c r="AG241" i="9"/>
  <c r="I241" i="5" s="1"/>
  <c r="L208" i="5"/>
  <c r="AM208" i="9"/>
  <c r="K208" i="5" s="1"/>
  <c r="L221" i="5"/>
  <c r="AM221" i="9"/>
  <c r="K221" i="5" s="1"/>
  <c r="H168" i="5"/>
  <c r="AE168" i="9"/>
  <c r="G168" i="5" s="1"/>
  <c r="H91" i="5"/>
  <c r="AE91" i="9"/>
  <c r="G91" i="5" s="1"/>
  <c r="F118" i="5"/>
  <c r="AD118" i="9"/>
  <c r="E118" i="5" s="1"/>
  <c r="L224" i="5"/>
  <c r="AM224" i="9"/>
  <c r="K224" i="5" s="1"/>
  <c r="I6" i="8"/>
  <c r="L206" i="5"/>
  <c r="AM206" i="9"/>
  <c r="K206" i="5" s="1"/>
  <c r="L184" i="5"/>
  <c r="AM184" i="9"/>
  <c r="K184" i="5" s="1"/>
  <c r="L162" i="5"/>
  <c r="AM162" i="9"/>
  <c r="K162" i="5" s="1"/>
  <c r="H14" i="5"/>
  <c r="AE14" i="9"/>
  <c r="G14" i="5" s="1"/>
  <c r="F25" i="5"/>
  <c r="AD25" i="9"/>
  <c r="E25" i="5" s="1"/>
  <c r="F138" i="5"/>
  <c r="AD138" i="9"/>
  <c r="E138" i="5" s="1"/>
  <c r="F61" i="5"/>
  <c r="AD61" i="9"/>
  <c r="E61" i="5" s="1"/>
  <c r="AM136" i="9"/>
  <c r="K136" i="5" s="1"/>
  <c r="L136" i="5"/>
  <c r="AE163" i="9"/>
  <c r="G163" i="5" s="1"/>
  <c r="H163" i="5"/>
  <c r="H154" i="5"/>
  <c r="AE154" i="9"/>
  <c r="G154" i="5" s="1"/>
  <c r="F71" i="5"/>
  <c r="AD71" i="9"/>
  <c r="E71" i="5" s="1"/>
  <c r="J33" i="5"/>
  <c r="AG33" i="9"/>
  <c r="I33" i="5" s="1"/>
  <c r="AE149" i="9"/>
  <c r="G149" i="5" s="1"/>
  <c r="H149" i="5"/>
  <c r="H193" i="5"/>
  <c r="AE193" i="9"/>
  <c r="G193" i="5" s="1"/>
  <c r="H17" i="5"/>
  <c r="AE17" i="9"/>
  <c r="G17" i="5" s="1"/>
  <c r="AE60" i="9"/>
  <c r="G60" i="5" s="1"/>
  <c r="H60" i="5"/>
  <c r="J75" i="5"/>
  <c r="AG75" i="9"/>
  <c r="I75" i="5" s="1"/>
  <c r="L115" i="5"/>
  <c r="AM115" i="9"/>
  <c r="K115" i="5" s="1"/>
  <c r="H8" i="5"/>
  <c r="AE8" i="9"/>
  <c r="G8" i="5" s="1"/>
  <c r="H218" i="5"/>
  <c r="AE218" i="9"/>
  <c r="G218" i="5" s="1"/>
  <c r="H93" i="5"/>
  <c r="AE93" i="9"/>
  <c r="G93" i="5" s="1"/>
  <c r="AE92" i="9"/>
  <c r="G92" i="5" s="1"/>
  <c r="H92" i="5"/>
  <c r="L23" i="5"/>
  <c r="AM23" i="9"/>
  <c r="K23" i="5" s="1"/>
  <c r="H110" i="5"/>
  <c r="AE110" i="9"/>
  <c r="G110" i="5" s="1"/>
  <c r="H127" i="5"/>
  <c r="AE127" i="9"/>
  <c r="G127" i="5" s="1"/>
  <c r="H143" i="5"/>
  <c r="AE143" i="9"/>
  <c r="G143" i="5" s="1"/>
  <c r="F220" i="5"/>
  <c r="AD220" i="9"/>
  <c r="F251" i="5"/>
  <c r="AD251" i="9"/>
  <c r="E251" i="5" s="1"/>
  <c r="J242" i="5"/>
  <c r="AG242" i="9"/>
  <c r="I242" i="5" s="1"/>
  <c r="H243" i="5"/>
  <c r="AE243" i="9"/>
  <c r="G243" i="5" s="1"/>
  <c r="F129" i="5"/>
  <c r="AD129" i="9"/>
  <c r="E129" i="5" s="1"/>
  <c r="F24" i="5"/>
  <c r="AD24" i="9"/>
  <c r="E24" i="5" s="1"/>
  <c r="F116" i="5"/>
  <c r="AD116" i="9"/>
  <c r="E116" i="5" s="1"/>
  <c r="F77" i="5"/>
  <c r="AD77" i="9"/>
  <c r="E77" i="5" s="1"/>
  <c r="J160" i="5"/>
  <c r="AG160" i="9"/>
  <c r="I160" i="5" s="1"/>
  <c r="AG56" i="9"/>
  <c r="I56" i="5" s="1"/>
  <c r="J56" i="5"/>
  <c r="H31" i="5"/>
  <c r="AE31" i="9"/>
  <c r="G31" i="5" s="1"/>
  <c r="J41" i="5"/>
  <c r="AG41" i="9"/>
  <c r="I41" i="5" s="1"/>
  <c r="H39" i="5"/>
  <c r="AE39" i="9"/>
  <c r="G39" i="5" s="1"/>
  <c r="H10" i="5"/>
  <c r="AE10" i="9"/>
  <c r="G10" i="5" s="1"/>
  <c r="F165" i="5"/>
  <c r="AD165" i="9"/>
  <c r="E165" i="5" s="1"/>
  <c r="J152" i="5"/>
  <c r="AG152" i="9"/>
  <c r="I152" i="5" s="1"/>
  <c r="L30" i="5"/>
  <c r="AM30" i="9"/>
  <c r="K30" i="5" s="1"/>
  <c r="L84" i="5"/>
  <c r="AM84" i="9"/>
  <c r="K84" i="5" s="1"/>
  <c r="F166" i="5"/>
  <c r="AD166" i="9"/>
  <c r="AM68" i="9"/>
  <c r="K68" i="5" s="1"/>
  <c r="L68" i="5"/>
  <c r="J67" i="5"/>
  <c r="AG67" i="9"/>
  <c r="I67" i="5" s="1"/>
  <c r="L207" i="5"/>
  <c r="AM207" i="9"/>
  <c r="K207" i="5" s="1"/>
  <c r="L54" i="5"/>
  <c r="AM54" i="9"/>
  <c r="K54" i="5" s="1"/>
  <c r="F185" i="5"/>
  <c r="AD185" i="9"/>
  <c r="E185" i="5" s="1"/>
  <c r="F69" i="5"/>
  <c r="AD69" i="9"/>
  <c r="E69" i="5" s="1"/>
  <c r="L123" i="5"/>
  <c r="AM123" i="9"/>
  <c r="K123" i="5" s="1"/>
  <c r="F114" i="5"/>
  <c r="AD114" i="9"/>
  <c r="E114" i="5" s="1"/>
  <c r="J146" i="5"/>
  <c r="AG146" i="9"/>
  <c r="I146" i="5" s="1"/>
  <c r="L81" i="5"/>
  <c r="AM81" i="9"/>
  <c r="K81" i="5" s="1"/>
  <c r="H26" i="5"/>
  <c r="AE26" i="9"/>
  <c r="G26" i="5" s="1"/>
  <c r="F183" i="5"/>
  <c r="AD183" i="9"/>
  <c r="E183" i="5" s="1"/>
  <c r="AM169" i="9"/>
  <c r="K169" i="5" s="1"/>
  <c r="L169" i="5"/>
  <c r="AD142" i="9"/>
  <c r="E142" i="5" s="1"/>
  <c r="F142" i="5"/>
  <c r="H203" i="5"/>
  <c r="AE203" i="9"/>
  <c r="G203" i="5" s="1"/>
  <c r="J100" i="5"/>
  <c r="AG100" i="9"/>
  <c r="I100" i="5" s="1"/>
  <c r="H72" i="5"/>
  <c r="AE72" i="9"/>
  <c r="G72" i="5" s="1"/>
  <c r="F29" i="5"/>
  <c r="AD29" i="9"/>
  <c r="E29" i="5" s="1"/>
  <c r="F195" i="5"/>
  <c r="AD195" i="9"/>
  <c r="E195" i="5" s="1"/>
  <c r="F42" i="5"/>
  <c r="AD42" i="9"/>
  <c r="E42" i="5" s="1"/>
  <c r="F113" i="5"/>
  <c r="AD113" i="9"/>
  <c r="E113" i="5" s="1"/>
  <c r="AG37" i="9"/>
  <c r="J37" i="5"/>
  <c r="F52" i="5"/>
  <c r="AD52" i="9"/>
  <c r="E52" i="5" s="1"/>
  <c r="J63" i="5"/>
  <c r="AG63" i="9"/>
  <c r="I63" i="5" s="1"/>
  <c r="AM217" i="9"/>
  <c r="K217" i="5" s="1"/>
  <c r="L217" i="5"/>
  <c r="L130" i="5"/>
  <c r="AM130" i="9"/>
  <c r="K130" i="5" s="1"/>
  <c r="F15" i="5"/>
  <c r="AD15" i="9"/>
  <c r="E15" i="5" s="1"/>
  <c r="J50" i="5"/>
  <c r="AG50" i="9"/>
  <c r="I50" i="5" s="1"/>
  <c r="H139" i="5"/>
  <c r="AE139" i="9"/>
  <c r="G139" i="5" s="1"/>
  <c r="J164" i="5"/>
  <c r="AG164" i="9"/>
  <c r="I164" i="5" s="1"/>
  <c r="J133" i="5"/>
  <c r="AG133" i="9"/>
  <c r="I133" i="5" s="1"/>
  <c r="L235" i="5"/>
  <c r="AM235" i="9"/>
  <c r="K235" i="5" s="1"/>
  <c r="J236" i="5"/>
  <c r="AG236" i="9"/>
  <c r="I236" i="5" s="1"/>
  <c r="L106" i="5"/>
  <c r="AM106" i="9"/>
  <c r="K106" i="5" s="1"/>
  <c r="AE74" i="9"/>
  <c r="G74" i="5" s="1"/>
  <c r="H74" i="5"/>
  <c r="J19" i="5"/>
  <c r="AG19" i="9"/>
  <c r="I19" i="5" s="1"/>
  <c r="J202" i="5"/>
  <c r="AG202" i="9"/>
  <c r="I202" i="5" s="1"/>
  <c r="L150" i="5"/>
  <c r="AM150" i="9"/>
  <c r="K150" i="5" s="1"/>
  <c r="H221" i="5"/>
  <c r="AE221" i="9"/>
  <c r="G221" i="5" s="1"/>
  <c r="F137" i="5"/>
  <c r="AD137" i="9"/>
  <c r="E137" i="5" s="1"/>
  <c r="AG168" i="9"/>
  <c r="I168" i="5" s="1"/>
  <c r="J168" i="5"/>
  <c r="H194" i="5"/>
  <c r="AE194" i="9"/>
  <c r="G194" i="5" s="1"/>
  <c r="J91" i="5"/>
  <c r="AG91" i="9"/>
  <c r="I91" i="5" s="1"/>
  <c r="H118" i="5"/>
  <c r="AE118" i="9"/>
  <c r="G118" i="5" s="1"/>
  <c r="J225" i="5"/>
  <c r="AG225" i="9"/>
  <c r="I225" i="5" s="1"/>
  <c r="G7" i="8"/>
  <c r="J70" i="5"/>
  <c r="AG70" i="9"/>
  <c r="I70" i="5" s="1"/>
  <c r="H99" i="5"/>
  <c r="AE99" i="9"/>
  <c r="G99" i="5" s="1"/>
  <c r="L57" i="5"/>
  <c r="AM57" i="9"/>
  <c r="K57" i="5" s="1"/>
  <c r="H206" i="5"/>
  <c r="AE206" i="9"/>
  <c r="G206" i="5" s="1"/>
  <c r="H188" i="5"/>
  <c r="AE188" i="9"/>
  <c r="G188" i="5" s="1"/>
  <c r="F184" i="5"/>
  <c r="AD184" i="9"/>
  <c r="E184" i="5" s="1"/>
  <c r="H170" i="5"/>
  <c r="AE170" i="9"/>
  <c r="G170" i="5" s="1"/>
  <c r="L158" i="5"/>
  <c r="AM158" i="9"/>
  <c r="K158" i="5" s="1"/>
  <c r="J49" i="5"/>
  <c r="AG49" i="9"/>
  <c r="I49" i="5" s="1"/>
  <c r="L90" i="5"/>
  <c r="AM90" i="9"/>
  <c r="K90" i="5" s="1"/>
  <c r="H79" i="5"/>
  <c r="AE79" i="9"/>
  <c r="G79" i="5" s="1"/>
  <c r="F209" i="5"/>
  <c r="AD209" i="9"/>
  <c r="E209" i="5" s="1"/>
  <c r="H214" i="5"/>
  <c r="AE214" i="9"/>
  <c r="G214" i="5" s="1"/>
  <c r="AM210" i="9"/>
  <c r="K210" i="5" s="1"/>
  <c r="L210" i="5"/>
  <c r="AM151" i="9"/>
  <c r="K151" i="5" s="1"/>
  <c r="L151" i="5"/>
  <c r="H82" i="5"/>
  <c r="AE82" i="9"/>
  <c r="G82" i="5" s="1"/>
  <c r="H78" i="5"/>
  <c r="AE78" i="9"/>
  <c r="G78" i="5" s="1"/>
  <c r="J230" i="5"/>
  <c r="AG230" i="9"/>
  <c r="I230" i="5" s="1"/>
  <c r="J228" i="5"/>
  <c r="AG228" i="9"/>
  <c r="I228" i="5" s="1"/>
  <c r="L163" i="5"/>
  <c r="AM163" i="9"/>
  <c r="K163" i="5" s="1"/>
  <c r="H239" i="5"/>
  <c r="AE239" i="9"/>
  <c r="G239" i="5" s="1"/>
  <c r="AG154" i="9"/>
  <c r="I154" i="5" s="1"/>
  <c r="J154" i="5"/>
  <c r="L47" i="5"/>
  <c r="AM47" i="9"/>
  <c r="K47" i="5" s="1"/>
  <c r="H71" i="5"/>
  <c r="AE71" i="9"/>
  <c r="G71" i="5" s="1"/>
  <c r="F33" i="5"/>
  <c r="AD33" i="9"/>
  <c r="E33" i="5" s="1"/>
  <c r="F112" i="5"/>
  <c r="AD112" i="9"/>
  <c r="E112" i="5" s="1"/>
  <c r="AG231" i="9"/>
  <c r="I231" i="5" s="1"/>
  <c r="J231" i="5"/>
  <c r="AM121" i="9"/>
  <c r="K121" i="5" s="1"/>
  <c r="L121" i="5"/>
  <c r="AG226" i="9"/>
  <c r="I226" i="5" s="1"/>
  <c r="J226" i="5"/>
  <c r="AM149" i="9"/>
  <c r="K149" i="5" s="1"/>
  <c r="L149" i="5"/>
  <c r="F199" i="5"/>
  <c r="AD199" i="9"/>
  <c r="E199" i="5" s="1"/>
  <c r="L193" i="5"/>
  <c r="AM193" i="9"/>
  <c r="K193" i="5" s="1"/>
  <c r="F128" i="5"/>
  <c r="AD128" i="9"/>
  <c r="E128" i="5" s="1"/>
  <c r="AE104" i="9"/>
  <c r="G104" i="5" s="1"/>
  <c r="H104" i="5"/>
  <c r="F17" i="5"/>
  <c r="AD17" i="9"/>
  <c r="E17" i="5" s="1"/>
  <c r="AG182" i="9"/>
  <c r="I182" i="5" s="1"/>
  <c r="J182" i="5"/>
  <c r="J60" i="5"/>
  <c r="AG60" i="9"/>
  <c r="I60" i="5" s="1"/>
  <c r="L75" i="5"/>
  <c r="AM75" i="9"/>
  <c r="K75" i="5" s="1"/>
  <c r="F45" i="5"/>
  <c r="AD45" i="9"/>
  <c r="E45" i="5" s="1"/>
  <c r="F115" i="5"/>
  <c r="AD115" i="9"/>
  <c r="E115" i="5" s="1"/>
  <c r="AM8" i="9"/>
  <c r="K8" i="5" s="1"/>
  <c r="L8" i="5"/>
  <c r="J218" i="5"/>
  <c r="AG218" i="9"/>
  <c r="I218" i="5" s="1"/>
  <c r="L93" i="5"/>
  <c r="AM93" i="9"/>
  <c r="K93" i="5" s="1"/>
  <c r="J92" i="5"/>
  <c r="AG92" i="9"/>
  <c r="I92" i="5" s="1"/>
  <c r="J23" i="5"/>
  <c r="AG23" i="9"/>
  <c r="I23" i="5" s="1"/>
  <c r="J110" i="5"/>
  <c r="AG110" i="9"/>
  <c r="I110" i="5" s="1"/>
  <c r="L127" i="5"/>
  <c r="AM127" i="9"/>
  <c r="K127" i="5" s="1"/>
  <c r="J143" i="5"/>
  <c r="AG143" i="9"/>
  <c r="I143" i="5" s="1"/>
  <c r="H220" i="5"/>
  <c r="AE220" i="9"/>
  <c r="AE148" i="9"/>
  <c r="G148" i="5" s="1"/>
  <c r="H148" i="5"/>
  <c r="AD242" i="9"/>
  <c r="E242" i="5" s="1"/>
  <c r="F242" i="5"/>
  <c r="L243" i="5"/>
  <c r="AM243" i="9"/>
  <c r="K243" i="5" s="1"/>
  <c r="J129" i="5"/>
  <c r="AG129" i="9"/>
  <c r="I129" i="5" s="1"/>
  <c r="H197" i="5"/>
  <c r="AE197" i="9"/>
  <c r="G197" i="5" s="1"/>
  <c r="AG24" i="9"/>
  <c r="I24" i="5" s="1"/>
  <c r="J24" i="5"/>
  <c r="H116" i="5"/>
  <c r="AE116" i="9"/>
  <c r="G116" i="5" s="1"/>
  <c r="H77" i="5"/>
  <c r="AE77" i="9"/>
  <c r="G77" i="5" s="1"/>
  <c r="H160" i="5"/>
  <c r="AE160" i="9"/>
  <c r="G160" i="5" s="1"/>
  <c r="AD56" i="9"/>
  <c r="E56" i="5" s="1"/>
  <c r="F56" i="5"/>
  <c r="J31" i="5"/>
  <c r="AG31" i="9"/>
  <c r="I31" i="5" s="1"/>
  <c r="H43" i="5"/>
  <c r="AE43" i="9"/>
  <c r="G43" i="5" s="1"/>
  <c r="J248" i="5"/>
  <c r="AG248" i="9"/>
  <c r="I248" i="5" s="1"/>
  <c r="AD140" i="9"/>
  <c r="E140" i="5" s="1"/>
  <c r="F140" i="5"/>
  <c r="L205" i="5"/>
  <c r="AM205" i="9"/>
  <c r="K205" i="5" s="1"/>
  <c r="F174" i="5"/>
  <c r="AD174" i="9"/>
  <c r="E174" i="5" s="1"/>
  <c r="J83" i="5"/>
  <c r="AG83" i="9"/>
  <c r="I83" i="5" s="1"/>
  <c r="H65" i="5"/>
  <c r="AE65" i="9"/>
  <c r="G65" i="5" s="1"/>
  <c r="H124" i="5"/>
  <c r="AE124" i="9"/>
  <c r="G124" i="5" s="1"/>
  <c r="F191" i="5"/>
  <c r="AD191" i="9"/>
  <c r="E191" i="5" s="1"/>
  <c r="AE64" i="9"/>
  <c r="G64" i="5" s="1"/>
  <c r="H64" i="5"/>
  <c r="L145" i="5"/>
  <c r="AM145" i="9"/>
  <c r="K145" i="5" s="1"/>
  <c r="J98" i="5"/>
  <c r="AG98" i="9"/>
  <c r="I98" i="5" s="1"/>
  <c r="J59" i="5"/>
  <c r="AG59" i="9"/>
  <c r="I59" i="5" s="1"/>
  <c r="F35" i="5"/>
  <c r="AD35" i="9"/>
  <c r="E35" i="5" s="1"/>
  <c r="F245" i="5"/>
  <c r="AD245" i="9"/>
  <c r="E245" i="5" s="1"/>
  <c r="H114" i="5"/>
  <c r="AE114" i="9"/>
  <c r="G114" i="5" s="1"/>
  <c r="F146" i="5"/>
  <c r="AD146" i="9"/>
  <c r="E146" i="5" s="1"/>
  <c r="J81" i="5"/>
  <c r="AG81" i="9"/>
  <c r="I81" i="5" s="1"/>
  <c r="F26" i="5"/>
  <c r="AD26" i="9"/>
  <c r="E26" i="5" s="1"/>
  <c r="H183" i="5"/>
  <c r="AE183" i="9"/>
  <c r="G183" i="5" s="1"/>
  <c r="F169" i="5"/>
  <c r="AD169" i="9"/>
  <c r="E169" i="5" s="1"/>
  <c r="AM142" i="9"/>
  <c r="K142" i="5" s="1"/>
  <c r="L142" i="5"/>
  <c r="AM203" i="9"/>
  <c r="L203" i="5"/>
  <c r="AM100" i="9"/>
  <c r="K100" i="5" s="1"/>
  <c r="L100" i="5"/>
  <c r="AG72" i="9"/>
  <c r="I72" i="5" s="1"/>
  <c r="J72" i="5"/>
  <c r="AG29" i="9"/>
  <c r="I29" i="5" s="1"/>
  <c r="J29" i="5"/>
  <c r="L195" i="5"/>
  <c r="AM195" i="9"/>
  <c r="K195" i="5" s="1"/>
  <c r="H42" i="5"/>
  <c r="AE42" i="9"/>
  <c r="G42" i="5" s="1"/>
  <c r="H113" i="5"/>
  <c r="AE113" i="9"/>
  <c r="G113" i="5" s="1"/>
  <c r="AD37" i="9"/>
  <c r="F37" i="5"/>
  <c r="J52" i="5"/>
  <c r="AG52" i="9"/>
  <c r="I52" i="5" s="1"/>
  <c r="F63" i="5"/>
  <c r="AD63" i="9"/>
  <c r="E63" i="5" s="1"/>
  <c r="J217" i="5"/>
  <c r="AG217" i="9"/>
  <c r="I217" i="5" s="1"/>
  <c r="H130" i="5"/>
  <c r="AE130" i="9"/>
  <c r="G130" i="5" s="1"/>
  <c r="L15" i="5"/>
  <c r="AM15" i="9"/>
  <c r="K15" i="5" s="1"/>
  <c r="H50" i="5"/>
  <c r="AE50" i="9"/>
  <c r="G50" i="5" s="1"/>
  <c r="F139" i="5"/>
  <c r="AD139" i="9"/>
  <c r="E139" i="5" s="1"/>
  <c r="F164" i="5"/>
  <c r="AD164" i="9"/>
  <c r="E164" i="5" s="1"/>
  <c r="F133" i="5"/>
  <c r="AD133" i="9"/>
  <c r="E133" i="5" s="1"/>
  <c r="H235" i="5"/>
  <c r="AE235" i="9"/>
  <c r="G235" i="5" s="1"/>
  <c r="H236" i="5"/>
  <c r="AE236" i="9"/>
  <c r="G236" i="5" s="1"/>
  <c r="H106" i="5"/>
  <c r="AE106" i="9"/>
  <c r="G106" i="5" s="1"/>
  <c r="F74" i="5"/>
  <c r="AD74" i="9"/>
  <c r="E74" i="5" s="1"/>
  <c r="F19" i="5"/>
  <c r="AD19" i="9"/>
  <c r="E19" i="5" s="1"/>
  <c r="H202" i="5"/>
  <c r="AE202" i="9"/>
  <c r="G202" i="5" s="1"/>
  <c r="J150" i="5"/>
  <c r="AG150" i="9"/>
  <c r="I150" i="5" s="1"/>
  <c r="F221" i="5"/>
  <c r="AD221" i="9"/>
  <c r="E221" i="5" s="1"/>
  <c r="J137" i="5"/>
  <c r="AG137" i="9"/>
  <c r="I137" i="5" s="1"/>
  <c r="F168" i="5"/>
  <c r="AD168" i="9"/>
  <c r="E168" i="5" s="1"/>
  <c r="AG194" i="9"/>
  <c r="I194" i="5" s="1"/>
  <c r="J194" i="5"/>
  <c r="F91" i="5"/>
  <c r="AD91" i="9"/>
  <c r="E91" i="5" s="1"/>
  <c r="L118" i="5"/>
  <c r="AM118" i="9"/>
  <c r="K118" i="5" s="1"/>
  <c r="F51" i="5"/>
  <c r="AD51" i="9"/>
  <c r="E51" i="5" s="1"/>
  <c r="AE70" i="9"/>
  <c r="G70" i="5" s="1"/>
  <c r="H70" i="5"/>
  <c r="J99" i="5"/>
  <c r="AG99" i="9"/>
  <c r="I99" i="5" s="1"/>
  <c r="H57" i="5"/>
  <c r="AE57" i="9"/>
  <c r="G57" i="5" s="1"/>
  <c r="G6" i="8"/>
  <c r="J206" i="5"/>
  <c r="AG206" i="9"/>
  <c r="I206" i="5" s="1"/>
  <c r="J238" i="5"/>
  <c r="AG238" i="9"/>
  <c r="I238" i="5" s="1"/>
  <c r="F237" i="5"/>
  <c r="AD237" i="9"/>
  <c r="E237" i="5" s="1"/>
  <c r="AM200" i="9"/>
  <c r="K200" i="5" s="1"/>
  <c r="L200" i="5"/>
  <c r="F141" i="5"/>
  <c r="AD141" i="9"/>
  <c r="E141" i="5" s="1"/>
  <c r="F49" i="5"/>
  <c r="AD49" i="9"/>
  <c r="E49" i="5" s="1"/>
  <c r="H90" i="5"/>
  <c r="AE90" i="9"/>
  <c r="G90" i="5" s="1"/>
  <c r="F79" i="5"/>
  <c r="AD79" i="9"/>
  <c r="E79" i="5" s="1"/>
  <c r="J209" i="5"/>
  <c r="AG209" i="9"/>
  <c r="I209" i="5" s="1"/>
  <c r="F214" i="5"/>
  <c r="AD214" i="9"/>
  <c r="E214" i="5" s="1"/>
  <c r="F210" i="5"/>
  <c r="AD210" i="9"/>
  <c r="E210" i="5" s="1"/>
  <c r="F151" i="5"/>
  <c r="AD151" i="9"/>
  <c r="E151" i="5" s="1"/>
  <c r="J82" i="5"/>
  <c r="AG82" i="9"/>
  <c r="I82" i="5" s="1"/>
  <c r="L78" i="5"/>
  <c r="AM78" i="9"/>
  <c r="K78" i="5" s="1"/>
  <c r="AD230" i="9"/>
  <c r="E230" i="5" s="1"/>
  <c r="F230" i="5"/>
  <c r="AG223" i="9"/>
  <c r="I223" i="5" s="1"/>
  <c r="J223" i="5"/>
  <c r="AE228" i="9"/>
  <c r="G228" i="5" s="1"/>
  <c r="H228" i="5"/>
  <c r="J163" i="5"/>
  <c r="AG163" i="9"/>
  <c r="I163" i="5" s="1"/>
  <c r="F239" i="5"/>
  <c r="AD239" i="9"/>
  <c r="E239" i="5" s="1"/>
  <c r="F80" i="5"/>
  <c r="AD80" i="9"/>
  <c r="E80" i="5" s="1"/>
  <c r="J47" i="5"/>
  <c r="AG47" i="9"/>
  <c r="I47" i="5" s="1"/>
  <c r="L71" i="5"/>
  <c r="AM71" i="9"/>
  <c r="K71" i="5" s="1"/>
  <c r="H33" i="5"/>
  <c r="AE33" i="9"/>
  <c r="G33" i="5" s="1"/>
  <c r="H112" i="5"/>
  <c r="AE112" i="9"/>
  <c r="G112" i="5" s="1"/>
  <c r="AM167" i="9"/>
  <c r="K167" i="5" s="1"/>
  <c r="L167" i="5"/>
  <c r="F175" i="5"/>
  <c r="AD175" i="9"/>
  <c r="E175" i="5" s="1"/>
  <c r="AD226" i="9"/>
  <c r="E226" i="5" s="1"/>
  <c r="F226" i="5"/>
  <c r="AG149" i="9"/>
  <c r="I149" i="5" s="1"/>
  <c r="J149" i="5"/>
  <c r="AM17" i="9"/>
  <c r="K17" i="5" s="1"/>
  <c r="L17" i="5"/>
  <c r="F8" i="5"/>
  <c r="AD8" i="9"/>
  <c r="E8" i="5" s="1"/>
  <c r="AE53" i="9"/>
  <c r="G53" i="5" s="1"/>
  <c r="H53" i="5"/>
  <c r="AD156" i="9"/>
  <c r="E156" i="5" s="1"/>
  <c r="F156" i="5"/>
  <c r="AM56" i="9"/>
  <c r="K56" i="5" s="1"/>
  <c r="L56" i="5"/>
  <c r="L165" i="5"/>
  <c r="AM165" i="9"/>
  <c r="K165" i="5" s="1"/>
  <c r="AG166" i="9"/>
  <c r="J166" i="5"/>
  <c r="J207" i="5"/>
  <c r="AG207" i="9"/>
  <c r="I207" i="5" s="1"/>
  <c r="J123" i="5"/>
  <c r="AG123" i="9"/>
  <c r="I123" i="5" s="1"/>
  <c r="L26" i="5"/>
  <c r="AM26" i="9"/>
  <c r="K26" i="5" s="1"/>
  <c r="H169" i="5"/>
  <c r="AE169" i="9"/>
  <c r="G169" i="5" s="1"/>
  <c r="AG203" i="9"/>
  <c r="I203" i="5" s="1"/>
  <c r="J203" i="5"/>
  <c r="H100" i="5"/>
  <c r="AE100" i="9"/>
  <c r="G100" i="5" s="1"/>
  <c r="F72" i="5"/>
  <c r="AD72" i="9"/>
  <c r="E72" i="5" s="1"/>
  <c r="L144" i="5"/>
  <c r="AM144" i="9"/>
  <c r="K144" i="5" s="1"/>
  <c r="F97" i="5"/>
  <c r="AD97" i="9"/>
  <c r="E97" i="5" s="1"/>
  <c r="H52" i="5"/>
  <c r="AE52" i="9"/>
  <c r="G52" i="5" s="1"/>
  <c r="AE63" i="9"/>
  <c r="G63" i="5" s="1"/>
  <c r="H63" i="5"/>
  <c r="F217" i="5"/>
  <c r="AD217" i="9"/>
  <c r="E217" i="5" s="1"/>
  <c r="J130" i="5"/>
  <c r="AG130" i="9"/>
  <c r="I130" i="5" s="1"/>
  <c r="J15" i="5"/>
  <c r="AG15" i="9"/>
  <c r="I15" i="5" s="1"/>
  <c r="L85" i="5"/>
  <c r="AM85" i="9"/>
  <c r="K85" i="5" s="1"/>
  <c r="F50" i="5"/>
  <c r="AD50" i="9"/>
  <c r="E50" i="5" s="1"/>
  <c r="AM164" i="9"/>
  <c r="K164" i="5" s="1"/>
  <c r="L164" i="5"/>
  <c r="J235" i="5"/>
  <c r="AG235" i="9"/>
  <c r="I235" i="5" s="1"/>
  <c r="L74" i="5"/>
  <c r="AM74" i="9"/>
  <c r="K74" i="5" s="1"/>
  <c r="F150" i="5"/>
  <c r="AD150" i="9"/>
  <c r="E150" i="5" s="1"/>
  <c r="AM137" i="9"/>
  <c r="K137" i="5" s="1"/>
  <c r="L137" i="5"/>
  <c r="AD194" i="9"/>
  <c r="E194" i="5" s="1"/>
  <c r="F194" i="5"/>
  <c r="L225" i="5"/>
  <c r="AM225" i="9"/>
  <c r="K225" i="5" s="1"/>
  <c r="F99" i="5"/>
  <c r="AD99" i="9"/>
  <c r="E99" i="5" s="1"/>
  <c r="J57" i="5"/>
  <c r="AG57" i="9"/>
  <c r="I57" i="5" s="1"/>
  <c r="J188" i="5"/>
  <c r="AG188" i="9"/>
  <c r="I188" i="5" s="1"/>
  <c r="L170" i="5"/>
  <c r="AM170" i="9"/>
  <c r="K170" i="5" s="1"/>
  <c r="J158" i="5"/>
  <c r="AG158" i="9"/>
  <c r="I158" i="5" s="1"/>
  <c r="L34" i="5"/>
  <c r="AM34" i="9"/>
  <c r="K34" i="5" s="1"/>
  <c r="L9" i="5"/>
  <c r="AM9" i="9"/>
  <c r="K9" i="5" s="1"/>
  <c r="H250" i="5"/>
  <c r="AE250" i="9"/>
  <c r="G250" i="5" s="1"/>
  <c r="H125" i="5"/>
  <c r="AE125" i="9"/>
  <c r="G125" i="5" s="1"/>
  <c r="J89" i="5"/>
  <c r="AG89" i="9"/>
  <c r="I89" i="5" s="1"/>
  <c r="H27" i="5"/>
  <c r="AE27" i="9"/>
  <c r="G27" i="5" s="1"/>
  <c r="AG239" i="9"/>
  <c r="I239" i="5" s="1"/>
  <c r="J239" i="5"/>
  <c r="F47" i="5"/>
  <c r="AD47" i="9"/>
  <c r="E47" i="5" s="1"/>
  <c r="L20" i="5"/>
  <c r="AM20" i="9"/>
  <c r="K20" i="5" s="1"/>
  <c r="J104" i="5"/>
  <c r="AG104" i="9"/>
  <c r="I104" i="5" s="1"/>
  <c r="AE182" i="9"/>
  <c r="G182" i="5" s="1"/>
  <c r="H182" i="5"/>
  <c r="J45" i="5"/>
  <c r="AG45" i="9"/>
  <c r="I45" i="5" s="1"/>
  <c r="L197" i="5"/>
  <c r="AM197" i="9"/>
  <c r="K197" i="5" s="1"/>
  <c r="L223" i="5"/>
  <c r="AM223" i="9"/>
  <c r="K223" i="5" s="1"/>
  <c r="J199" i="5"/>
  <c r="AG199" i="9"/>
  <c r="I199" i="5" s="1"/>
  <c r="J193" i="5"/>
  <c r="AG193" i="9"/>
  <c r="I193" i="5" s="1"/>
  <c r="L128" i="5"/>
  <c r="AM128" i="9"/>
  <c r="K128" i="5" s="1"/>
  <c r="F104" i="5"/>
  <c r="AD104" i="9"/>
  <c r="E104" i="5" s="1"/>
  <c r="J17" i="5"/>
  <c r="AG17" i="9"/>
  <c r="I17" i="5" s="1"/>
  <c r="L182" i="5"/>
  <c r="AM182" i="9"/>
  <c r="K182" i="5" s="1"/>
  <c r="F60" i="5"/>
  <c r="AD60" i="9"/>
  <c r="E60" i="5" s="1"/>
  <c r="H75" i="5"/>
  <c r="AE75" i="9"/>
  <c r="G75" i="5" s="1"/>
  <c r="L45" i="5"/>
  <c r="AM45" i="9"/>
  <c r="K45" i="5" s="1"/>
  <c r="J115" i="5"/>
  <c r="AG115" i="9"/>
  <c r="I115" i="5" s="1"/>
  <c r="J8" i="5"/>
  <c r="AG8" i="9"/>
  <c r="I8" i="5" s="1"/>
  <c r="H21" i="5"/>
  <c r="AE21" i="9"/>
  <c r="G21" i="5" s="1"/>
  <c r="J107" i="5"/>
  <c r="AG107" i="9"/>
  <c r="I107" i="5" s="1"/>
  <c r="L153" i="5"/>
  <c r="AM153" i="9"/>
  <c r="K153" i="5" s="1"/>
  <c r="AD179" i="9"/>
  <c r="E179" i="5" s="1"/>
  <c r="F179" i="5"/>
  <c r="AD23" i="9"/>
  <c r="E23" i="5" s="1"/>
  <c r="F23" i="5"/>
  <c r="F110" i="5"/>
  <c r="AD110" i="9"/>
  <c r="E110" i="5" s="1"/>
  <c r="J127" i="5"/>
  <c r="AG127" i="9"/>
  <c r="I127" i="5" s="1"/>
  <c r="AD143" i="9"/>
  <c r="E143" i="5" s="1"/>
  <c r="F143" i="5"/>
  <c r="F22" i="5"/>
  <c r="AD22" i="9"/>
  <c r="E22" i="5" s="1"/>
  <c r="AM148" i="9"/>
  <c r="K148" i="5" s="1"/>
  <c r="L148" i="5"/>
  <c r="H242" i="5"/>
  <c r="AE242" i="9"/>
  <c r="G242" i="5" s="1"/>
  <c r="AD243" i="9"/>
  <c r="E243" i="5" s="1"/>
  <c r="F243" i="5"/>
  <c r="H129" i="5"/>
  <c r="AE129" i="9"/>
  <c r="G129" i="5" s="1"/>
  <c r="J197" i="5"/>
  <c r="AG197" i="9"/>
  <c r="I197" i="5" s="1"/>
  <c r="H24" i="5"/>
  <c r="AE24" i="9"/>
  <c r="G24" i="5" s="1"/>
  <c r="J116" i="5"/>
  <c r="AG116" i="9"/>
  <c r="I116" i="5" s="1"/>
  <c r="J77" i="5"/>
  <c r="AG77" i="9"/>
  <c r="I77" i="5" s="1"/>
  <c r="AM160" i="9"/>
  <c r="K160" i="5" s="1"/>
  <c r="L160" i="5"/>
  <c r="H229" i="5"/>
  <c r="AE229" i="9"/>
  <c r="G229" i="5" s="1"/>
  <c r="AD134" i="9"/>
  <c r="E134" i="5" s="1"/>
  <c r="F134" i="5"/>
  <c r="J43" i="5"/>
  <c r="AG43" i="9"/>
  <c r="I43" i="5" s="1"/>
  <c r="F248" i="5"/>
  <c r="AD248" i="9"/>
  <c r="E248" i="5" s="1"/>
  <c r="L140" i="5"/>
  <c r="AM140" i="9"/>
  <c r="K140" i="5" s="1"/>
  <c r="F205" i="5"/>
  <c r="AD205" i="9"/>
  <c r="E205" i="5" s="1"/>
  <c r="AE174" i="9"/>
  <c r="G174" i="5" s="1"/>
  <c r="H174" i="5"/>
  <c r="F83" i="5"/>
  <c r="AD83" i="9"/>
  <c r="E83" i="5" s="1"/>
  <c r="F65" i="5"/>
  <c r="AD65" i="9"/>
  <c r="E65" i="5" s="1"/>
  <c r="J124" i="5"/>
  <c r="AG124" i="9"/>
  <c r="I124" i="5" s="1"/>
  <c r="AM191" i="9"/>
  <c r="K191" i="5" s="1"/>
  <c r="L191" i="5"/>
  <c r="AM64" i="9"/>
  <c r="K64" i="5" s="1"/>
  <c r="L64" i="5"/>
  <c r="F145" i="5"/>
  <c r="AD145" i="9"/>
  <c r="E145" i="5" s="1"/>
  <c r="L98" i="5"/>
  <c r="AM98" i="9"/>
  <c r="K98" i="5" s="1"/>
  <c r="AD59" i="9"/>
  <c r="E59" i="5" s="1"/>
  <c r="F59" i="5"/>
  <c r="AG35" i="9"/>
  <c r="I35" i="5" s="1"/>
  <c r="J35" i="5"/>
  <c r="L245" i="5"/>
  <c r="AM245" i="9"/>
  <c r="K245" i="5" s="1"/>
  <c r="J114" i="5"/>
  <c r="AG114" i="9"/>
  <c r="I114" i="5" s="1"/>
  <c r="H146" i="5"/>
  <c r="AE146" i="9"/>
  <c r="G146" i="5" s="1"/>
  <c r="H81" i="5"/>
  <c r="AE81" i="9"/>
  <c r="G81" i="5" s="1"/>
  <c r="J26" i="5"/>
  <c r="AG26" i="9"/>
  <c r="I26" i="5" s="1"/>
  <c r="J183" i="5"/>
  <c r="AG183" i="9"/>
  <c r="I183" i="5" s="1"/>
  <c r="J169" i="5"/>
  <c r="AG169" i="9"/>
  <c r="I169" i="5" s="1"/>
  <c r="AE142" i="9"/>
  <c r="G142" i="5" s="1"/>
  <c r="H142" i="5"/>
  <c r="F203" i="5"/>
  <c r="AD203" i="9"/>
  <c r="E203" i="5" s="1"/>
  <c r="F100" i="5"/>
  <c r="AD100" i="9"/>
  <c r="E100" i="5" s="1"/>
  <c r="J249" i="5"/>
  <c r="AG249" i="9"/>
  <c r="I249" i="5" s="1"/>
  <c r="H117" i="5"/>
  <c r="AE117" i="9"/>
  <c r="G117" i="5" s="1"/>
  <c r="H195" i="5"/>
  <c r="AE195" i="9"/>
  <c r="G195" i="5" s="1"/>
  <c r="AM42" i="9"/>
  <c r="K42" i="5" s="1"/>
  <c r="L42" i="5"/>
  <c r="L113" i="5"/>
  <c r="AM113" i="9"/>
  <c r="K113" i="5" s="1"/>
  <c r="AE37" i="9"/>
  <c r="H37" i="5"/>
  <c r="AM52" i="9"/>
  <c r="K52" i="5" s="1"/>
  <c r="L52" i="5"/>
  <c r="L63" i="5"/>
  <c r="AM63" i="9"/>
  <c r="K63" i="5" s="1"/>
  <c r="AE217" i="9"/>
  <c r="G217" i="5" s="1"/>
  <c r="H217" i="5"/>
  <c r="F130" i="5"/>
  <c r="AD130" i="9"/>
  <c r="E130" i="5" s="1"/>
  <c r="H15" i="5"/>
  <c r="AE15" i="9"/>
  <c r="G15" i="5" s="1"/>
  <c r="D23" i="18"/>
  <c r="D25" i="18"/>
  <c r="L12" i="5"/>
  <c r="AM12" i="9"/>
  <c r="K12" i="5" s="1"/>
  <c r="F244" i="5"/>
  <c r="AD244" i="9"/>
  <c r="E244" i="5" s="1"/>
  <c r="L55" i="5"/>
  <c r="AM55" i="9"/>
  <c r="K55" i="5" s="1"/>
  <c r="F147" i="5"/>
  <c r="AD147" i="9"/>
  <c r="E147" i="5" s="1"/>
  <c r="AM36" i="9"/>
  <c r="K36" i="5" s="1"/>
  <c r="L36" i="5"/>
  <c r="F126" i="5"/>
  <c r="AD126" i="9"/>
  <c r="E126" i="5" s="1"/>
  <c r="F178" i="5"/>
  <c r="AD178" i="9"/>
  <c r="E178" i="5" s="1"/>
  <c r="F131" i="5"/>
  <c r="AD131" i="9"/>
  <c r="E131" i="5" s="1"/>
  <c r="F186" i="5"/>
  <c r="AD186" i="9"/>
  <c r="E186" i="5" s="1"/>
  <c r="H19" i="5"/>
  <c r="AE19" i="9"/>
  <c r="G19" i="5" s="1"/>
  <c r="F202" i="5"/>
  <c r="AD202" i="9"/>
  <c r="E202" i="5" s="1"/>
  <c r="H150" i="5"/>
  <c r="AE150" i="9"/>
  <c r="G150" i="5" s="1"/>
  <c r="J221" i="5"/>
  <c r="AG221" i="9"/>
  <c r="I221" i="5" s="1"/>
  <c r="AE137" i="9"/>
  <c r="G137" i="5" s="1"/>
  <c r="H137" i="5"/>
  <c r="L168" i="5"/>
  <c r="AM168" i="9"/>
  <c r="K168" i="5" s="1"/>
  <c r="H198" i="5"/>
  <c r="AE198" i="9"/>
  <c r="G198" i="5" s="1"/>
  <c r="F232" i="5"/>
  <c r="AD232" i="9"/>
  <c r="E232" i="5" s="1"/>
  <c r="F216" i="5"/>
  <c r="AD216" i="9"/>
  <c r="E216" i="5" s="1"/>
  <c r="J51" i="5"/>
  <c r="AG51" i="9"/>
  <c r="I51" i="5" s="1"/>
  <c r="F70" i="5"/>
  <c r="AD70" i="9"/>
  <c r="E70" i="5" s="1"/>
  <c r="L99" i="5"/>
  <c r="AM99" i="9"/>
  <c r="K99" i="5" s="1"/>
  <c r="AM192" i="9"/>
  <c r="K192" i="5" s="1"/>
  <c r="L192" i="5"/>
  <c r="AD157" i="9"/>
  <c r="E157" i="5" s="1"/>
  <c r="F157" i="5"/>
  <c r="F238" i="5"/>
  <c r="AD238" i="9"/>
  <c r="E238" i="5" s="1"/>
  <c r="L237" i="5"/>
  <c r="AM237" i="9"/>
  <c r="K237" i="5" s="1"/>
  <c r="H200" i="5"/>
  <c r="AE200" i="9"/>
  <c r="G200" i="5" s="1"/>
  <c r="H141" i="5"/>
  <c r="AE141" i="9"/>
  <c r="G141" i="5" s="1"/>
  <c r="AM49" i="9"/>
  <c r="K49" i="5" s="1"/>
  <c r="L49" i="5"/>
  <c r="F90" i="5"/>
  <c r="AD90" i="9"/>
  <c r="E90" i="5" s="1"/>
  <c r="J79" i="5"/>
  <c r="AG79" i="9"/>
  <c r="I79" i="5" s="1"/>
  <c r="L209" i="5"/>
  <c r="AM209" i="9"/>
  <c r="K209" i="5" s="1"/>
  <c r="L214" i="5"/>
  <c r="AM214" i="9"/>
  <c r="K214" i="5" s="1"/>
  <c r="AG210" i="9"/>
  <c r="I210" i="5" s="1"/>
  <c r="J210" i="5"/>
  <c r="H151" i="5"/>
  <c r="AE151" i="9"/>
  <c r="G151" i="5" s="1"/>
  <c r="L82" i="5"/>
  <c r="AM82" i="9"/>
  <c r="K82" i="5" s="1"/>
  <c r="J78" i="5"/>
  <c r="AG78" i="9"/>
  <c r="I78" i="5" s="1"/>
  <c r="AE230" i="9"/>
  <c r="G230" i="5" s="1"/>
  <c r="H230" i="5"/>
  <c r="H223" i="5"/>
  <c r="AE223" i="9"/>
  <c r="G223" i="5" s="1"/>
  <c r="F228" i="5"/>
  <c r="AD228" i="9"/>
  <c r="E228" i="5" s="1"/>
  <c r="F163" i="5"/>
  <c r="AD163" i="9"/>
  <c r="E163" i="5" s="1"/>
  <c r="H16" i="5"/>
  <c r="AE16" i="9"/>
  <c r="G16" i="5" s="1"/>
  <c r="H80" i="5"/>
  <c r="AE80" i="9"/>
  <c r="G80" i="5" s="1"/>
  <c r="H47" i="5"/>
  <c r="AE47" i="9"/>
  <c r="G47" i="5" s="1"/>
  <c r="L161" i="5"/>
  <c r="AM161" i="9"/>
  <c r="K161" i="5" s="1"/>
  <c r="F189" i="5"/>
  <c r="AD189" i="9"/>
  <c r="E189" i="5" s="1"/>
  <c r="J101" i="5"/>
  <c r="AG101" i="9"/>
  <c r="I101" i="5" s="1"/>
  <c r="H167" i="5"/>
  <c r="AE167" i="9"/>
  <c r="G167" i="5" s="1"/>
  <c r="H175" i="5"/>
  <c r="AE175" i="9"/>
  <c r="G175" i="5" s="1"/>
  <c r="AE226" i="9"/>
  <c r="G226" i="5" s="1"/>
  <c r="H226" i="5"/>
  <c r="F149" i="5"/>
  <c r="AD149" i="9"/>
  <c r="E149" i="5" s="1"/>
  <c r="J204" i="5"/>
  <c r="AG204" i="9"/>
  <c r="I204" i="5" s="1"/>
  <c r="L60" i="5"/>
  <c r="AM60" i="9"/>
  <c r="K60" i="5" s="1"/>
  <c r="H115" i="5"/>
  <c r="AE115" i="9"/>
  <c r="G115" i="5" s="1"/>
  <c r="F227" i="5"/>
  <c r="AD227" i="9"/>
  <c r="E227" i="5" s="1"/>
  <c r="AG11" i="9"/>
  <c r="I11" i="5" s="1"/>
  <c r="J11" i="5"/>
  <c r="J177" i="5"/>
  <c r="AG177" i="9"/>
  <c r="I177" i="5" s="1"/>
  <c r="AG48" i="9"/>
  <c r="I48" i="5" s="1"/>
  <c r="J48" i="5"/>
  <c r="F160" i="5"/>
  <c r="AD160" i="9"/>
  <c r="E160" i="5" s="1"/>
  <c r="AD41" i="9"/>
  <c r="E41" i="5" s="1"/>
  <c r="F41" i="5"/>
  <c r="AD30" i="9"/>
  <c r="E30" i="5" s="1"/>
  <c r="F30" i="5"/>
  <c r="H67" i="5"/>
  <c r="AE67" i="9"/>
  <c r="G67" i="5" s="1"/>
  <c r="AE69" i="9"/>
  <c r="G69" i="5" s="1"/>
  <c r="H69" i="5"/>
  <c r="F81" i="5"/>
  <c r="AD81" i="9"/>
  <c r="E81" i="5" s="1"/>
  <c r="AD159" i="9"/>
  <c r="E159" i="5" s="1"/>
  <c r="F159" i="5"/>
  <c r="H231" i="5"/>
  <c r="AE231" i="9"/>
  <c r="G231" i="5" s="1"/>
  <c r="J128" i="5"/>
  <c r="AG128" i="9"/>
  <c r="I128" i="5" s="1"/>
  <c r="L199" i="5"/>
  <c r="AM199" i="9"/>
  <c r="K199" i="5" s="1"/>
  <c r="H128" i="5"/>
  <c r="AE128" i="9"/>
  <c r="G128" i="5" s="1"/>
  <c r="L94" i="5"/>
  <c r="AM94" i="9"/>
  <c r="K94" i="5" s="1"/>
  <c r="H44" i="5"/>
  <c r="AE44" i="9"/>
  <c r="G44" i="5" s="1"/>
  <c r="L73" i="5"/>
  <c r="AM73" i="9"/>
  <c r="K73" i="5" s="1"/>
  <c r="F240" i="5"/>
  <c r="AD240" i="9"/>
  <c r="E240" i="5" s="1"/>
  <c r="F107" i="5"/>
  <c r="AD107" i="9"/>
  <c r="E107" i="5" s="1"/>
  <c r="J179" i="5"/>
  <c r="AG179" i="9"/>
  <c r="I179" i="5" s="1"/>
  <c r="L110" i="5"/>
  <c r="AM110" i="9"/>
  <c r="K110" i="5" s="1"/>
  <c r="F127" i="5"/>
  <c r="AD127" i="9"/>
  <c r="E127" i="5" s="1"/>
  <c r="H22" i="5"/>
  <c r="AE22" i="9"/>
  <c r="G22" i="5" s="1"/>
  <c r="AM242" i="9"/>
  <c r="K242" i="5" s="1"/>
  <c r="L242" i="5"/>
  <c r="AG243" i="9"/>
  <c r="I243" i="5" s="1"/>
  <c r="J243" i="5"/>
  <c r="F197" i="5"/>
  <c r="AD197" i="9"/>
  <c r="E197" i="5" s="1"/>
  <c r="L116" i="5"/>
  <c r="AM116" i="9"/>
  <c r="K116" i="5" s="1"/>
  <c r="F119" i="5"/>
  <c r="AD119" i="9"/>
  <c r="E119" i="5" s="1"/>
  <c r="L134" i="5"/>
  <c r="AM134" i="9"/>
  <c r="K134" i="5" s="1"/>
  <c r="L248" i="5"/>
  <c r="AM248" i="9"/>
  <c r="K248" i="5" s="1"/>
  <c r="L174" i="5"/>
  <c r="AM174" i="9"/>
  <c r="K174" i="5" s="1"/>
  <c r="L65" i="5"/>
  <c r="AM65" i="9"/>
  <c r="K65" i="5" s="1"/>
  <c r="F124" i="5"/>
  <c r="AD124" i="9"/>
  <c r="E124" i="5" s="1"/>
  <c r="J64" i="5"/>
  <c r="AG64" i="9"/>
  <c r="I64" i="5" s="1"/>
  <c r="F98" i="5"/>
  <c r="AD98" i="9"/>
  <c r="E98" i="5" s="1"/>
  <c r="H35" i="5"/>
  <c r="AE35" i="9"/>
  <c r="G35" i="5" s="1"/>
  <c r="AE190" i="9"/>
  <c r="G190" i="5" s="1"/>
  <c r="H190" i="5"/>
  <c r="J120" i="5"/>
  <c r="AG120" i="9"/>
  <c r="I120" i="5" s="1"/>
  <c r="L108" i="5"/>
  <c r="AM108" i="9"/>
  <c r="K108" i="5" s="1"/>
  <c r="AE40" i="9"/>
  <c r="G40" i="5" s="1"/>
  <c r="H40" i="5"/>
  <c r="AG117" i="9"/>
  <c r="I117" i="5" s="1"/>
  <c r="J117" i="5"/>
  <c r="J42" i="5"/>
  <c r="AG42" i="9"/>
  <c r="I42" i="5" s="1"/>
  <c r="J95" i="5"/>
  <c r="AG95" i="9"/>
  <c r="I95" i="5" s="1"/>
  <c r="F96" i="5"/>
  <c r="AD96" i="9"/>
  <c r="E96" i="5" s="1"/>
  <c r="F58" i="5"/>
  <c r="AD58" i="9"/>
  <c r="E58" i="5" s="1"/>
  <c r="L87" i="5"/>
  <c r="AM87" i="9"/>
  <c r="K87" i="5" s="1"/>
  <c r="L244" i="5"/>
  <c r="AM244" i="9"/>
  <c r="K244" i="5" s="1"/>
  <c r="H147" i="5"/>
  <c r="AE147" i="9"/>
  <c r="G147" i="5" s="1"/>
  <c r="AE178" i="9"/>
  <c r="G178" i="5" s="1"/>
  <c r="H178" i="5"/>
  <c r="L19" i="5"/>
  <c r="AM19" i="9"/>
  <c r="K19" i="5" s="1"/>
  <c r="J176" i="5"/>
  <c r="AG176" i="9"/>
  <c r="I176" i="5" s="1"/>
  <c r="AG232" i="9"/>
  <c r="I232" i="5" s="1"/>
  <c r="J232" i="5"/>
  <c r="J192" i="5"/>
  <c r="AG192" i="9"/>
  <c r="I192" i="5" s="1"/>
  <c r="AM32" i="9"/>
  <c r="K32" i="5" s="1"/>
  <c r="L32" i="5"/>
  <c r="F204" i="5"/>
  <c r="AD204" i="9"/>
  <c r="E204" i="5" s="1"/>
  <c r="AD246" i="9"/>
  <c r="E246" i="5" s="1"/>
  <c r="F246" i="5"/>
  <c r="H172" i="5"/>
  <c r="AE172" i="9"/>
  <c r="G172" i="5" s="1"/>
  <c r="F233" i="5"/>
  <c r="AD233" i="9"/>
  <c r="E233" i="5" s="1"/>
  <c r="F94" i="5"/>
  <c r="AD94" i="9"/>
  <c r="E94" i="5" s="1"/>
  <c r="F88" i="5"/>
  <c r="AD88" i="9"/>
  <c r="E88" i="5" s="1"/>
  <c r="H187" i="5"/>
  <c r="AE187" i="9"/>
  <c r="G187" i="5" s="1"/>
  <c r="F44" i="5"/>
  <c r="AD44" i="9"/>
  <c r="E44" i="5" s="1"/>
  <c r="H73" i="5"/>
  <c r="AE73" i="9"/>
  <c r="G73" i="5" s="1"/>
  <c r="J212" i="5"/>
  <c r="AG212" i="9"/>
  <c r="I212" i="5" s="1"/>
  <c r="J240" i="5"/>
  <c r="AG240" i="9"/>
  <c r="I240" i="5" s="1"/>
  <c r="J21" i="5"/>
  <c r="AG21" i="9"/>
  <c r="I21" i="5" s="1"/>
  <c r="AE107" i="9"/>
  <c r="G107" i="5" s="1"/>
  <c r="H107" i="5"/>
  <c r="F153" i="5"/>
  <c r="AD153" i="9"/>
  <c r="E153" i="5" s="1"/>
  <c r="H179" i="5"/>
  <c r="AE179" i="9"/>
  <c r="G179" i="5" s="1"/>
  <c r="J53" i="5"/>
  <c r="AG53" i="9"/>
  <c r="I53" i="5" s="1"/>
  <c r="F213" i="5"/>
  <c r="AD213" i="9"/>
  <c r="E213" i="5" s="1"/>
  <c r="F11" i="5"/>
  <c r="AD11" i="9"/>
  <c r="E11" i="5" s="1"/>
  <c r="L122" i="5"/>
  <c r="AM122" i="9"/>
  <c r="K122" i="5" s="1"/>
  <c r="J22" i="5"/>
  <c r="AG22" i="9"/>
  <c r="I22" i="5" s="1"/>
  <c r="F148" i="5"/>
  <c r="AD148" i="9"/>
  <c r="E148" i="5" s="1"/>
  <c r="AG156" i="9"/>
  <c r="I156" i="5" s="1"/>
  <c r="J156" i="5"/>
  <c r="L102" i="5"/>
  <c r="AM102" i="9"/>
  <c r="K102" i="5" s="1"/>
  <c r="H171" i="5"/>
  <c r="AE171" i="9"/>
  <c r="G171" i="5" s="1"/>
  <c r="H48" i="5"/>
  <c r="AE48" i="9"/>
  <c r="G48" i="5" s="1"/>
  <c r="AM18" i="9"/>
  <c r="K18" i="5" s="1"/>
  <c r="L18" i="5"/>
  <c r="L247" i="5"/>
  <c r="AM247" i="9"/>
  <c r="K247" i="5" s="1"/>
  <c r="F109" i="5"/>
  <c r="AD109" i="9"/>
  <c r="E109" i="5" s="1"/>
  <c r="J119" i="5"/>
  <c r="AG119" i="9"/>
  <c r="I119" i="5" s="1"/>
  <c r="F229" i="5"/>
  <c r="AD229" i="9"/>
  <c r="E229" i="5" s="1"/>
  <c r="J134" i="5"/>
  <c r="AG134" i="9"/>
  <c r="I134" i="5" s="1"/>
  <c r="F43" i="5"/>
  <c r="AD43" i="9"/>
  <c r="E43" i="5" s="1"/>
  <c r="H248" i="5"/>
  <c r="AE248" i="9"/>
  <c r="G248" i="5" s="1"/>
  <c r="AG140" i="9"/>
  <c r="I140" i="5" s="1"/>
  <c r="J140" i="5"/>
  <c r="H205" i="5"/>
  <c r="AE205" i="9"/>
  <c r="G205" i="5" s="1"/>
  <c r="J174" i="5"/>
  <c r="AG174" i="9"/>
  <c r="I174" i="5" s="1"/>
  <c r="H83" i="5"/>
  <c r="AE83" i="9"/>
  <c r="G83" i="5" s="1"/>
  <c r="J65" i="5"/>
  <c r="AG65" i="9"/>
  <c r="I65" i="5" s="1"/>
  <c r="L124" i="5"/>
  <c r="AM124" i="9"/>
  <c r="K124" i="5" s="1"/>
  <c r="H191" i="5"/>
  <c r="AE191" i="9"/>
  <c r="G191" i="5" s="1"/>
  <c r="F64" i="5"/>
  <c r="AD64" i="9"/>
  <c r="E64" i="5" s="1"/>
  <c r="J145" i="5"/>
  <c r="AG145" i="9"/>
  <c r="I145" i="5" s="1"/>
  <c r="AE98" i="9"/>
  <c r="G98" i="5" s="1"/>
  <c r="H98" i="5"/>
  <c r="L59" i="5"/>
  <c r="AM59" i="9"/>
  <c r="K59" i="5" s="1"/>
  <c r="L35" i="5"/>
  <c r="AM35" i="9"/>
  <c r="K35" i="5" s="1"/>
  <c r="J245" i="5"/>
  <c r="AG245" i="9"/>
  <c r="I245" i="5" s="1"/>
  <c r="J190" i="5"/>
  <c r="AG190" i="9"/>
  <c r="I190" i="5" s="1"/>
  <c r="AD103" i="9"/>
  <c r="E103" i="5" s="1"/>
  <c r="F103" i="5"/>
  <c r="AM120" i="9"/>
  <c r="K120" i="5" s="1"/>
  <c r="L120" i="5"/>
  <c r="J234" i="5"/>
  <c r="AG234" i="9"/>
  <c r="I234" i="5" s="1"/>
  <c r="H13" i="5"/>
  <c r="AE13" i="9"/>
  <c r="G13" i="5" s="1"/>
  <c r="H86" i="5"/>
  <c r="AE86" i="9"/>
  <c r="G86" i="5" s="1"/>
  <c r="AE108" i="9"/>
  <c r="G108" i="5" s="1"/>
  <c r="H108" i="5"/>
  <c r="AM105" i="9"/>
  <c r="K105" i="5" s="1"/>
  <c r="L105" i="5"/>
  <c r="AG40" i="9"/>
  <c r="I40" i="5" s="1"/>
  <c r="J40" i="5"/>
  <c r="F249" i="5"/>
  <c r="AD249" i="9"/>
  <c r="E249" i="5" s="1"/>
  <c r="AD117" i="9"/>
  <c r="E117" i="5" s="1"/>
  <c r="F117" i="5"/>
  <c r="F144" i="5"/>
  <c r="AD144" i="9"/>
  <c r="E144" i="5" s="1"/>
  <c r="H97" i="5"/>
  <c r="AE97" i="9"/>
  <c r="G97" i="5" s="1"/>
  <c r="H111" i="5"/>
  <c r="AE111" i="9"/>
  <c r="G111" i="5" s="1"/>
  <c r="F95" i="5"/>
  <c r="AD95" i="9"/>
  <c r="E95" i="5" s="1"/>
  <c r="J96" i="5"/>
  <c r="AG96" i="9"/>
  <c r="I96" i="5" s="1"/>
  <c r="AM66" i="9"/>
  <c r="K66" i="5" s="1"/>
  <c r="L66" i="5"/>
  <c r="L58" i="5"/>
  <c r="AM58" i="9"/>
  <c r="K58" i="5" s="1"/>
  <c r="F173" i="5"/>
  <c r="AD173" i="9"/>
  <c r="E173" i="5" s="1"/>
  <c r="H87" i="5"/>
  <c r="AE87" i="9"/>
  <c r="G87" i="5" s="1"/>
  <c r="F85" i="5"/>
  <c r="AD85" i="9"/>
  <c r="E85" i="5" s="1"/>
  <c r="J12" i="5"/>
  <c r="AG12" i="9"/>
  <c r="I12" i="5" s="1"/>
  <c r="H244" i="5"/>
  <c r="AE244" i="9"/>
  <c r="G244" i="5" s="1"/>
  <c r="AD55" i="9"/>
  <c r="E55" i="5" s="1"/>
  <c r="F55" i="5"/>
  <c r="AM147" i="9"/>
  <c r="K147" i="5" s="1"/>
  <c r="L147" i="5"/>
  <c r="AE36" i="9"/>
  <c r="G36" i="5" s="1"/>
  <c r="H36" i="5"/>
  <c r="L126" i="5"/>
  <c r="AM126" i="9"/>
  <c r="K126" i="5" s="1"/>
  <c r="J178" i="5"/>
  <c r="AG178" i="9"/>
  <c r="I178" i="5" s="1"/>
  <c r="AM131" i="9"/>
  <c r="K131" i="5" s="1"/>
  <c r="L131" i="5"/>
  <c r="H186" i="5"/>
  <c r="AE186" i="9"/>
  <c r="G186" i="5" s="1"/>
  <c r="AE208" i="9"/>
  <c r="G208" i="5" s="1"/>
  <c r="H208" i="5"/>
  <c r="J196" i="5"/>
  <c r="AG196" i="9"/>
  <c r="I196" i="5" s="1"/>
  <c r="H28" i="5"/>
  <c r="AE28" i="9"/>
  <c r="G28" i="5" s="1"/>
  <c r="F176" i="5"/>
  <c r="AD176" i="9"/>
  <c r="E176" i="5" s="1"/>
  <c r="L211" i="5"/>
  <c r="AM211" i="9"/>
  <c r="K211" i="5" s="1"/>
  <c r="L62" i="5"/>
  <c r="AM62" i="9"/>
  <c r="K62" i="5" s="1"/>
  <c r="AM198" i="9"/>
  <c r="K198" i="5" s="1"/>
  <c r="L198" i="5"/>
  <c r="AE232" i="9"/>
  <c r="G232" i="5" s="1"/>
  <c r="H232" i="5"/>
  <c r="H216" i="5"/>
  <c r="AE216" i="9"/>
  <c r="G216" i="5" s="1"/>
  <c r="H224" i="5"/>
  <c r="AE224" i="9"/>
  <c r="G224" i="5" s="1"/>
  <c r="H135" i="5"/>
  <c r="AE135" i="9"/>
  <c r="G135" i="5" s="1"/>
  <c r="AD181" i="9"/>
  <c r="E181" i="5" s="1"/>
  <c r="F181" i="5"/>
  <c r="AE192" i="9"/>
  <c r="G192" i="5" s="1"/>
  <c r="H192" i="5"/>
  <c r="H157" i="5"/>
  <c r="AE157" i="9"/>
  <c r="G157" i="5" s="1"/>
  <c r="L238" i="5"/>
  <c r="AM238" i="9"/>
  <c r="K238" i="5" s="1"/>
  <c r="J237" i="5"/>
  <c r="AG237" i="9"/>
  <c r="I237" i="5" s="1"/>
  <c r="F200" i="5"/>
  <c r="AD200" i="9"/>
  <c r="E200" i="5" s="1"/>
  <c r="F162" i="5"/>
  <c r="AD162" i="9"/>
  <c r="E162" i="5" s="1"/>
  <c r="H34" i="5"/>
  <c r="AE34" i="9"/>
  <c r="G34" i="5" s="1"/>
  <c r="L14" i="5"/>
  <c r="AM14" i="9"/>
  <c r="K14" i="5" s="1"/>
  <c r="L25" i="5"/>
  <c r="AM25" i="9"/>
  <c r="K25" i="5" s="1"/>
  <c r="H9" i="5"/>
  <c r="AE9" i="9"/>
  <c r="G9" i="5" s="1"/>
  <c r="J250" i="5"/>
  <c r="AG250" i="9"/>
  <c r="I250" i="5" s="1"/>
  <c r="L138" i="5"/>
  <c r="AM138" i="9"/>
  <c r="K138" i="5" s="1"/>
  <c r="F125" i="5"/>
  <c r="AD125" i="9"/>
  <c r="E125" i="5" s="1"/>
  <c r="L61" i="5"/>
  <c r="AM61" i="9"/>
  <c r="K61" i="5" s="1"/>
  <c r="AE89" i="9"/>
  <c r="G89" i="5" s="1"/>
  <c r="H89" i="5"/>
  <c r="F27" i="5"/>
  <c r="AD27" i="9"/>
  <c r="E27" i="5" s="1"/>
  <c r="AE136" i="9"/>
  <c r="G136" i="5" s="1"/>
  <c r="H136" i="5"/>
  <c r="J222" i="5"/>
  <c r="AG222" i="9"/>
  <c r="I222" i="5" s="1"/>
  <c r="H132" i="5"/>
  <c r="AE132" i="9"/>
  <c r="G132" i="5" s="1"/>
  <c r="F16" i="5"/>
  <c r="AD16" i="9"/>
  <c r="E16" i="5" s="1"/>
  <c r="AE180" i="9"/>
  <c r="G180" i="5" s="1"/>
  <c r="H180" i="5"/>
  <c r="AD215" i="9"/>
  <c r="E215" i="5" s="1"/>
  <c r="F215" i="5"/>
  <c r="F161" i="5"/>
  <c r="AD161" i="9"/>
  <c r="E161" i="5" s="1"/>
  <c r="AE189" i="9"/>
  <c r="G189" i="5" s="1"/>
  <c r="H189" i="5"/>
  <c r="AM101" i="9"/>
  <c r="K101" i="5" s="1"/>
  <c r="L101" i="5"/>
  <c r="F167" i="5"/>
  <c r="AD167" i="9"/>
  <c r="E167" i="5" s="1"/>
  <c r="H20" i="5"/>
  <c r="AE20" i="9"/>
  <c r="G20" i="5" s="1"/>
  <c r="J201" i="5"/>
  <c r="AG201" i="9"/>
  <c r="I201" i="5" s="1"/>
  <c r="H32" i="5"/>
  <c r="AE32" i="9"/>
  <c r="G32" i="5" s="1"/>
  <c r="AM172" i="9"/>
  <c r="K172" i="5" s="1"/>
  <c r="L172" i="5"/>
  <c r="F182" i="5"/>
  <c r="AD182" i="9"/>
  <c r="E182" i="5" s="1"/>
  <c r="H45" i="5"/>
  <c r="AE45" i="9"/>
  <c r="G45" i="5" s="1"/>
  <c r="F93" i="5"/>
  <c r="AD93" i="9"/>
  <c r="E93" i="5" s="1"/>
  <c r="AM213" i="9"/>
  <c r="K213" i="5" s="1"/>
  <c r="L213" i="5"/>
  <c r="AG251" i="9"/>
  <c r="I251" i="5" s="1"/>
  <c r="J251" i="5"/>
  <c r="AD102" i="9"/>
  <c r="E102" i="5" s="1"/>
  <c r="F102" i="5"/>
  <c r="AD18" i="9"/>
  <c r="E18" i="5" s="1"/>
  <c r="F18" i="5"/>
  <c r="AD39" i="9"/>
  <c r="E39" i="5" s="1"/>
  <c r="F39" i="5"/>
  <c r="L152" i="5"/>
  <c r="AM152" i="9"/>
  <c r="K152" i="5" s="1"/>
  <c r="H68" i="5"/>
  <c r="AE68" i="9"/>
  <c r="G68" i="5" s="1"/>
  <c r="F54" i="5"/>
  <c r="AD54" i="9"/>
  <c r="E54" i="5" s="1"/>
  <c r="J219" i="5"/>
  <c r="AG219" i="9"/>
  <c r="L29" i="5"/>
  <c r="AM29" i="9"/>
  <c r="K29" i="5" s="1"/>
  <c r="J121" i="5"/>
  <c r="AG121" i="9"/>
  <c r="I121" i="5" s="1"/>
  <c r="AG55" i="9"/>
  <c r="I55" i="5" s="1"/>
  <c r="J55" i="5"/>
  <c r="AG126" i="9"/>
  <c r="I126" i="5" s="1"/>
  <c r="J126" i="5"/>
  <c r="H131" i="5"/>
  <c r="AE131" i="9"/>
  <c r="G131" i="5" s="1"/>
  <c r="AD196" i="9"/>
  <c r="E196" i="5" s="1"/>
  <c r="F196" i="5"/>
  <c r="AD62" i="9"/>
  <c r="E62" i="5" s="1"/>
  <c r="F62" i="5"/>
  <c r="AG216" i="9"/>
  <c r="I216" i="5" s="1"/>
  <c r="J216" i="5"/>
  <c r="F135" i="5"/>
  <c r="AD135" i="9"/>
  <c r="E135" i="5" s="1"/>
  <c r="H238" i="5"/>
  <c r="AE238" i="9"/>
  <c r="G238" i="5" s="1"/>
  <c r="H201" i="5"/>
  <c r="AE201" i="9"/>
  <c r="G201" i="5" s="1"/>
  <c r="L204" i="5"/>
  <c r="AM204" i="9"/>
  <c r="K204" i="5" s="1"/>
  <c r="J246" i="5"/>
  <c r="AG246" i="9"/>
  <c r="I246" i="5" s="1"/>
  <c r="AG172" i="9"/>
  <c r="I172" i="5" s="1"/>
  <c r="J172" i="5"/>
  <c r="J233" i="5"/>
  <c r="AG233" i="9"/>
  <c r="I233" i="5" s="1"/>
  <c r="H94" i="5"/>
  <c r="AE94" i="9"/>
  <c r="G94" i="5" s="1"/>
  <c r="H88" i="5"/>
  <c r="AE88" i="9"/>
  <c r="G88" i="5" s="1"/>
  <c r="J187" i="5"/>
  <c r="AG187" i="9"/>
  <c r="I187" i="5" s="1"/>
  <c r="AG44" i="9"/>
  <c r="I44" i="5" s="1"/>
  <c r="J44" i="5"/>
  <c r="F73" i="5"/>
  <c r="AD73" i="9"/>
  <c r="E73" i="5" s="1"/>
  <c r="H212" i="5"/>
  <c r="AE212" i="9"/>
  <c r="G212" i="5" s="1"/>
  <c r="H240" i="5"/>
  <c r="AE240" i="9"/>
  <c r="G240" i="5" s="1"/>
  <c r="L21" i="5"/>
  <c r="AM21" i="9"/>
  <c r="K21" i="5" s="1"/>
  <c r="L107" i="5"/>
  <c r="AM107" i="9"/>
  <c r="K107" i="5" s="1"/>
  <c r="H153" i="5"/>
  <c r="AE153" i="9"/>
  <c r="G153" i="5" s="1"/>
  <c r="AE227" i="9"/>
  <c r="G227" i="5" s="1"/>
  <c r="H227" i="5"/>
  <c r="F53" i="5"/>
  <c r="AD53" i="9"/>
  <c r="E53" i="5" s="1"/>
  <c r="H213" i="5"/>
  <c r="AE213" i="9"/>
  <c r="G213" i="5" s="1"/>
  <c r="AM11" i="9"/>
  <c r="K11" i="5" s="1"/>
  <c r="L11" i="5"/>
  <c r="H122" i="5"/>
  <c r="AE122" i="9"/>
  <c r="G122" i="5" s="1"/>
  <c r="H251" i="5"/>
  <c r="AE251" i="9"/>
  <c r="G251" i="5" s="1"/>
  <c r="H177" i="5"/>
  <c r="AE177" i="9"/>
  <c r="G177" i="5" s="1"/>
  <c r="L156" i="5"/>
  <c r="AM156" i="9"/>
  <c r="K156" i="5" s="1"/>
  <c r="J102" i="5"/>
  <c r="AG102" i="9"/>
  <c r="I102" i="5" s="1"/>
  <c r="F171" i="5"/>
  <c r="AD171" i="9"/>
  <c r="E171" i="5" s="1"/>
  <c r="AM48" i="9"/>
  <c r="K48" i="5" s="1"/>
  <c r="L48" i="5"/>
  <c r="AG18" i="9"/>
  <c r="I18" i="5" s="1"/>
  <c r="J18" i="5"/>
  <c r="H247" i="5"/>
  <c r="AE247" i="9"/>
  <c r="G247" i="5" s="1"/>
  <c r="J109" i="5"/>
  <c r="AG109" i="9"/>
  <c r="I109" i="5" s="1"/>
  <c r="H119" i="5"/>
  <c r="AE119" i="9"/>
  <c r="G119" i="5" s="1"/>
  <c r="AM229" i="9"/>
  <c r="K229" i="5" s="1"/>
  <c r="L229" i="5"/>
  <c r="AE134" i="9"/>
  <c r="G134" i="5" s="1"/>
  <c r="H134" i="5"/>
  <c r="AG39" i="9"/>
  <c r="I39" i="5" s="1"/>
  <c r="J39" i="5"/>
  <c r="L10" i="5"/>
  <c r="AM10" i="9"/>
  <c r="K10" i="5" s="1"/>
  <c r="AG165" i="9"/>
  <c r="I165" i="5" s="1"/>
  <c r="J165" i="5"/>
  <c r="F152" i="5"/>
  <c r="AD152" i="9"/>
  <c r="E152" i="5" s="1"/>
  <c r="H30" i="5"/>
  <c r="AE30" i="9"/>
  <c r="G30" i="5" s="1"/>
  <c r="F84" i="5"/>
  <c r="AD84" i="9"/>
  <c r="E84" i="5" s="1"/>
  <c r="AE166" i="9"/>
  <c r="H166" i="5"/>
  <c r="J68" i="5"/>
  <c r="AG68" i="9"/>
  <c r="I68" i="5" s="1"/>
  <c r="F67" i="5"/>
  <c r="AD67" i="9"/>
  <c r="E67" i="5" s="1"/>
  <c r="F207" i="5"/>
  <c r="AD207" i="9"/>
  <c r="E207" i="5" s="1"/>
  <c r="J54" i="5"/>
  <c r="AG54" i="9"/>
  <c r="I54" i="5" s="1"/>
  <c r="L185" i="5"/>
  <c r="AM185" i="9"/>
  <c r="K185" i="5" s="1"/>
  <c r="L69" i="5"/>
  <c r="AM69" i="9"/>
  <c r="K69" i="5" s="1"/>
  <c r="H123" i="5"/>
  <c r="AE123" i="9"/>
  <c r="G123" i="5" s="1"/>
  <c r="AD219" i="9"/>
  <c r="F219" i="5"/>
  <c r="AM190" i="9"/>
  <c r="K190" i="5" s="1"/>
  <c r="L190" i="5"/>
  <c r="H103" i="5"/>
  <c r="AE103" i="9"/>
  <c r="G103" i="5" s="1"/>
  <c r="H120" i="5"/>
  <c r="AE120" i="9"/>
  <c r="G120" i="5" s="1"/>
  <c r="AE234" i="9"/>
  <c r="G234" i="5" s="1"/>
  <c r="H234" i="5"/>
  <c r="J13" i="5"/>
  <c r="AG13" i="9"/>
  <c r="I13" i="5" s="1"/>
  <c r="L86" i="5"/>
  <c r="AM86" i="9"/>
  <c r="K86" i="5" s="1"/>
  <c r="J108" i="5"/>
  <c r="AG108" i="9"/>
  <c r="I108" i="5" s="1"/>
  <c r="H105" i="5"/>
  <c r="AE105" i="9"/>
  <c r="G105" i="5" s="1"/>
  <c r="F40" i="5"/>
  <c r="AD40" i="9"/>
  <c r="E40" i="5" s="1"/>
  <c r="H249" i="5"/>
  <c r="AE249" i="9"/>
  <c r="G249" i="5" s="1"/>
  <c r="H159" i="5"/>
  <c r="AE159" i="9"/>
  <c r="G159" i="5" s="1"/>
  <c r="J144" i="5"/>
  <c r="AG144" i="9"/>
  <c r="I144" i="5" s="1"/>
  <c r="L97" i="5"/>
  <c r="AM97" i="9"/>
  <c r="K97" i="5" s="1"/>
  <c r="L111" i="5"/>
  <c r="AM111" i="9"/>
  <c r="K111" i="5" s="1"/>
  <c r="L95" i="5"/>
  <c r="AM95" i="9"/>
  <c r="K95" i="5" s="1"/>
  <c r="AE96" i="9"/>
  <c r="G96" i="5" s="1"/>
  <c r="H96" i="5"/>
  <c r="H66" i="5"/>
  <c r="AE66" i="9"/>
  <c r="G66" i="5" s="1"/>
  <c r="H58" i="5"/>
  <c r="AE58" i="9"/>
  <c r="G58" i="5" s="1"/>
  <c r="J173" i="5"/>
  <c r="AG173" i="9"/>
  <c r="I173" i="5" s="1"/>
  <c r="AD87" i="9"/>
  <c r="E87" i="5" s="1"/>
  <c r="F87" i="5"/>
  <c r="J85" i="5"/>
  <c r="AG85" i="9"/>
  <c r="I85" i="5" s="1"/>
  <c r="F12" i="5"/>
  <c r="AD12" i="9"/>
  <c r="E12" i="5" s="1"/>
  <c r="J244" i="5"/>
  <c r="AG244" i="9"/>
  <c r="I244" i="5" s="1"/>
  <c r="H55" i="5"/>
  <c r="AE55" i="9"/>
  <c r="G55" i="5" s="1"/>
  <c r="J147" i="5"/>
  <c r="AG147" i="9"/>
  <c r="I147" i="5" s="1"/>
  <c r="AG36" i="9"/>
  <c r="I36" i="5" s="1"/>
  <c r="J36" i="5"/>
  <c r="H126" i="5"/>
  <c r="AE126" i="9"/>
  <c r="G126" i="5" s="1"/>
  <c r="AM178" i="9"/>
  <c r="K178" i="5" s="1"/>
  <c r="L178" i="5"/>
  <c r="J131" i="5"/>
  <c r="AG131" i="9"/>
  <c r="I131" i="5" s="1"/>
  <c r="H241" i="5"/>
  <c r="AE241" i="9"/>
  <c r="G241" i="5" s="1"/>
  <c r="J208" i="5"/>
  <c r="AG208" i="9"/>
  <c r="I208" i="5" s="1"/>
  <c r="L196" i="5"/>
  <c r="AM196" i="9"/>
  <c r="K196" i="5" s="1"/>
  <c r="J28" i="5"/>
  <c r="AG28" i="9"/>
  <c r="I28" i="5" s="1"/>
  <c r="H176" i="5"/>
  <c r="AE176" i="9"/>
  <c r="G176" i="5" s="1"/>
  <c r="J211" i="5"/>
  <c r="AG211" i="9"/>
  <c r="I211" i="5" s="1"/>
  <c r="AG62" i="9"/>
  <c r="I62" i="5" s="1"/>
  <c r="J62" i="5"/>
  <c r="F198" i="5"/>
  <c r="AD198" i="9"/>
  <c r="E198" i="5" s="1"/>
  <c r="L232" i="5"/>
  <c r="AM232" i="9"/>
  <c r="K232" i="5" s="1"/>
  <c r="AD225" i="9"/>
  <c r="E225" i="5" s="1"/>
  <c r="F225" i="5"/>
  <c r="F224" i="5"/>
  <c r="AD224" i="9"/>
  <c r="E224" i="5" s="1"/>
  <c r="AG135" i="9"/>
  <c r="I135" i="5" s="1"/>
  <c r="J135" i="5"/>
  <c r="AG181" i="9"/>
  <c r="I181" i="5" s="1"/>
  <c r="J181" i="5"/>
  <c r="F192" i="5"/>
  <c r="AD192" i="9"/>
  <c r="E192" i="5" s="1"/>
  <c r="F188" i="5"/>
  <c r="AD188" i="9"/>
  <c r="E188" i="5" s="1"/>
  <c r="H184" i="5"/>
  <c r="AE184" i="9"/>
  <c r="G184" i="5" s="1"/>
  <c r="J170" i="5"/>
  <c r="AG170" i="9"/>
  <c r="I170" i="5" s="1"/>
  <c r="AE158" i="9"/>
  <c r="G158" i="5" s="1"/>
  <c r="H158" i="5"/>
  <c r="AG162" i="9"/>
  <c r="I162" i="5" s="1"/>
  <c r="J162" i="5"/>
  <c r="F34" i="5"/>
  <c r="AD34" i="9"/>
  <c r="E34" i="5" s="1"/>
  <c r="AG14" i="9"/>
  <c r="I14" i="5" s="1"/>
  <c r="J14" i="5"/>
  <c r="J25" i="5"/>
  <c r="AG25" i="9"/>
  <c r="I25" i="5" s="1"/>
  <c r="J9" i="5"/>
  <c r="AG9" i="9"/>
  <c r="I9" i="5" s="1"/>
  <c r="AD250" i="9"/>
  <c r="E250" i="5" s="1"/>
  <c r="F250" i="5"/>
  <c r="J138" i="5"/>
  <c r="AG138" i="9"/>
  <c r="I138" i="5" s="1"/>
  <c r="J125" i="5"/>
  <c r="AG125" i="9"/>
  <c r="I125" i="5" s="1"/>
  <c r="AG61" i="9"/>
  <c r="I61" i="5" s="1"/>
  <c r="J61" i="5"/>
  <c r="AM89" i="9"/>
  <c r="K89" i="5" s="1"/>
  <c r="L89" i="5"/>
  <c r="L27" i="5"/>
  <c r="AM27" i="9"/>
  <c r="K27" i="5" s="1"/>
  <c r="F136" i="5"/>
  <c r="AD136" i="9"/>
  <c r="E136" i="5" s="1"/>
  <c r="F222" i="5"/>
  <c r="AD222" i="9"/>
  <c r="E222" i="5" s="1"/>
  <c r="J132" i="5"/>
  <c r="AG132" i="9"/>
  <c r="I132" i="5" s="1"/>
  <c r="AG16" i="9"/>
  <c r="I16" i="5" s="1"/>
  <c r="J16" i="5"/>
  <c r="J180" i="5"/>
  <c r="AG180" i="9"/>
  <c r="I180" i="5" s="1"/>
  <c r="J215" i="5"/>
  <c r="AG215" i="9"/>
  <c r="I215" i="5" s="1"/>
  <c r="H161" i="5"/>
  <c r="AE161" i="9"/>
  <c r="G161" i="5" s="1"/>
  <c r="J189" i="5"/>
  <c r="AG189" i="9"/>
  <c r="I189" i="5" s="1"/>
  <c r="H101" i="5"/>
  <c r="AE101" i="9"/>
  <c r="G101" i="5" s="1"/>
  <c r="F121" i="5"/>
  <c r="AD121" i="9"/>
  <c r="E121" i="5" s="1"/>
  <c r="J20" i="5"/>
  <c r="AG20" i="9"/>
  <c r="I20" i="5" s="1"/>
  <c r="L201" i="5"/>
  <c r="AM201" i="9"/>
  <c r="K201" i="5" s="1"/>
  <c r="AG32" i="9"/>
  <c r="I32" i="5" s="1"/>
  <c r="J32" i="5"/>
  <c r="H246" i="5"/>
  <c r="AE246" i="9"/>
  <c r="G246" i="5" s="1"/>
  <c r="F75" i="5"/>
  <c r="AD75" i="9"/>
  <c r="E75" i="5" s="1"/>
  <c r="F218" i="5"/>
  <c r="AD218" i="9"/>
  <c r="E218" i="5" s="1"/>
  <c r="F92" i="5"/>
  <c r="AD92" i="9"/>
  <c r="E92" i="5" s="1"/>
  <c r="J220" i="5"/>
  <c r="AG220" i="9"/>
  <c r="AM171" i="9"/>
  <c r="K171" i="5" s="1"/>
  <c r="L171" i="5"/>
  <c r="J247" i="5"/>
  <c r="AG247" i="9"/>
  <c r="I247" i="5" s="1"/>
  <c r="F31" i="5"/>
  <c r="AD31" i="9"/>
  <c r="E31" i="5" s="1"/>
  <c r="J10" i="5"/>
  <c r="AG10" i="9"/>
  <c r="I10" i="5" s="1"/>
  <c r="J84" i="5"/>
  <c r="AG84" i="9"/>
  <c r="I84" i="5" s="1"/>
  <c r="AG185" i="9"/>
  <c r="I185" i="5" s="1"/>
  <c r="J185" i="5"/>
  <c r="L146" i="5"/>
  <c r="AM146" i="9"/>
  <c r="K146" i="5" s="1"/>
  <c r="I7" i="8"/>
  <c r="L183" i="5"/>
  <c r="AM183" i="9"/>
  <c r="J142" i="5"/>
  <c r="AG142" i="9"/>
  <c r="I142" i="5" s="1"/>
  <c r="F111" i="5"/>
  <c r="AD111" i="9"/>
  <c r="E111" i="5" s="1"/>
  <c r="J112" i="5"/>
  <c r="AG112" i="9"/>
  <c r="I112" i="5" s="1"/>
  <c r="H199" i="5"/>
  <c r="AE199" i="9"/>
  <c r="G199" i="5" s="1"/>
  <c r="F193" i="5"/>
  <c r="AD193" i="9"/>
  <c r="E193" i="5" s="1"/>
  <c r="L233" i="5"/>
  <c r="AM233" i="9"/>
  <c r="K233" i="5" s="1"/>
  <c r="J88" i="5"/>
  <c r="AG88" i="9"/>
  <c r="I88" i="5" s="1"/>
  <c r="F187" i="5"/>
  <c r="AD187" i="9"/>
  <c r="E187" i="5" s="1"/>
  <c r="L212" i="5"/>
  <c r="AM212" i="9"/>
  <c r="K212" i="5" s="1"/>
  <c r="F21" i="5"/>
  <c r="AD21" i="9"/>
  <c r="E21" i="5" s="1"/>
  <c r="J153" i="5"/>
  <c r="AG153" i="9"/>
  <c r="I153" i="5" s="1"/>
  <c r="H23" i="5"/>
  <c r="AE23" i="9"/>
  <c r="G23" i="5" s="1"/>
  <c r="AD122" i="9"/>
  <c r="E122" i="5" s="1"/>
  <c r="F122" i="5"/>
  <c r="J148" i="5"/>
  <c r="AG148" i="9"/>
  <c r="I148" i="5" s="1"/>
  <c r="AM129" i="9"/>
  <c r="K129" i="5" s="1"/>
  <c r="L129" i="5"/>
  <c r="AM24" i="9"/>
  <c r="K24" i="5" s="1"/>
  <c r="L24" i="5"/>
  <c r="L77" i="5"/>
  <c r="AM77" i="9"/>
  <c r="K77" i="5" s="1"/>
  <c r="AG229" i="9"/>
  <c r="I229" i="5" s="1"/>
  <c r="J229" i="5"/>
  <c r="AM43" i="9"/>
  <c r="K43" i="5" s="1"/>
  <c r="L43" i="5"/>
  <c r="H140" i="5"/>
  <c r="AE140" i="9"/>
  <c r="G140" i="5" s="1"/>
  <c r="J205" i="5"/>
  <c r="AG205" i="9"/>
  <c r="I205" i="5" s="1"/>
  <c r="L83" i="5"/>
  <c r="AM83" i="9"/>
  <c r="K83" i="5" s="1"/>
  <c r="J191" i="5"/>
  <c r="AG191" i="9"/>
  <c r="I191" i="5" s="1"/>
  <c r="H145" i="5"/>
  <c r="AE145" i="9"/>
  <c r="G145" i="5" s="1"/>
  <c r="H59" i="5"/>
  <c r="AE59" i="9"/>
  <c r="G59" i="5" s="1"/>
  <c r="H245" i="5"/>
  <c r="AE245" i="9"/>
  <c r="G245" i="5" s="1"/>
  <c r="AG103" i="9"/>
  <c r="I103" i="5" s="1"/>
  <c r="J103" i="5"/>
  <c r="F234" i="5"/>
  <c r="AD234" i="9"/>
  <c r="E234" i="5" s="1"/>
  <c r="F13" i="5"/>
  <c r="AD13" i="9"/>
  <c r="E13" i="5" s="1"/>
  <c r="J86" i="5"/>
  <c r="AG86" i="9"/>
  <c r="I86" i="5" s="1"/>
  <c r="J105" i="5"/>
  <c r="AG105" i="9"/>
  <c r="I105" i="5" s="1"/>
  <c r="L249" i="5"/>
  <c r="AM249" i="9"/>
  <c r="K249" i="5" s="1"/>
  <c r="J195" i="5"/>
  <c r="AG195" i="9"/>
  <c r="I195" i="5" s="1"/>
  <c r="J113" i="5"/>
  <c r="AG113" i="9"/>
  <c r="I113" i="5" s="1"/>
  <c r="AG66" i="9"/>
  <c r="I66" i="5" s="1"/>
  <c r="J66" i="5"/>
  <c r="H173" i="5"/>
  <c r="AE173" i="9"/>
  <c r="G173" i="5" s="1"/>
  <c r="H12" i="5"/>
  <c r="AE12" i="9"/>
  <c r="G12" i="5" s="1"/>
  <c r="F36" i="5"/>
  <c r="AD36" i="9"/>
  <c r="E36" i="5" s="1"/>
  <c r="AG186" i="9"/>
  <c r="I186" i="5" s="1"/>
  <c r="J186" i="5"/>
  <c r="F28" i="5"/>
  <c r="AD28" i="9"/>
  <c r="E28" i="5" s="1"/>
  <c r="H211" i="5"/>
  <c r="AE211" i="9"/>
  <c r="G211" i="5" s="1"/>
  <c r="J198" i="5"/>
  <c r="AG198" i="9"/>
  <c r="I198" i="5" s="1"/>
  <c r="AE51" i="9"/>
  <c r="G51" i="5" s="1"/>
  <c r="H51" i="5"/>
  <c r="H181" i="5"/>
  <c r="AE181" i="9"/>
  <c r="G181" i="5" s="1"/>
  <c r="AG157" i="9"/>
  <c r="I157" i="5" s="1"/>
  <c r="J157" i="5"/>
  <c r="H237" i="5"/>
  <c r="AE237" i="9"/>
  <c r="G237" i="5" s="1"/>
  <c r="J200" i="5"/>
  <c r="AG200" i="9"/>
  <c r="I200" i="5" s="1"/>
  <c r="J141" i="5"/>
  <c r="AG141" i="9"/>
  <c r="I141" i="5" s="1"/>
  <c r="H49" i="5"/>
  <c r="AE49" i="9"/>
  <c r="G49" i="5" s="1"/>
  <c r="J90" i="5"/>
  <c r="AG90" i="9"/>
  <c r="I90" i="5" s="1"/>
  <c r="L79" i="5"/>
  <c r="AM79" i="9"/>
  <c r="K79" i="5" s="1"/>
  <c r="AE209" i="9"/>
  <c r="G209" i="5" s="1"/>
  <c r="H209" i="5"/>
  <c r="J214" i="5"/>
  <c r="AG214" i="9"/>
  <c r="I214" i="5" s="1"/>
  <c r="H210" i="5"/>
  <c r="AE210" i="9"/>
  <c r="G210" i="5" s="1"/>
  <c r="J151" i="5"/>
  <c r="AG151" i="9"/>
  <c r="I151" i="5" s="1"/>
  <c r="F82" i="5"/>
  <c r="AD82" i="9"/>
  <c r="E82" i="5" s="1"/>
  <c r="F78" i="5"/>
  <c r="AD78" i="9"/>
  <c r="E78" i="5" s="1"/>
  <c r="AM230" i="9"/>
  <c r="K230" i="5" s="1"/>
  <c r="L230" i="5"/>
  <c r="F223" i="5"/>
  <c r="AD223" i="9"/>
  <c r="E223" i="5" s="1"/>
  <c r="H222" i="5"/>
  <c r="AE222" i="9"/>
  <c r="G222" i="5" s="1"/>
  <c r="L132" i="5"/>
  <c r="AM132" i="9"/>
  <c r="K132" i="5" s="1"/>
  <c r="L16" i="5"/>
  <c r="AM16" i="9"/>
  <c r="K16" i="5" s="1"/>
  <c r="J80" i="5"/>
  <c r="AG80" i="9"/>
  <c r="I80" i="5" s="1"/>
  <c r="H215" i="5"/>
  <c r="AE215" i="9"/>
  <c r="G215" i="5" s="1"/>
  <c r="J161" i="5"/>
  <c r="AG161" i="9"/>
  <c r="I161" i="5" s="1"/>
  <c r="AM189" i="9"/>
  <c r="K189" i="5" s="1"/>
  <c r="L189" i="5"/>
  <c r="F101" i="5"/>
  <c r="AD101" i="9"/>
  <c r="E101" i="5" s="1"/>
  <c r="J167" i="5"/>
  <c r="AG167" i="9"/>
  <c r="I167" i="5" s="1"/>
  <c r="J175" i="5"/>
  <c r="AG175" i="9"/>
  <c r="I175" i="5" s="1"/>
  <c r="H204" i="5"/>
  <c r="AE204" i="9"/>
  <c r="G204" i="5" s="1"/>
  <c r="L246" i="5"/>
  <c r="AM246" i="9"/>
  <c r="K246" i="5" s="1"/>
  <c r="F172" i="5"/>
  <c r="AD172" i="9"/>
  <c r="E172" i="5" s="1"/>
  <c r="H233" i="5"/>
  <c r="AE233" i="9"/>
  <c r="G233" i="5" s="1"/>
  <c r="J94" i="5"/>
  <c r="AG94" i="9"/>
  <c r="I94" i="5" s="1"/>
  <c r="L88" i="5"/>
  <c r="AM88" i="9"/>
  <c r="K88" i="5" s="1"/>
  <c r="AM187" i="9"/>
  <c r="K187" i="5" s="1"/>
  <c r="L187" i="5"/>
  <c r="AM44" i="9"/>
  <c r="K44" i="5" s="1"/>
  <c r="L44" i="5"/>
  <c r="J73" i="5"/>
  <c r="AG73" i="9"/>
  <c r="I73" i="5" s="1"/>
  <c r="F212" i="5"/>
  <c r="AD212" i="9"/>
  <c r="E212" i="5" s="1"/>
  <c r="AM240" i="9"/>
  <c r="K240" i="5" s="1"/>
  <c r="L240" i="5"/>
  <c r="H252" i="5"/>
  <c r="AE252" i="9"/>
  <c r="G252" i="5" s="1"/>
  <c r="J93" i="5"/>
  <c r="AG93" i="9"/>
  <c r="I93" i="5" s="1"/>
  <c r="AM92" i="9"/>
  <c r="K92" i="5" s="1"/>
  <c r="L92" i="5"/>
  <c r="J227" i="5"/>
  <c r="AG227" i="9"/>
  <c r="I227" i="5" s="1"/>
  <c r="AM53" i="9"/>
  <c r="K53" i="5" s="1"/>
  <c r="L53" i="5"/>
  <c r="J213" i="5"/>
  <c r="AG213" i="9"/>
  <c r="I213" i="5" s="1"/>
  <c r="H11" i="5"/>
  <c r="AE11" i="9"/>
  <c r="G11" i="5" s="1"/>
  <c r="AG122" i="9"/>
  <c r="I122" i="5" s="1"/>
  <c r="J122" i="5"/>
  <c r="L251" i="5"/>
  <c r="AM251" i="9"/>
  <c r="K251" i="5" s="1"/>
  <c r="F177" i="5"/>
  <c r="AD177" i="9"/>
  <c r="E177" i="5" s="1"/>
  <c r="AE156" i="9"/>
  <c r="G156" i="5" s="1"/>
  <c r="H156" i="5"/>
  <c r="H102" i="5"/>
  <c r="AE102" i="9"/>
  <c r="G102" i="5" s="1"/>
  <c r="J171" i="5"/>
  <c r="AG171" i="9"/>
  <c r="I171" i="5" s="1"/>
  <c r="F48" i="5"/>
  <c r="AD48" i="9"/>
  <c r="E48" i="5" s="1"/>
  <c r="H18" i="5"/>
  <c r="AE18" i="9"/>
  <c r="G18" i="5" s="1"/>
  <c r="F247" i="5"/>
  <c r="AD247" i="9"/>
  <c r="E247" i="5" s="1"/>
  <c r="H109" i="5"/>
  <c r="AE109" i="9"/>
  <c r="G109" i="5" s="1"/>
  <c r="H56" i="5"/>
  <c r="AE56" i="9"/>
  <c r="G56" i="5" s="1"/>
  <c r="AM31" i="9"/>
  <c r="K31" i="5" s="1"/>
  <c r="L31" i="5"/>
  <c r="H41" i="5"/>
  <c r="AE41" i="9"/>
  <c r="G41" i="5" s="1"/>
  <c r="L39" i="5"/>
  <c r="AM39" i="9"/>
  <c r="K39" i="5" s="1"/>
  <c r="F10" i="5"/>
  <c r="AD10" i="9"/>
  <c r="E10" i="5" s="1"/>
  <c r="H165" i="5"/>
  <c r="AE165" i="9"/>
  <c r="G165" i="5" s="1"/>
  <c r="AE152" i="9"/>
  <c r="G152" i="5" s="1"/>
  <c r="H152" i="5"/>
  <c r="J30" i="5"/>
  <c r="AG30" i="9"/>
  <c r="I30" i="5" s="1"/>
  <c r="H84" i="5"/>
  <c r="AE84" i="9"/>
  <c r="G84" i="5" s="1"/>
  <c r="AM166" i="9"/>
  <c r="L166" i="5"/>
  <c r="F68" i="5"/>
  <c r="AD68" i="9"/>
  <c r="E68" i="5" s="1"/>
  <c r="L67" i="5"/>
  <c r="AM67" i="9"/>
  <c r="K67" i="5" s="1"/>
  <c r="H207" i="5"/>
  <c r="AE207" i="9"/>
  <c r="G207" i="5" s="1"/>
  <c r="H54" i="5"/>
  <c r="AE54" i="9"/>
  <c r="G54" i="5" s="1"/>
  <c r="H185" i="5"/>
  <c r="AE185" i="9"/>
  <c r="G185" i="5" s="1"/>
  <c r="J69" i="5"/>
  <c r="AG69" i="9"/>
  <c r="I69" i="5" s="1"/>
  <c r="F123" i="5"/>
  <c r="AD123" i="9"/>
  <c r="E123" i="5" s="1"/>
  <c r="H219" i="5"/>
  <c r="AE219" i="9"/>
  <c r="F190" i="5"/>
  <c r="AD190" i="9"/>
  <c r="E190" i="5" s="1"/>
  <c r="AM103" i="9"/>
  <c r="K103" i="5" s="1"/>
  <c r="L103" i="5"/>
  <c r="F120" i="5"/>
  <c r="AD120" i="9"/>
  <c r="E120" i="5" s="1"/>
  <c r="L234" i="5"/>
  <c r="AM234" i="9"/>
  <c r="K234" i="5" s="1"/>
  <c r="L13" i="5"/>
  <c r="AM13" i="9"/>
  <c r="K13" i="5" s="1"/>
  <c r="F86" i="5"/>
  <c r="AD86" i="9"/>
  <c r="E86" i="5" s="1"/>
  <c r="F108" i="5"/>
  <c r="AD108" i="9"/>
  <c r="E108" i="5" s="1"/>
  <c r="F105" i="5"/>
  <c r="AD105" i="9"/>
  <c r="E105" i="5" s="1"/>
  <c r="AM40" i="9"/>
  <c r="K40" i="5" s="1"/>
  <c r="L40" i="5"/>
  <c r="AE29" i="9"/>
  <c r="G29" i="5" s="1"/>
  <c r="H29" i="5"/>
  <c r="J159" i="5"/>
  <c r="AG159" i="9"/>
  <c r="I159" i="5" s="1"/>
  <c r="H144" i="5"/>
  <c r="AE144" i="9"/>
  <c r="G144" i="5" s="1"/>
  <c r="J97" i="5"/>
  <c r="AG97" i="9"/>
  <c r="I97" i="5" s="1"/>
  <c r="AG111" i="9"/>
  <c r="I111" i="5" s="1"/>
  <c r="J111" i="5"/>
  <c r="H95" i="5"/>
  <c r="AE95" i="9"/>
  <c r="G95" i="5" s="1"/>
  <c r="AM96" i="9"/>
  <c r="K96" i="5" s="1"/>
  <c r="L96" i="5"/>
  <c r="F66" i="5"/>
  <c r="AD66" i="9"/>
  <c r="E66" i="5" s="1"/>
  <c r="J58" i="5"/>
  <c r="AG58" i="9"/>
  <c r="I58" i="5" s="1"/>
  <c r="L173" i="5"/>
  <c r="AM173" i="9"/>
  <c r="K173" i="5" s="1"/>
  <c r="J87" i="5"/>
  <c r="AG87" i="9"/>
  <c r="I87" i="5" s="1"/>
  <c r="H85" i="5"/>
  <c r="AE85" i="9"/>
  <c r="G85" i="5" s="1"/>
  <c r="L50" i="5"/>
  <c r="AM50" i="9"/>
  <c r="K50" i="5" s="1"/>
  <c r="J139" i="5"/>
  <c r="AG139" i="9"/>
  <c r="I139" i="5" s="1"/>
  <c r="H164" i="5"/>
  <c r="AE164" i="9"/>
  <c r="G164" i="5" s="1"/>
  <c r="H133" i="5"/>
  <c r="AE133" i="9"/>
  <c r="G133" i="5" s="1"/>
  <c r="F235" i="5"/>
  <c r="AD235" i="9"/>
  <c r="E235" i="5" s="1"/>
  <c r="F236" i="5"/>
  <c r="AD236" i="9"/>
  <c r="E236" i="5" s="1"/>
  <c r="J106" i="5"/>
  <c r="AG106" i="9"/>
  <c r="I106" i="5" s="1"/>
  <c r="AG74" i="9"/>
  <c r="I74" i="5" s="1"/>
  <c r="J74" i="5"/>
  <c r="F241" i="5"/>
  <c r="AD241" i="9"/>
  <c r="E241" i="5" s="1"/>
  <c r="F208" i="5"/>
  <c r="AD208" i="9"/>
  <c r="E208" i="5" s="1"/>
  <c r="AE196" i="9"/>
  <c r="G196" i="5" s="1"/>
  <c r="H196" i="5"/>
  <c r="L28" i="5"/>
  <c r="AM28" i="9"/>
  <c r="K28" i="5" s="1"/>
  <c r="AM176" i="9"/>
  <c r="K176" i="5" s="1"/>
  <c r="L176" i="5"/>
  <c r="F211" i="5"/>
  <c r="AD211" i="9"/>
  <c r="E211" i="5" s="1"/>
  <c r="H62" i="5"/>
  <c r="AE62" i="9"/>
  <c r="G62" i="5" s="1"/>
  <c r="L91" i="5"/>
  <c r="AM91" i="9"/>
  <c r="K91" i="5" s="1"/>
  <c r="J118" i="5"/>
  <c r="AG118" i="9"/>
  <c r="I118" i="5" s="1"/>
  <c r="H225" i="5"/>
  <c r="AE225" i="9"/>
  <c r="G225" i="5" s="1"/>
  <c r="J224" i="5"/>
  <c r="AG224" i="9"/>
  <c r="I224" i="5" s="1"/>
  <c r="AM135" i="9"/>
  <c r="K135" i="5" s="1"/>
  <c r="L135" i="5"/>
  <c r="F57" i="5"/>
  <c r="AD57" i="9"/>
  <c r="E57" i="5" s="1"/>
  <c r="F206" i="5"/>
  <c r="AD206" i="9"/>
  <c r="E206" i="5" s="1"/>
  <c r="AM188" i="9"/>
  <c r="K188" i="5" s="1"/>
  <c r="L188" i="5"/>
  <c r="J184" i="5"/>
  <c r="AG184" i="9"/>
  <c r="I184" i="5" s="1"/>
  <c r="F170" i="5"/>
  <c r="AD170" i="9"/>
  <c r="E170" i="5" s="1"/>
  <c r="F158" i="5"/>
  <c r="AD158" i="9"/>
  <c r="E158" i="5" s="1"/>
  <c r="H162" i="5"/>
  <c r="AE162" i="9"/>
  <c r="G162" i="5" s="1"/>
  <c r="J34" i="5"/>
  <c r="AG34" i="9"/>
  <c r="I34" i="5" s="1"/>
  <c r="F14" i="5"/>
  <c r="AD14" i="9"/>
  <c r="E14" i="5" s="1"/>
  <c r="H25" i="5"/>
  <c r="AE25" i="9"/>
  <c r="G25" i="5" s="1"/>
  <c r="F9" i="5"/>
  <c r="AD9" i="9"/>
  <c r="E9" i="5" s="1"/>
  <c r="AM250" i="9"/>
  <c r="K250" i="5" s="1"/>
  <c r="L250" i="5"/>
  <c r="H138" i="5"/>
  <c r="AE138" i="9"/>
  <c r="G138" i="5" s="1"/>
  <c r="L125" i="5"/>
  <c r="AM125" i="9"/>
  <c r="K125" i="5" s="1"/>
  <c r="H61" i="5"/>
  <c r="AE61" i="9"/>
  <c r="G61" i="5" s="1"/>
  <c r="F89" i="5"/>
  <c r="AD89" i="9"/>
  <c r="E89" i="5" s="1"/>
  <c r="J27" i="5"/>
  <c r="AG27" i="9"/>
  <c r="I27" i="5" s="1"/>
  <c r="AG136" i="9"/>
  <c r="I136" i="5" s="1"/>
  <c r="J136" i="5"/>
  <c r="L222" i="5"/>
  <c r="AM222" i="9"/>
  <c r="K222" i="5" s="1"/>
  <c r="F132" i="5"/>
  <c r="AD132" i="9"/>
  <c r="E132" i="5" s="1"/>
  <c r="F154" i="5"/>
  <c r="AD154" i="9"/>
  <c r="E154" i="5" s="1"/>
  <c r="AD180" i="9"/>
  <c r="E180" i="5" s="1"/>
  <c r="F180" i="5"/>
  <c r="J71" i="5"/>
  <c r="AG71" i="9"/>
  <c r="I71" i="5" s="1"/>
  <c r="AM33" i="9"/>
  <c r="K33" i="5" s="1"/>
  <c r="L33" i="5"/>
  <c r="L112" i="5"/>
  <c r="AM112" i="9"/>
  <c r="K112" i="5" s="1"/>
  <c r="F231" i="5"/>
  <c r="AD231" i="9"/>
  <c r="E231" i="5" s="1"/>
  <c r="H121" i="5"/>
  <c r="AE121" i="9"/>
  <c r="G121" i="5" s="1"/>
  <c r="F20" i="5"/>
  <c r="AD20" i="9"/>
  <c r="E20" i="5" s="1"/>
  <c r="AD201" i="9"/>
  <c r="E201" i="5" s="1"/>
  <c r="F201" i="5"/>
  <c r="F32" i="5"/>
  <c r="AD32" i="9"/>
  <c r="E32" i="5" s="1"/>
  <c r="J252" i="5" l="1"/>
  <c r="F252" i="5"/>
  <c r="AM252" i="9"/>
  <c r="K252" i="5" s="1"/>
  <c r="D20" i="14"/>
  <c r="D25" i="14" s="1"/>
  <c r="D33" i="14" s="1"/>
  <c r="K203" i="5"/>
  <c r="H8" i="8"/>
  <c r="G219" i="5"/>
  <c r="D8" i="8"/>
  <c r="I220" i="5"/>
  <c r="F9" i="8"/>
  <c r="E219" i="5"/>
  <c r="B8" i="8"/>
  <c r="I219" i="5"/>
  <c r="F8" i="8"/>
  <c r="G220" i="5"/>
  <c r="D9" i="8"/>
  <c r="E220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7" i="5"/>
  <c r="D7" i="8"/>
  <c r="E37" i="5"/>
  <c r="B7" i="8"/>
  <c r="I37" i="5"/>
  <c r="F7" i="8"/>
  <c r="K166" i="5"/>
  <c r="H6" i="8"/>
  <c r="G166" i="5"/>
  <c r="D6" i="8"/>
  <c r="I166" i="5"/>
  <c r="F6" i="8"/>
  <c r="E166" i="5"/>
  <c r="B6" i="8"/>
  <c r="H7" i="8"/>
  <c r="K183" i="5"/>
  <c r="B2" i="8" l="1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tc={E2B4C7AA-0613-4278-92E5-AF6CB8926D2A}</author>
  </authors>
  <commentList>
    <comment ref="K196" authorId="0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tc={A3B9B200-EF4E-4DA9-BFE7-1A921E1FBC65}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tc={A3E14736-5716-4778-8FB5-366F925BBCAA}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tc={0CB9CDBC-2E3C-4683-AD6A-3E60E6BCE4AC}</author>
    <author>tc={990B15E6-F8D6-4DF2-A2E9-30D7E69F0363}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tc={B5BEB0A1-8A2A-4C80-B741-1459AE2A52F6}</author>
    <author>tc={07A796CA-0862-4234-B34B-E9ECA44D9E75}</author>
    <author>tc={91C84CA5-BEEC-4C94-A9BD-4232BE012156}</author>
    <author>tc={503A04E3-26B7-4853-ACF8-37E402CF1A6E}</author>
    <author>tc={01FA2568-BE12-483B-972C-D8232BF074A9}</author>
    <author>tc={E1724549-2316-44C1-BA6F-40254D6B6A03}</author>
    <author>tc={78A0231D-6F82-4379-A9F9-7F53DC32404A}</author>
    <author>tc={B1923DE8-1AFB-42A0-8BCB-B8672E8C8E8D}</author>
    <author>tc={1DE26565-D892-4DA5-A617-7EA6D390CDC8}</author>
    <author>tc={3F28F63C-3C46-496C-93F3-F17311DA2CC4}</author>
    <author>tc={5F9B61CE-EAAF-463F-B157-4B3A97797112}</author>
    <author>tc={39C19080-D308-4C50-9A2B-0413514E439F}</author>
    <author>tc={69195F52-40F4-4159-9ABC-C693AFCA737B}</author>
    <author>tc={8D18B05B-A0C7-42EF-90B4-EE98A53ED411}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tc={9989DD06-EAE6-47E6-9CB9-EBEB101FBDF9}</author>
    <author>tc={54175C59-C6DB-43E8-BCFA-2592E06049C9}</author>
    <author>tc={0D67E864-725B-4B02-89B1-7275A51621DA}</author>
    <author>tc={3F298A34-89B4-4768-AECC-2245C2FFFB45}</author>
    <author>tc={138D846F-ABBB-459D-9361-8E4B8DFD5130}</author>
    <author>tc={ACE297BC-5B05-4D6B-8EB4-4AC6BFCC4D28}</author>
    <author>tc={35BCA058-C988-4707-B96B-3C571501E65F}</author>
    <author>tc={7E1EA305-B226-410E-BEFA-E9952F98C7EE}</author>
    <author>tc={F2C3FE7F-A675-437D-B2FB-0764F5035F3C}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tc={973CAD78-665A-4649-A6B2-EB13CA65E3B2}</author>
    <author>tc={BD6F8271-2BC2-4283-8FAB-A8C6AD9D326C}</author>
    <author>tc={433C9ADD-0041-4FDA-98B6-A91D03802C35}</author>
    <author>tc={B3A6762B-DD0D-446F-AC5B-B064A14FB23E}</author>
    <author>tc={535B5C85-FEE4-4144-8B2A-F7C46E05A95E}</author>
    <author>tc={2020A3A0-D8CE-413F-8D03-DD46062D2239}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tc={6615A5B0-C9A8-4FB0-A93C-26A481050455}</author>
    <author>tc={FD1CA8BF-6C20-4299-B112-BA887F1BB37E}</author>
    <author>tc={2782F904-60F4-44A2-8F6D-DF85AE56C13B}</author>
    <author>tc={07A595FE-1A3C-40F3-B6E8-08CEA67501E7}</author>
    <author>tc={864A3F0C-CE66-4828-A101-FD0C313A22F3}</author>
    <author>tc={30BCBC7F-E63D-4260-8A77-C491C6DDEF73}</author>
    <author>tc={4F7ADBDA-8AF2-4AAE-9834-1BA1A641B5E0}</author>
    <author>tc={96C9906F-33AC-4AEA-AEF0-CA08C2DA0515}</author>
    <author>tc={B9D2DF39-A8AC-42E0-ACB6-F354A1DA10B4}</author>
    <author>tc={2E2BE51E-85D0-4577-8B89-69657912AC2C}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tc={55FDB048-90F4-4B32-AB04-50B07D5A9B25}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tc={0E45B417-7AAB-433A-835B-5C4DB72933D8}</author>
    <author>tc={CD56A13C-FD94-4CD2-87D2-5578CFFF803D}</author>
    <author>tc={C53CD6C6-B91D-4B8F-A9F1-3E7D588BF493}</author>
    <author>tc={18F4D1AC-AFA9-4FD1-8F83-C63943CFE4BF}</author>
    <author>tc={0F2B1766-1F97-4BDA-AEC2-CE0C7052B785}</author>
    <author>tc={A5E770EF-5604-40D0-8448-22AB38648D0E}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tc={D937C33F-3041-4695-AA0C-9A09F4755728}</author>
    <author>tc={7A43EC00-AFBB-4E2F-AE96-1DD774BEC621}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tc={AD36B12E-59F6-4B4E-8FFC-A8F0B42A9BC4}</author>
    <author>tc={51473AB1-E95B-4526-9914-3D8DEDBDBCB9}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tc={7727DB60-8375-41A0-B032-52C6B2246BCC}</author>
    <author>tc={7EA7E13D-EBAA-4956-9A7D-4313AECC0325}</author>
    <author>tc={B0B8CB4E-3DA6-4AA3-8D07-810DD43B6A92}</author>
    <author>tc={E20022F0-85A2-47FF-8FFF-4E872759FBF6}</author>
    <author>tc={2B9D746C-4AF9-4178-B288-7DAFFE59C797}</author>
    <author>tc={EAC96642-6471-4529-B087-731946B27B4D}</author>
    <author>tc={A67CE3B6-9E88-4906-806C-CBB03B113871}</author>
    <author>tc={3149B29A-D136-4734-A1DB-649E6B418B4D}</author>
    <author>tc={40AFC5F7-AF74-4E6C-9845-6BCF224AEEE6}</author>
    <author>tc={6D908517-FF86-4611-A06A-2C94FB89B879}</author>
    <author>tc={18651EEE-19D0-4489-A6C0-A5F0E1480D5D}</author>
    <author>tc={AC641F5E-4A92-44F6-9008-D3C8D84D317A}</author>
    <author>tc={79BB0193-F48E-460E-90DB-A9C1B7519AD5}</author>
    <author>tc={6B9D0745-A894-4D93-B16E-00F31EEDEB4E}</author>
    <author>tc={F59C7CCF-D919-44B6-9BA5-555EFC579D30}</author>
    <author>tc={3B03B372-6FC1-497E-B71C-CE467AD6DE39}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tc={95D3D00A-CD61-4B77-ADE9-D46591D2B60E}</author>
    <author>tc={C28F0CDE-A519-4253-AE78-A382838B617C}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tc={C9C11970-FD79-472E-BF7F-AF6EFB5EEBFF}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tc={D309FA9E-99CF-4CE7-9DF1-F311A23A0853}</author>
    <author>tc={F9486AA7-1773-4A55-9EA9-ECC60C475D75}</author>
    <author>tc={A804BA05-8176-439D-B29D-BC7B428A8250}</author>
    <author>tc={9BE858F5-D6ED-4133-9181-2F46EBBEA77C}</author>
    <author>tc={5DCCB260-FD64-4D67-8BCE-8B64FBEFE58C}</author>
    <author>tc={45A9F567-A4D0-48CC-94BC-750E36722776}</author>
    <author>tc={A0F279AE-C97A-4C73-9E93-A053F8DBAC7D}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tc={C8FE9965-61B1-4A86-B381-FD825181C994}</author>
    <author>tc={58B93546-F802-4511-9D03-23F356A9712D}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tc={996FBB2B-9D64-4735-8C64-78A3B0987BEF}</author>
    <author>tc={88B3D8F4-72EB-49CF-9D72-1CE65AA33270}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tc={9C4EAA34-DF34-4A20-947F-CB32D2DF395B}</author>
    <author>tc={760A5B33-2111-40D2-8FC5-742A7AE7F862}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tc={BE020B42-63E7-4EC1-BDD1-C55464624009}</author>
    <author>tc={9B6D549E-1B1D-4467-8C56-01628225A0B2}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tc={85FF7AF6-1096-4C66-887B-AFADA79B27D3}</author>
    <author>tc={2F56CB73-C981-458E-9FCF-DC0DD126711C}</author>
    <author>tc={BA67A799-EAA7-417D-BC23-CF95FD0995A2}</author>
    <author>tc={ED0A3A25-69B5-45C0-80B1-64C55D44CB7A}</author>
    <author>tc={39BEC1B8-8583-4CAB-A8DF-774D7F21CE3E}</author>
    <author>tc={BC22C938-F8CB-4F82-93D7-5F8C03E3743A}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</t>
      </text>
    </comment>
    <comment ref="J17" authorId="8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1" authorId="9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1" authorId="10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</t>
      </text>
    </comment>
    <comment ref="P21" authorId="11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</t>
      </text>
    </comment>
    <comment ref="R21" authorId="12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</t>
      </text>
    </comment>
    <comment ref="T21" authorId="13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1" authorId="14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</t>
      </text>
    </comment>
    <comment ref="Z21" authorId="15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</t>
      </text>
    </comment>
    <comment ref="L22" authorId="16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22" authorId="17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</t>
      </text>
    </comment>
    <comment ref="P22" authorId="18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</t>
      </text>
    </comment>
    <comment ref="R22" authorId="19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</t>
      </text>
    </comment>
    <comment ref="T22" authorId="20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2" authorId="21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</t>
      </text>
    </comment>
    <comment ref="Z22" authorId="22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</t>
      </text>
    </comment>
    <comment ref="J24" authorId="23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4" authorId="24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4" authorId="25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4" authorId="26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J25" authorId="27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5" authorId="28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5" authorId="29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5" authorId="30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5" authorId="31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5" authorId="32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J29" authorId="33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</t>
      </text>
    </comment>
    <comment ref="L29" authorId="34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</t>
      </text>
    </comment>
    <comment ref="N29" authorId="35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29" authorId="36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</t>
      </text>
    </comment>
    <comment ref="R29" authorId="37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</t>
      </text>
    </comment>
    <comment ref="T29" authorId="38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</t>
      </text>
    </comment>
    <comment ref="V29" authorId="39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</t>
      </text>
    </comment>
    <comment ref="J30" authorId="40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</t>
      </text>
    </comment>
    <comment ref="L30" authorId="41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</t>
      </text>
    </comment>
    <comment ref="N30" authorId="42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0" authorId="43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0" authorId="44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</t>
      </text>
    </comment>
    <comment ref="T30" authorId="45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</t>
      </text>
    </comment>
    <comment ref="V30" authorId="46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</t>
      </text>
    </comment>
    <comment ref="J31" authorId="47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6" authorId="48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J37" authorId="49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J38" authorId="50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</t>
      </text>
    </comment>
    <comment ref="L38" authorId="51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</t>
      </text>
    </comment>
    <comment ref="N38" authorId="52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</t>
      </text>
    </comment>
    <comment ref="P38" authorId="53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</t>
      </text>
    </comment>
    <comment ref="R38" authorId="54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</t>
      </text>
    </comment>
    <comment ref="T38" authorId="55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</t>
      </text>
    </comment>
    <comment ref="V38" authorId="56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</t>
      </text>
    </comment>
    <comment ref="X38" authorId="57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</t>
      </text>
    </comment>
    <comment ref="Z38" authorId="58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</t>
      </text>
    </comment>
    <comment ref="AB38" authorId="59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</t>
      </text>
    </comment>
    <comment ref="AD38" authorId="60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</t>
      </text>
    </comment>
    <comment ref="AF38" authorId="61" shapeId="0" xr:uid="{6EFEBB33-3B9B-49DA-8F02-351FB5706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</t>
      </text>
    </comment>
    <comment ref="AN38" authorId="62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</t>
      </text>
    </comment>
    <comment ref="AP38" authorId="63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8" authorId="64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39" authorId="65" shapeId="0" xr:uid="{00000000-0006-0000-03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2.6kW
Reply:
    19kW allocation reduced due to live reading of 1.5kW
Reply:
    19kW allocation reduced due to live reading of 1.6kW
Reply:
    38kW allocation reduced due to live reading of 1.8kW</t>
      </text>
    </comment>
    <comment ref="L39" authorId="66" shapeId="0" xr:uid="{00000000-0006-0000-03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12.6kW
Reply:
    67kW allocation reduced due to live reading of 14kW</t>
      </text>
    </comment>
    <comment ref="N39" authorId="67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</t>
      </text>
    </comment>
    <comment ref="P39" authorId="68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</t>
      </text>
    </comment>
    <comment ref="R39" authorId="69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</t>
      </text>
    </comment>
    <comment ref="T39" authorId="70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</t>
      </text>
    </comment>
    <comment ref="V39" authorId="71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</t>
      </text>
    </comment>
    <comment ref="X39" authorId="72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</t>
      </text>
    </comment>
    <comment ref="Z39" authorId="73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</t>
      </text>
    </comment>
    <comment ref="AB39" authorId="74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</t>
      </text>
    </comment>
    <comment ref="AD39" authorId="75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</t>
      </text>
    </comment>
    <comment ref="AF39" authorId="76" shapeId="0" xr:uid="{07705D21-F6A2-4CE4-B80D-ADB88F322DD1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</t>
      </text>
    </comment>
    <comment ref="AN39" authorId="77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</t>
      </text>
    </comment>
    <comment ref="AP39" authorId="78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79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G47" authorId="80" shapeId="0" xr:uid="{00000000-0006-0000-03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BSHn08 iPDUs across Sys 1 and 2 so loads split</t>
      </text>
    </comment>
    <comment ref="J47" authorId="81" shapeId="0" xr:uid="{00000000-0006-0000-03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</t>
      </text>
    </comment>
    <comment ref="L47" authorId="82" shapeId="0" xr:uid="{00000000-0006-0000-03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47" authorId="83" shapeId="0" xr:uid="{00000000-0006-0000-03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P47" authorId="84" shapeId="0" xr:uid="{00000000-0006-0000-03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R47" authorId="85" shapeId="0" xr:uid="{00000000-0006-0000-03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</t>
      </text>
    </comment>
    <comment ref="T47" authorId="86" shapeId="0" xr:uid="{00000000-0006-0000-03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</t>
      </text>
    </comment>
    <comment ref="V47" authorId="87" shapeId="0" xr:uid="{00000000-0006-0000-03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7" authorId="88" shapeId="0" xr:uid="{00000000-0006-0000-03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</t>
      </text>
    </comment>
    <comment ref="Z47" authorId="89" shapeId="0" xr:uid="{00000000-0006-0000-03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F47" authorId="90" shapeId="0" xr:uid="{00000000-0006-0000-03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7" authorId="91" shapeId="0" xr:uid="{00000000-0006-0000-03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J47" authorId="92" shapeId="0" xr:uid="{69195F52-40F4-4159-9ABC-C693AFCA737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2kW allocation reduced due to live reading of 1.4kW</t>
      </text>
    </comment>
    <comment ref="AL47" authorId="93" shapeId="0" xr:uid="{00000000-0006-0000-0300-00004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</t>
      </text>
    </comment>
    <comment ref="J48" authorId="94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</t>
      </text>
    </comment>
    <comment ref="L48" authorId="95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48" authorId="96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P48" authorId="97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R48" authorId="98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99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</t>
      </text>
    </comment>
    <comment ref="V48" authorId="100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101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</t>
      </text>
    </comment>
    <comment ref="Z48" authorId="102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8" authorId="103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8" authorId="104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105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</t>
      </text>
    </comment>
    <comment ref="AJ48" authorId="106" shapeId="0" xr:uid="{9989DD06-EAE6-47E6-9CB9-EBEB101FBDF9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2kW allocation reduced due to live reading of 1.4kW
Reply:
    2kW allocation reduced due to live reading of 1.4kW</t>
      </text>
    </comment>
    <comment ref="AL48" authorId="107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</t>
      </text>
    </comment>
    <comment ref="AN48" authorId="108" shapeId="0" xr:uid="{0D67E864-725B-4B02-89B1-7275A51621DA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49" authorId="109" shapeId="0" xr:uid="{00000000-0006-0000-0300-00005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L49" authorId="110" shapeId="0" xr:uid="{00000000-0006-0000-0300-00005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N50" authorId="111" shapeId="0" xr:uid="{ACE297BC-5B05-4D6B-8EB4-4AC6BFCC4D28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0" authorId="112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N51" authorId="113" shapeId="0" xr:uid="{7E1EA305-B226-410E-BEFA-E9952F98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1" authorId="114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53" authorId="115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3" authorId="116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</t>
      </text>
    </comment>
    <comment ref="N53" authorId="117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</t>
      </text>
    </comment>
    <comment ref="P53" authorId="118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</t>
      </text>
    </comment>
    <comment ref="R53" authorId="119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6kW allocation reduced due to live reading of 5.1KW</t>
      </text>
    </comment>
    <comment ref="V53" authorId="120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</t>
      </text>
    </comment>
    <comment ref="X53" authorId="121" shapeId="0" xr:uid="{00000000-0006-0000-0300-00005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Z53" authorId="122" shapeId="0" xr:uid="{00000000-0006-0000-0300-00005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33A, so 2.6kW allocation reduced by 1.8kW
Reply:
    2.6kW allocation reduced due to live reading of 2.1KW
Reply:
    2.6kW allocation reduced due to live reading of 1.9KW
Reply:
    2.6kW allocation reduced due to live reading of 1.9KW
Reply:
    2.6kW allocation reduced due to live reading of 2KW
Reply:
    2.6kW allocation reduced due to live reading of 2KW
Reply:
    2.6kW allocation reduced due to live reading of 1.8KW</t>
      </text>
    </comment>
    <comment ref="AD53" authorId="123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</t>
      </text>
    </comment>
    <comment ref="AF53" authorId="124" shapeId="0" xr:uid="{00000000-0006-0000-0300-00006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53" authorId="125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</t>
      </text>
    </comment>
    <comment ref="AL53" authorId="126" shapeId="0" xr:uid="{00000000-0006-0000-0300-00006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J56" authorId="127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</t>
      </text>
    </comment>
    <comment ref="L56" authorId="128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</t>
      </text>
    </comment>
    <comment ref="N56" authorId="129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</t>
      </text>
    </comment>
    <comment ref="P56" authorId="130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</t>
      </text>
    </comment>
    <comment ref="R56" authorId="131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</t>
      </text>
    </comment>
    <comment ref="T56" authorId="132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</t>
      </text>
    </comment>
    <comment ref="V56" authorId="133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</t>
      </text>
    </comment>
    <comment ref="X56" authorId="134" shapeId="0" xr:uid="{00000000-0006-0000-0300-00006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</t>
      </text>
    </comment>
    <comment ref="Z56" authorId="135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</t>
      </text>
    </comment>
    <comment ref="AB56" authorId="136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F56" authorId="137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6" authorId="138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</t>
      </text>
    </comment>
    <comment ref="AJ56" authorId="139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M56" authorId="140" shapeId="0" xr:uid="{4F7ADBDA-8AF2-4AAE-9834-1BA1A641B5E0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J57" authorId="141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U69" authorId="142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J71" authorId="143" shapeId="0" xr:uid="{00000000-0006-0000-0300-00006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71" authorId="144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</t>
      </text>
    </comment>
    <comment ref="N71" authorId="145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</t>
      </text>
    </comment>
    <comment ref="P71" authorId="146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</t>
      </text>
    </comment>
    <comment ref="R71" authorId="147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</t>
      </text>
    </comment>
    <comment ref="T71" authorId="148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</t>
      </text>
    </comment>
    <comment ref="J72" authorId="149" shapeId="0" xr:uid="{00000000-0006-0000-0300-00007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</t>
      </text>
    </comment>
    <comment ref="L72" authorId="150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</t>
      </text>
    </comment>
    <comment ref="N72" authorId="151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</t>
      </text>
    </comment>
    <comment ref="P72" authorId="152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</t>
      </text>
    </comment>
    <comment ref="R72" authorId="153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</t>
      </text>
    </comment>
    <comment ref="T72" authorId="154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</t>
      </text>
    </comment>
    <comment ref="J73" authorId="155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J74" authorId="156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</t>
      </text>
    </comment>
    <comment ref="J79" authorId="157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</t>
      </text>
    </comment>
    <comment ref="J80" authorId="158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</t>
      </text>
    </comment>
    <comment ref="J82" authorId="159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J90" authorId="160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3" authorId="161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Q93" authorId="162" shapeId="0" xr:uid="{A5E770EF-5604-40D0-8448-22AB38648D0E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1" authorId="163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</t>
      </text>
    </comment>
    <comment ref="L101" authorId="164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</t>
      </text>
    </comment>
    <comment ref="N101" authorId="165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</t>
      </text>
    </comment>
    <comment ref="P101" authorId="166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</t>
      </text>
    </comment>
    <comment ref="R101" authorId="167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1" authorId="168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V101" authorId="169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</t>
      </text>
    </comment>
    <comment ref="AF101" authorId="170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</t>
      </text>
    </comment>
    <comment ref="J102" authorId="171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</t>
      </text>
    </comment>
    <comment ref="L102" authorId="172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</t>
      </text>
    </comment>
    <comment ref="N102" authorId="173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P102" authorId="174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R102" authorId="175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176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V102" authorId="177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</t>
      </text>
    </comment>
    <comment ref="AF102" authorId="178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</t>
      </text>
    </comment>
    <comment ref="G103" authorId="179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3" authorId="180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3" authorId="181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8" authorId="182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</t>
      </text>
    </comment>
    <comment ref="J109" authorId="183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</t>
      </text>
    </comment>
    <comment ref="J113" authorId="184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</t>
      </text>
    </comment>
    <comment ref="J114" authorId="185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</t>
      </text>
    </comment>
    <comment ref="J115" authorId="186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16" authorId="187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</t>
      </text>
    </comment>
    <comment ref="L116" authorId="188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</t>
      </text>
    </comment>
    <comment ref="N116" authorId="189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</t>
      </text>
    </comment>
    <comment ref="P116" authorId="190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6" authorId="191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7" authorId="192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L117" authorId="193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</t>
      </text>
    </comment>
    <comment ref="N117" authorId="194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</t>
      </text>
    </comment>
    <comment ref="P117" authorId="195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196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8" authorId="197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8" authorId="198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</t>
      </text>
    </comment>
    <comment ref="N118" authorId="199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P118" authorId="200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</t>
      </text>
    </comment>
    <comment ref="R118" authorId="201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</t>
      </text>
    </comment>
    <comment ref="T118" authorId="202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8" authorId="203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</t>
      </text>
    </comment>
    <comment ref="X118" authorId="204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</t>
      </text>
    </comment>
    <comment ref="Y118" authorId="205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</t>
      </text>
    </comment>
    <comment ref="AA118" authorId="206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</t>
      </text>
    </comment>
    <comment ref="J119" authorId="207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08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N119" authorId="209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P119" authorId="210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</t>
      </text>
    </comment>
    <comment ref="R119" authorId="211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9" authorId="212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9" authorId="213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</t>
      </text>
    </comment>
    <comment ref="X119" authorId="214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</t>
      </text>
    </comment>
    <comment ref="Y119" authorId="215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</t>
      </text>
    </comment>
    <comment ref="AA119" authorId="216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</t>
      </text>
    </comment>
    <comment ref="J120" authorId="217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2" authorId="218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J128" authorId="219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8" authorId="220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J130" authorId="221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1" authorId="222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3" authorId="223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3" authorId="224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5" authorId="225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39" authorId="226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</t>
      </text>
    </comment>
    <comment ref="J142" authorId="227" shapeId="0" xr:uid="{00000000-0006-0000-0300-0000A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1.9kW
Reply:
    2.5kW allocation reduced due to live reading of 1.9kW
Reply:
    2.5kW allocation reduced due to live reading of 1.9kW
Reply:
    2.5kW allocation reduced due to live reading of 2.3kW
Reply:
    2.5kW allocation reduced due to live reading of 2.4kW
Reply:
    2.5kW allocation reduced due to live reading of 2.4kW</t>
      </text>
    </comment>
    <comment ref="L142" authorId="228" shapeId="0" xr:uid="{00000000-0006-0000-0300-0000A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3.7kW
Reply:
    4kW allocation reduced due to live reading of 3.8kW
Reply:
    4kW allocation reduced due to live reading of 3.8kW</t>
      </text>
    </comment>
    <comment ref="N142" authorId="229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</t>
      </text>
    </comment>
    <comment ref="S142" authorId="230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2" authorId="231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</t>
      </text>
    </comment>
    <comment ref="AB142" authorId="232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</t>
      </text>
    </comment>
    <comment ref="AD142" authorId="233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2" authorId="234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J143" authorId="235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</t>
      </text>
    </comment>
    <comment ref="L143" authorId="236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</t>
      </text>
    </comment>
    <comment ref="N143" authorId="237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</t>
      </text>
    </comment>
    <comment ref="AJ143" authorId="238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J144" authorId="239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5" authorId="240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5" authorId="241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J147" authorId="242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0" authorId="243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1" authorId="244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1" authorId="245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4" authorId="246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</t>
      </text>
    </comment>
    <comment ref="L154" authorId="247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</t>
      </text>
    </comment>
    <comment ref="P154" authorId="248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</t>
      </text>
    </comment>
    <comment ref="R154" authorId="249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T154" authorId="250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</t>
      </text>
    </comment>
    <comment ref="V154" authorId="251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</t>
      </text>
    </comment>
    <comment ref="X154" authorId="252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Y154" authorId="253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J158" authorId="254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</t>
      </text>
    </comment>
    <comment ref="L158" authorId="255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</t>
      </text>
    </comment>
    <comment ref="R158" authorId="256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</t>
      </text>
    </comment>
    <comment ref="T158" authorId="257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</t>
      </text>
    </comment>
    <comment ref="V158" authorId="258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58" authorId="259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</t>
      </text>
    </comment>
    <comment ref="Z158" authorId="260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</t>
      </text>
    </comment>
    <comment ref="AB158" authorId="261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</t>
      </text>
    </comment>
    <comment ref="AD158" authorId="262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8" authorId="263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</t>
      </text>
    </comment>
    <comment ref="AJ158" authorId="264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</t>
      </text>
    </comment>
    <comment ref="AL158" authorId="265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8" authorId="266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8" authorId="267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8" authorId="268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6kW allocation reduced due to live reading of 4.3kW</t>
      </text>
    </comment>
    <comment ref="AT158" authorId="269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</t>
      </text>
    </comment>
    <comment ref="J159" authorId="270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</t>
      </text>
    </comment>
    <comment ref="L159" authorId="271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</t>
      </text>
    </comment>
    <comment ref="R159" authorId="272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</t>
      </text>
    </comment>
    <comment ref="T159" authorId="273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59" authorId="274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59" authorId="275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Z159" authorId="276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59" authorId="277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</t>
      </text>
    </comment>
    <comment ref="AD159" authorId="278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9" authorId="279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</t>
      </text>
    </comment>
    <comment ref="AJ159" authorId="280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</t>
      </text>
    </comment>
    <comment ref="AL159" authorId="281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282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283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284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285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J168" authorId="286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0" authorId="287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1" authorId="288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</t>
      </text>
    </comment>
    <comment ref="L171" authorId="289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</t>
      </text>
    </comment>
    <comment ref="N171" authorId="290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171" authorId="291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6" authorId="292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</t>
      </text>
    </comment>
    <comment ref="J177" authorId="293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</t>
      </text>
    </comment>
    <comment ref="L177" authorId="294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</t>
      </text>
    </comment>
    <comment ref="J182" authorId="295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</t>
      </text>
    </comment>
    <comment ref="L182" authorId="296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</t>
      </text>
    </comment>
    <comment ref="N182" authorId="297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</t>
      </text>
    </comment>
    <comment ref="J183" authorId="298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5" authorId="299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5" authorId="300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</t>
      </text>
    </comment>
    <comment ref="P185" authorId="301" shapeId="0" xr:uid="{D309FA9E-99CF-4CE7-9DF1-F311A23A085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5" authorId="302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6" authorId="303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P186" authorId="304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6" authorId="305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92" authorId="306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95" authorId="307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02" authorId="308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</t>
      </text>
    </comment>
    <comment ref="L202" authorId="309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</t>
      </text>
    </comment>
    <comment ref="N202" authorId="310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</t>
      </text>
    </comment>
    <comment ref="P202" authorId="311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R202" authorId="312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T202" authorId="313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</t>
      </text>
    </comment>
    <comment ref="N204" authorId="314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206" authorId="315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7" authorId="316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17" authorId="317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</t>
      </text>
    </comment>
    <comment ref="L217" authorId="318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7" authorId="319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P217" authorId="320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</t>
      </text>
    </comment>
    <comment ref="R217" authorId="321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T217" authorId="322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</t>
      </text>
    </comment>
    <comment ref="V217" authorId="323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</t>
      </text>
    </comment>
    <comment ref="Z217" authorId="324" shapeId="0" xr:uid="{996FBB2B-9D64-4735-8C64-78A3B0987BE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</t>
      </text>
    </comment>
    <comment ref="AD217" authorId="325" shapeId="0" xr:uid="{00000000-0006-0000-0300-0000F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</t>
      </text>
    </comment>
    <comment ref="J218" authorId="326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</t>
      </text>
    </comment>
    <comment ref="L218" authorId="327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</t>
      </text>
    </comment>
    <comment ref="N218" authorId="328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P218" authorId="329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</t>
      </text>
    </comment>
    <comment ref="R218" authorId="330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T218" authorId="331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</t>
      </text>
    </comment>
    <comment ref="V218" authorId="332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</t>
      </text>
    </comment>
    <comment ref="Z218" authorId="333" shapeId="0" xr:uid="{9C4EAA34-DF34-4A20-947F-CB32D2DF395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</t>
      </text>
    </comment>
    <comment ref="AD218" authorId="334" shapeId="0" xr:uid="{760A5B33-2111-40D2-8FC5-742A7AE7F86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</t>
      </text>
    </comment>
    <comment ref="J223" authorId="335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5" authorId="336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0" authorId="337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0" authorId="338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0" authorId="339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0" authorId="340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1" authorId="341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1" authorId="342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1" authorId="343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1" authorId="344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3" authorId="345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</t>
      </text>
    </comment>
    <comment ref="L233" authorId="346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</t>
      </text>
    </comment>
    <comment ref="J234" authorId="347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L234" authorId="348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J236" authorId="349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38" authorId="350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</t>
      </text>
    </comment>
    <comment ref="L238" authorId="351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38" authorId="352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P238" authorId="353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</t>
      </text>
    </comment>
    <comment ref="R238" authorId="354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</t>
      </text>
    </comment>
    <comment ref="X238" authorId="355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</t>
      </text>
    </comment>
    <comment ref="Z238" authorId="356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</t>
      </text>
    </comment>
    <comment ref="J239" authorId="357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</t>
      </text>
    </comment>
    <comment ref="L239" authorId="358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39" authorId="359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</t>
      </text>
    </comment>
    <comment ref="P239" authorId="360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</t>
      </text>
    </comment>
    <comment ref="R239" authorId="361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</t>
      </text>
    </comment>
    <comment ref="X239" authorId="362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</t>
      </text>
    </comment>
    <comment ref="Z239" authorId="363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</t>
      </text>
    </comment>
    <comment ref="N240" authorId="364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1" authorId="365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J246" authorId="366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48" authorId="367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50" authorId="368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tc={457CDDEF-556A-4883-B9BC-19ADD8C743A8}</author>
    <author>tc={798A672D-617D-489D-A26B-59608FFACB2C}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tc={72C55169-7B56-494D-8F68-777133E9F283}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tc={5CF8AC71-2FB4-49B9-95BC-8C1F8BCAF983}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tc={EF9F1197-11DF-4CC9-B07D-988E301D62B4}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tc={87104A36-A461-4BAD-ABE0-ECE4D4595BA9}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tc={8779149F-0232-4034-9D12-6BEC808DF6D7}</author>
    <author>tc={EE044E47-F346-45DB-A7F8-537784090E0E}</author>
    <author>tc={5F6DFC18-2F40-4145-9E3C-33CB8C10FEBB}</author>
    <author>tc={A92D74E2-D956-4556-9B5E-4F0358C1766B}</author>
    <author>tc={95D19E12-CB85-4DFC-AF75-7FBD96BF0958}</author>
    <author>tc={05B5571F-4E76-4CDC-8461-ECFBDD4BBFD2}</author>
    <author>tc={F36323D6-7CE8-4F1A-A1B6-C8AF3CF80FAA}</author>
    <author>tc={B00039D7-F59F-47B2-82C6-3F87C39FE795}</author>
    <author>tc={2B835A27-EEAF-4231-BDA0-BE59E09C8188}</author>
    <author>tc={109D9C5C-96D5-48A1-B6BA-E81D2428DEA6}</author>
    <author>tc={18015D99-D150-4B32-B62F-2B277FDEF5F3}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tc={E49ABD4A-80D1-4C0B-84CD-E8F77E73EA4B}</author>
    <author>tc={A9F58572-0E52-4EA7-8AA3-7B7E70E68493}</author>
    <author>tc={FABC12C0-1932-4D06-A261-149F5A9CC5C8}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tc={50107363-27E4-4693-A1A1-11AFD3B6D63A}</author>
    <author>tc={2CC64C0D-107B-48B8-841B-6A8C135B675D}</author>
    <author>tc={DF775FD1-78BD-44AA-A03C-9FCC1A7F3C21}</author>
    <author>tc={5A63F42E-57E1-4327-A97C-F75D7290208B}</author>
    <author>tc={91C6E42B-E973-4670-B4D7-3119C82F4246}</author>
    <author>tc={0CDA000C-8BAB-444C-8FFF-F497C4FD1D9C}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tc={D4283106-9471-4689-9C79-ECEE2015389B}</author>
    <author>tc={49C5CD2B-0DED-4589-A0F9-396F2235ACD4}</author>
    <author>tc={6AB43DDE-E856-4C2F-936B-FCB5F09D8239}</author>
    <author>tc={641E5D14-1053-45F2-A2CE-B15A8327F450}</author>
    <author>tc={5CF3A743-152B-4477-8CC9-FB853C6C69A5}</author>
    <author>tc={F90C1C7F-361B-4803-AE43-FCAC9AB98B83}</author>
    <author>tc={DEDE40B2-E6B3-4524-8D0D-3F2744AEE33C}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tc={A1C07965-5D53-45C7-980A-D0F051F5CB0D}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tc={6B533988-9E63-4854-9859-C038DC76A635}</author>
    <author>tc={D38DFF19-0BCD-4EA9-8E05-7CCF1AD37A78}</author>
    <author>tc={D3AABDFD-423F-43B7-8C4F-E65EE1DADE75}</author>
    <author>tc={AF0DCF72-02FB-4656-A5FD-E995C29AAA75}</author>
    <author>tc={39CDE4DE-F1FE-4A60-B949-F64FE0528A64}</author>
    <author>tc={F7304332-4C37-4AA8-8BEC-DB297BDBAF30}</author>
    <author>tc={083EC705-16EF-4110-A4B4-DDA819A27B44}</author>
    <author>tc={847E2C7A-3CCC-4777-BB9A-8EE9FC68676F}</author>
    <author>tc={6F9E3C5F-43B0-4361-B446-E958AB9278F7}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tc={37A7FD83-75CC-4518-B4A8-B2F2EEC8A1BD}</author>
    <author>tc={A05DE518-1600-496E-99FA-B14375A73655}</author>
    <author>tc={099A3399-AE93-4B09-9DCA-C8CCC18435D6}</author>
    <author>tc={E4B85817-62AD-46DE-8D8B-B97C8E813D07}</author>
    <author>tc={639368B0-A350-49F3-9AE6-D2C47472AEE6}</author>
    <author>tc={3DD4B448-10AD-465E-B3CD-7BEDEF9EFBE7}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</t>
      </text>
    </comment>
    <comment ref="Z30" authorId="8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</t>
      </text>
    </comment>
    <comment ref="AB30" authorId="9" shapeId="0" xr:uid="{457CDDEF-556A-4883-B9BC-19ADD8C743A8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30" authorId="10" shapeId="0" xr:uid="{798A672D-617D-489D-A26B-59608FFACB2C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33A, so 2.6kW allocation reduced by 1.8kW
Reply:
    2.6kW allocation reduced due to live reading of 2.1KW
Reply:
    2.6kW allocation reduced due to live reading of 1.9KW
Reply:
    2.6kW allocation reduced due to live reading of 1.9KW
Reply:
    2.6kW allocation reduced due to live reading of 2KW
Reply:
    2.6kW allocation reduced due to live reading of 2KW
Reply:
    2.6kW allocation reduced due to live reading of 1.8KW</t>
      </text>
    </comment>
    <comment ref="AH30" authorId="11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</t>
      </text>
    </comment>
    <comment ref="AJ30" authorId="12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</t>
      </text>
    </comment>
    <comment ref="AL30" authorId="13" shapeId="0" xr:uid="{00000000-0006-0000-04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AN30" authorId="14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5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R44" authorId="16" shapeId="0" xr:uid="{00000000-0006-0000-04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</t>
      </text>
    </comment>
    <comment ref="T44" authorId="17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</t>
      </text>
    </comment>
    <comment ref="V44" authorId="18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</t>
      </text>
    </comment>
    <comment ref="X44" authorId="19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</t>
      </text>
    </comment>
    <comment ref="Z44" authorId="20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</t>
      </text>
    </comment>
    <comment ref="AB44" authorId="21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</t>
      </text>
    </comment>
    <comment ref="W57" authorId="22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T68" authorId="23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R87" authorId="24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</t>
      </text>
    </comment>
    <comment ref="T87" authorId="25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</t>
      </text>
    </comment>
    <comment ref="V87" authorId="26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</t>
      </text>
    </comment>
    <comment ref="X87" authorId="27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Z87" authorId="28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</t>
      </text>
    </comment>
    <comment ref="AB87" authorId="29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</t>
      </text>
    </comment>
    <comment ref="AD87" authorId="30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</t>
      </text>
    </comment>
    <comment ref="AF87" authorId="31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</t>
      </text>
    </comment>
    <comment ref="AH87" authorId="32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</t>
      </text>
    </comment>
    <comment ref="Q100" authorId="33" shapeId="0" xr:uid="{EF9F1197-11DF-4CC9-B07D-988E301D62B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R116" authorId="34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</t>
      </text>
    </comment>
    <comment ref="T116" authorId="35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</t>
      </text>
    </comment>
    <comment ref="V116" authorId="36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7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</t>
      </text>
    </comment>
    <comment ref="Z116" authorId="38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</t>
      </text>
    </comment>
    <comment ref="Q117" authorId="39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40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R143" authorId="41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</t>
      </text>
    </comment>
    <comment ref="T143" authorId="42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</t>
      </text>
    </comment>
    <comment ref="V143" authorId="43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</t>
      </text>
    </comment>
    <comment ref="X143" authorId="44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5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</t>
      </text>
    </comment>
    <comment ref="AB143" authorId="46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</t>
      </text>
    </comment>
    <comment ref="AD143" authorId="47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</t>
      </text>
    </comment>
    <comment ref="R156" authorId="48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</t>
      </text>
    </comment>
    <comment ref="R176" authorId="49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</t>
      </text>
    </comment>
    <comment ref="T176" authorId="50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</t>
      </text>
    </comment>
    <comment ref="V176" authorId="51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</t>
      </text>
    </comment>
    <comment ref="X176" authorId="52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</t>
      </text>
    </comment>
    <comment ref="Z176" authorId="53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</t>
      </text>
    </comment>
    <comment ref="AB176" authorId="54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AH176" authorId="55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</t>
      </text>
    </comment>
    <comment ref="AJ176" authorId="56" shapeId="0" xr:uid="{8779149F-0232-4034-9D12-6BEC808DF6D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4kW allocation reduced due to live reading of 1.4kW
Reply:
    4kW allocation reduced due to live reading of 2.8kW</t>
      </text>
    </comment>
    <comment ref="R191" authorId="57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</t>
      </text>
    </comment>
    <comment ref="T191" authorId="58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</t>
      </text>
    </comment>
    <comment ref="V191" authorId="59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</t>
      </text>
    </comment>
    <comment ref="V195" authorId="60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61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U200" authorId="62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R217" authorId="63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</t>
      </text>
    </comment>
    <comment ref="T217" authorId="64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</t>
      </text>
    </comment>
    <comment ref="V217" authorId="65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66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R255" authorId="67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</t>
      </text>
    </comment>
    <comment ref="T255" authorId="68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</t>
      </text>
    </comment>
    <comment ref="X255" authorId="69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</t>
      </text>
    </comment>
    <comment ref="Z255" authorId="70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71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72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R265" authorId="73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74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75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</t>
      </text>
    </comment>
    <comment ref="T267" authorId="76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</t>
      </text>
    </comment>
    <comment ref="V267" authorId="77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</t>
      </text>
    </comment>
    <comment ref="X267" authorId="78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</t>
      </text>
    </comment>
    <comment ref="Z267" authorId="79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</t>
      </text>
    </comment>
    <comment ref="AB267" authorId="80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D267" authorId="81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</t>
      </text>
    </comment>
    <comment ref="AF267" authorId="82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</t>
      </text>
    </comment>
    <comment ref="AH267" authorId="83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AJ267" authorId="84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</t>
      </text>
    </comment>
    <comment ref="R268" authorId="85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</t>
      </text>
    </comment>
    <comment ref="V268" authorId="86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</t>
      </text>
    </comment>
    <comment ref="X268" authorId="87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Z268" authorId="88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</t>
      </text>
    </comment>
    <comment ref="AB268" authorId="89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D268" authorId="90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</t>
      </text>
    </comment>
    <comment ref="R275" authorId="91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92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</t>
      </text>
    </comment>
    <comment ref="V275" authorId="93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</t>
      </text>
    </comment>
    <comment ref="X275" authorId="94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</t>
      </text>
    </comment>
    <comment ref="Z275" authorId="95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</t>
      </text>
    </comment>
    <comment ref="AB275" authorId="96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</t>
      </text>
    </comment>
    <comment ref="AD275" authorId="97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</t>
      </text>
    </comment>
    <comment ref="AF275" authorId="98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</t>
      </text>
    </comment>
    <comment ref="U285" authorId="99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00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01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87" authorId="102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03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04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S290" authorId="105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06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07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</t>
      </text>
    </comment>
    <comment ref="T302" authorId="108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</t>
      </text>
    </comment>
    <comment ref="V302" authorId="109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</t>
      </text>
    </comment>
    <comment ref="X302" authorId="110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</t>
      </text>
    </comment>
    <comment ref="Z302" authorId="111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12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</t>
      </text>
    </comment>
    <comment ref="AD302" authorId="113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</t>
      </text>
    </comment>
    <comment ref="AL302" authorId="114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</t>
      </text>
    </comment>
    <comment ref="AN302" authorId="115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16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17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10" authorId="118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19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</t>
      </text>
    </comment>
    <comment ref="V310" authorId="120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21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</t>
      </text>
    </comment>
    <comment ref="Z310" authorId="122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310" authorId="123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</t>
      </text>
    </comment>
    <comment ref="AF310" authorId="124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</t>
      </text>
    </comment>
    <comment ref="AG310" authorId="125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I310" authorId="126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R320" authorId="127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28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59" authorId="129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</t>
      </text>
    </comment>
    <comment ref="T359" authorId="130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</t>
      </text>
    </comment>
    <comment ref="V359" authorId="131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</t>
      </text>
    </comment>
    <comment ref="X359" authorId="132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</t>
      </text>
    </comment>
    <comment ref="Z359" authorId="133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</t>
      </text>
    </comment>
    <comment ref="AB359" authorId="134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</t>
      </text>
    </comment>
    <comment ref="AD359" authorId="135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</t>
      </text>
    </comment>
    <comment ref="AF359" authorId="136" shapeId="0" xr:uid="{D4283106-9471-4689-9C79-ECEE20153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</t>
      </text>
    </comment>
    <comment ref="AH359" authorId="137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</t>
      </text>
    </comment>
    <comment ref="AL359" authorId="138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R369" authorId="139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</t>
      </text>
    </comment>
    <comment ref="R372" authorId="140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</t>
      </text>
    </comment>
    <comment ref="R377" authorId="141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</t>
      </text>
    </comment>
    <comment ref="R378" authorId="142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</t>
      </text>
    </comment>
    <comment ref="R381" authorId="143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</t>
      </text>
    </comment>
    <comment ref="T381" authorId="144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</t>
      </text>
    </comment>
    <comment ref="R383" authorId="145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2.5kW allocation reduced due to live reading of 1.1kW
Reply:
    2.5kW allocation reduced due to live reading of 0.2kW</t>
      </text>
    </comment>
    <comment ref="T383" authorId="146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</t>
      </text>
    </comment>
    <comment ref="V383" authorId="147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2kW allocation reduced due to live reading of 0.2kW</t>
      </text>
    </comment>
    <comment ref="R393" authorId="148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</t>
      </text>
    </comment>
    <comment ref="T393" authorId="149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</t>
      </text>
    </comment>
    <comment ref="V393" authorId="150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</t>
      </text>
    </comment>
    <comment ref="X393" authorId="151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Z393" authorId="152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AB393" authorId="153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</t>
      </text>
    </comment>
    <comment ref="Q397" authorId="154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55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</t>
      </text>
    </comment>
    <comment ref="T405" authorId="156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</t>
      </text>
    </comment>
    <comment ref="R412" authorId="157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</t>
      </text>
    </comment>
    <comment ref="T412" authorId="158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</t>
      </text>
    </comment>
    <comment ref="V412" authorId="159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</t>
      </text>
    </comment>
    <comment ref="X412" authorId="160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61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436" authorId="162" shapeId="0" xr:uid="{A1C07965-5D53-45C7-980A-D0F051F5CB0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T439" authorId="163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</t>
      </text>
    </comment>
    <comment ref="V439" authorId="164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</t>
      </text>
    </comment>
    <comment ref="X439" authorId="165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</t>
      </text>
    </comment>
    <comment ref="Z439" authorId="166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</t>
      </text>
    </comment>
    <comment ref="AB439" authorId="167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</t>
      </text>
    </comment>
    <comment ref="R440" authorId="168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</t>
      </text>
    </comment>
    <comment ref="T440" authorId="169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</t>
      </text>
    </comment>
    <comment ref="R441" authorId="170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</t>
      </text>
    </comment>
    <comment ref="T441" authorId="171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</t>
      </text>
    </comment>
    <comment ref="V441" authorId="172" shapeId="0" xr:uid="{D3AABDFD-423F-43B7-8C4F-E65EE1DADE7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</t>
      </text>
    </comment>
    <comment ref="X441" authorId="173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</t>
      </text>
    </comment>
    <comment ref="Z441" authorId="174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175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</t>
      </text>
    </comment>
    <comment ref="T447" authorId="176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</t>
      </text>
    </comment>
    <comment ref="X447" authorId="177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Z447" authorId="178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</t>
      </text>
    </comment>
    <comment ref="R467" authorId="179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</t>
      </text>
    </comment>
    <comment ref="T467" authorId="180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181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182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</t>
      </text>
    </comment>
    <comment ref="AB467" authorId="183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</t>
      </text>
    </comment>
    <comment ref="R468" authorId="184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185" shapeId="0" xr:uid="{37A7FD83-75CC-4518-B4A8-B2F2EEC8A1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X468" authorId="186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</t>
      </text>
    </comment>
    <comment ref="V469" authorId="187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</t>
      </text>
    </comment>
    <comment ref="X469" authorId="188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</t>
      </text>
    </comment>
    <comment ref="R470" authorId="189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</t>
      </text>
    </comment>
    <comment ref="S470" authorId="190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<sst xmlns="http://schemas.openxmlformats.org/spreadsheetml/2006/main" count="7954" uniqueCount="2110">
  <si>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</si>
  <si>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</si>
  <si>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</si>
  <si>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</si>
  <si>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</si>
  <si>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</si>
  <si>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</si>
  <si>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</si>
  <si>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</si>
  <si>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</si>
  <si>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</si>
  <si>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</si>
  <si>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</si>
  <si>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</si>
  <si>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</si>
  <si>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</si>
  <si>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</si>
  <si>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</si>
  <si>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</si>
  <si>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</si>
  <si>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</si>
  <si>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</si>
  <si>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</si>
  <si>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</si>
  <si>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</si>
  <si>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</si>
  <si>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</si>
  <si>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</si>
  <si>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</si>
  <si>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</si>
  <si>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</si>
  <si>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</si>
  <si>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</si>
  <si>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</si>
  <si>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</si>
  <si>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</si>
  <si>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</si>
  <si>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</si>
  <si>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</si>
  <si>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</si>
  <si>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</si>
  <si>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</si>
  <si>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</si>
  <si>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</si>
  <si>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</si>
  <si>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</si>
  <si>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</si>
  <si>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</si>
  <si>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</si>
  <si>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</si>
  <si>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</si>
  <si>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</si>
  <si>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</si>
  <si>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</si>
  <si>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SYS04b</t>
  </si>
  <si>
    <t>BKLN05;DC SYS04a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</si>
  <si>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</si>
  <si>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</si>
  <si>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</si>
  <si>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</si>
  <si>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</si>
  <si>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</si>
  <si>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</si>
  <si>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SYS01;GND</t>
  </si>
  <si>
    <t>BSH;DC SYS02;GND</t>
  </si>
  <si>
    <t>BSH;DC SYS03;GND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</si>
  <si>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</si>
  <si>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</si>
  <si>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</si>
  <si>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</si>
  <si>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</si>
  <si>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</si>
  <si>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</si>
  <si>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</si>
  <si>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</si>
  <si>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</si>
  <si>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</si>
  <si>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</si>
  <si>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</si>
  <si>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</si>
  <si>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</si>
  <si>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</si>
  <si>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</si>
  <si>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</si>
  <si>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</si>
  <si>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</si>
  <si>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</si>
  <si>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</si>
  <si>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</si>
  <si>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</si>
  <si>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</si>
  <si>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</si>
  <si>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</si>
  <si>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</si>
  <si>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</si>
  <si>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</si>
  <si>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</si>
  <si>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</si>
  <si>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</si>
  <si>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</si>
  <si>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</si>
  <si>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</si>
  <si>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</si>
  <si>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</si>
  <si>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</si>
  <si>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</si>
  <si>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</si>
  <si>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</si>
  <si>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</si>
  <si>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</si>
  <si>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</si>
  <si>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</si>
  <si>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</si>
  <si>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</si>
  <si>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</si>
  <si>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</si>
  <si>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</si>
  <si>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</si>
  <si>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</si>
  <si>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</si>
  <si>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</si>
  <si>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</si>
  <si>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</si>
  <si>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</si>
  <si>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EXRN03-DCSYS01a</t>
  </si>
  <si>
    <t>EXRN03-DCSYS01b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</si>
  <si>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</si>
  <si>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</si>
  <si>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</si>
  <si>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</si>
  <si>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</si>
  <si>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</si>
  <si>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</si>
  <si>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</si>
  <si>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</si>
  <si>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 xml:space="preserve">GLWN07;DC SYS B **DO NOT CONNECT LOADS** 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</si>
  <si>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</si>
  <si>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</si>
  <si>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</si>
  <si>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</si>
  <si>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</si>
  <si>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</si>
  <si>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</si>
  <si>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</si>
  <si>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</si>
  <si>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</si>
  <si>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</si>
  <si>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</si>
  <si>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</si>
  <si>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</si>
  <si>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</si>
  <si>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</si>
  <si>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</si>
  <si>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</si>
  <si>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</si>
  <si>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</si>
  <si>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</si>
  <si>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</si>
  <si>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</si>
  <si>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</si>
  <si>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</si>
  <si>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</si>
  <si>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</si>
  <si>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</si>
  <si>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</si>
  <si>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</si>
  <si>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</si>
  <si>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</si>
  <si>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</si>
  <si>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</si>
  <si>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</si>
  <si>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</si>
  <si>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</si>
  <si>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</si>
  <si>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</si>
  <si>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</si>
  <si>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</si>
  <si>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</si>
  <si>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</si>
  <si>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</si>
  <si>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</si>
  <si>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</si>
  <si>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</si>
  <si>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</si>
  <si>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</si>
  <si>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</si>
  <si>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</si>
  <si>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</si>
  <si>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</si>
  <si>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</si>
  <si>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</si>
  <si>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</si>
  <si>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</si>
  <si>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</si>
  <si>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</si>
  <si>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</si>
  <si>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</si>
  <si>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</si>
  <si>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</si>
  <si>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</si>
  <si>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</si>
  <si>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</si>
  <si>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</si>
  <si>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</si>
  <si>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</si>
  <si>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</si>
  <si>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</si>
  <si>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</si>
  <si>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</si>
  <si>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</si>
  <si>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</si>
  <si>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</si>
  <si>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</si>
  <si>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</si>
  <si>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</si>
  <si>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</si>
  <si>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</si>
  <si>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</si>
  <si>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</si>
  <si>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</si>
  <si>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</si>
  <si>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</si>
  <si>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</si>
  <si>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SYS02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</si>
  <si>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</si>
  <si>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</si>
  <si>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</si>
  <si>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</si>
  <si>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</si>
  <si>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</si>
  <si>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</si>
  <si>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</si>
  <si>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</si>
  <si>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</si>
  <si>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</si>
  <si>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SYS06</t>
  </si>
  <si>
    <t>SQYN02;DC SYS07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</si>
  <si>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</si>
  <si>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</si>
  <si>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</si>
  <si>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</si>
  <si>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</si>
  <si>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</si>
  <si>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</si>
  <si>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</si>
  <si>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</si>
  <si>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</si>
  <si>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</si>
  <si>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</si>
  <si>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</si>
  <si>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</si>
  <si>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</si>
  <si>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</si>
  <si>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</si>
  <si>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</si>
  <si>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</si>
  <si>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</si>
  <si>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</si>
  <si>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</si>
  <si>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</si>
  <si>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</si>
  <si>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</si>
  <si>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</si>
  <si>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</si>
  <si>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</si>
  <si>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</si>
  <si>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</si>
  <si>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</si>
  <si>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</si>
  <si>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</si>
  <si>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</si>
  <si>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</si>
  <si>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</si>
  <si>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wtntk1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</si>
  <si>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</si>
  <si>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</si>
  <si>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</si>
  <si>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</si>
  <si>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</si>
  <si>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</si>
  <si>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Dual/Single</t>
  </si>
  <si>
    <t>Capped?</t>
  </si>
  <si>
    <t>Reason</t>
  </si>
  <si>
    <t>Distribution</t>
  </si>
  <si>
    <t>System</t>
  </si>
  <si>
    <t>Existing Load A</t>
  </si>
  <si>
    <t>Existing Load B</t>
  </si>
  <si>
    <t>Reading Date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</si>
  <si>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</si>
  <si>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</si>
  <si>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</si>
  <si>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</si>
  <si>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</si>
  <si>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</si>
  <si>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</si>
  <si>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</si>
  <si>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</si>
  <si>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</si>
  <si>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</si>
  <si>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</si>
  <si>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</si>
  <si>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</si>
  <si>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</si>
  <si>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</si>
  <si>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</si>
  <si>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</si>
  <si>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</si>
  <si>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</si>
  <si>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</si>
  <si>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</si>
  <si>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</si>
  <si>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</si>
  <si>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</si>
  <si>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</si>
  <si>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</si>
  <si>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</si>
  <si>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</si>
  <si>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</si>
  <si>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</si>
  <si>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</si>
  <si>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</si>
  <si>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</si>
  <si>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</si>
  <si>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</si>
  <si>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</si>
  <si>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</si>
  <si>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</si>
  <si>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</si>
  <si>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</si>
  <si>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</si>
  <si>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</si>
  <si>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</si>
  <si>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</si>
  <si>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</si>
  <si>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</si>
  <si>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</si>
  <si>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</si>
  <si>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</si>
  <si>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</si>
  <si>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</si>
  <si>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</si>
  <si>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</si>
  <si>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</si>
  <si>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</si>
  <si>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</si>
  <si>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</si>
  <si>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</si>
  <si>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</si>
  <si>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</si>
  <si>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</si>
  <si>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</si>
  <si>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</si>
  <si>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</si>
  <si>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</si>
  <si>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</si>
  <si>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</si>
  <si>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</si>
  <si>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</si>
  <si>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</si>
  <si>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</si>
  <si>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</si>
  <si>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</si>
  <si>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</si>
  <si>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</si>
  <si>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</si>
  <si>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</si>
  <si>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</si>
  <si>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</si>
  <si>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JH01</t>
  </si>
  <si>
    <t>Ciena 6500-14 BC06</t>
  </si>
  <si>
    <t>Inverter Load</t>
  </si>
  <si>
    <t>Facebook BQBR09</t>
  </si>
  <si>
    <t>Netflix BNBP12</t>
  </si>
  <si>
    <t>Google BLBM14</t>
  </si>
  <si>
    <t>VSS DC/DB&amp;DF1,2,4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</si>
  <si>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</si>
  <si>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</si>
  <si>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</si>
  <si>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</si>
  <si>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</si>
  <si>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</si>
  <si>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</si>
  <si>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</si>
  <si>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</si>
  <si>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</si>
  <si>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</si>
  <si>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</si>
  <si>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</si>
  <si>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</si>
  <si>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</si>
  <si>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</si>
  <si>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BE09 AKAMAI</t>
  </si>
  <si>
    <t>DE05 BT UTILITY</t>
  </si>
  <si>
    <t>G04 CPL</t>
  </si>
  <si>
    <t>Ciena 6500 7Slot D04</t>
  </si>
  <si>
    <t xml:space="preserve">FG15 Alcatel 7210 </t>
  </si>
  <si>
    <t>FG16 ADVA XG120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</si>
  <si>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</si>
  <si>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</si>
  <si>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</si>
  <si>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</si>
  <si>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</si>
  <si>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</si>
  <si>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</si>
  <si>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</si>
  <si>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</si>
  <si>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</si>
  <si>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</si>
  <si>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</si>
  <si>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</si>
  <si>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A09 QWILT</t>
  </si>
  <si>
    <t>A4 Cisco</t>
  </si>
  <si>
    <t>MSPP</t>
  </si>
  <si>
    <t>E9 - Facebook</t>
  </si>
  <si>
    <t>E10 - Facebook</t>
  </si>
  <si>
    <t>Google</t>
  </si>
  <si>
    <t>CA17 6500-7</t>
  </si>
  <si>
    <t>CC12 6500-14</t>
  </si>
  <si>
    <t>Load Transfer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</si>
  <si>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</si>
  <si>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</si>
  <si>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</si>
  <si>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</si>
  <si>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</si>
  <si>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</si>
  <si>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</si>
  <si>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AA3 Facebook</t>
  </si>
  <si>
    <t>AA10 Google</t>
  </si>
  <si>
    <t>AZ10 Alcatel 7210</t>
  </si>
  <si>
    <t>AB 7 QWILT</t>
  </si>
  <si>
    <t>Boradband Capacity</t>
  </si>
  <si>
    <t>NCS-57C3</t>
  </si>
  <si>
    <t>Nokia ESA400 AA11</t>
  </si>
  <si>
    <t>AB1 Waveserver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</si>
  <si>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</si>
  <si>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</si>
  <si>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</si>
  <si>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</si>
  <si>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</si>
  <si>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</si>
  <si>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</si>
  <si>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</si>
  <si>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</si>
  <si>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</si>
  <si>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</si>
  <si>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</si>
  <si>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A7 Facebook</t>
  </si>
  <si>
    <t>A10 Google</t>
  </si>
  <si>
    <t>Broadband Capacity</t>
  </si>
  <si>
    <t>B24 Ciena6500 R8</t>
  </si>
  <si>
    <t>B13 Nokia SEGGW ESA</t>
  </si>
  <si>
    <t>A5 Utility</t>
  </si>
  <si>
    <t>B13 ESA400</t>
  </si>
  <si>
    <t>B22  Waverserver_5</t>
  </si>
  <si>
    <t>YZ02 RA</t>
  </si>
  <si>
    <t>YZ04 Alcatel 7210</t>
  </si>
  <si>
    <t>;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</si>
  <si>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</si>
  <si>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</si>
  <si>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</si>
  <si>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</si>
  <si>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</si>
  <si>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</si>
  <si>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</si>
  <si>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</si>
  <si>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</si>
  <si>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</si>
  <si>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</si>
  <si>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</si>
  <si>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</si>
  <si>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7750 12B AN10</t>
  </si>
  <si>
    <t>BD08 PX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</si>
  <si>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</si>
  <si>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</si>
  <si>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</si>
  <si>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</si>
  <si>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</si>
  <si>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</si>
  <si>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</si>
  <si>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</si>
  <si>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</si>
  <si>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</si>
  <si>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</si>
  <si>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</si>
  <si>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Ciena 6500 14 D09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</si>
  <si>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</si>
  <si>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</si>
  <si>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</si>
  <si>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</si>
  <si>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</si>
  <si>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</si>
  <si>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</si>
  <si>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Ciena 6500  E03</t>
  </si>
  <si>
    <t>BT OSA AB08</t>
  </si>
  <si>
    <t>ST04 RA</t>
  </si>
  <si>
    <t>ST05 Alcatel 7210</t>
  </si>
  <si>
    <t>ST07 Alcate 7210</t>
  </si>
  <si>
    <t>A04 BT EAD</t>
  </si>
  <si>
    <t>Ciena 6500 7Slot A04</t>
  </si>
  <si>
    <t>DE06 RA</t>
  </si>
  <si>
    <t>A04 6500-14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</si>
  <si>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</si>
  <si>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</si>
  <si>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</si>
  <si>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</si>
  <si>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</si>
  <si>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</si>
  <si>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</si>
  <si>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</si>
  <si>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</si>
  <si>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</si>
  <si>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</si>
  <si>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</si>
  <si>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</si>
  <si>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</si>
  <si>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</si>
  <si>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</si>
  <si>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</si>
  <si>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</si>
  <si>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</si>
  <si>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</si>
  <si>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</si>
  <si>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</si>
  <si>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</si>
  <si>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</si>
  <si>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</si>
  <si>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</si>
  <si>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</si>
  <si>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</si>
  <si>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</si>
  <si>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</si>
  <si>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</si>
  <si>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B18 RA</t>
  </si>
  <si>
    <t>AB30a CIENA 5171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</si>
  <si>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</si>
  <si>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</si>
  <si>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</si>
  <si>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</si>
  <si>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</si>
  <si>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</si>
  <si>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</si>
  <si>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</si>
  <si>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</si>
  <si>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</si>
  <si>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</si>
  <si>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</si>
  <si>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</si>
  <si>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</si>
  <si>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</si>
  <si>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GLWN07;DC SYS B</t>
  </si>
  <si>
    <t>CD27 Alcatel 7211</t>
  </si>
  <si>
    <t>KL06 RA</t>
  </si>
  <si>
    <t xml:space="preserve">LK07 Alcatel 7210 </t>
  </si>
  <si>
    <t>GH11 Alcatel 7210</t>
  </si>
  <si>
    <t>CD03 Cisco ISR 4331</t>
  </si>
  <si>
    <t>Ciena 6500-7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</si>
  <si>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</si>
  <si>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</si>
  <si>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</si>
  <si>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</si>
  <si>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</si>
  <si>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</si>
  <si>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</si>
  <si>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</si>
  <si>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</si>
  <si>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</si>
  <si>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</si>
  <si>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</si>
  <si>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</si>
  <si>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</si>
  <si>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</si>
  <si>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</si>
  <si>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</si>
  <si>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</si>
  <si>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</si>
  <si>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RLS&amp; WSai</t>
  </si>
  <si>
    <t>RQ03 RA</t>
  </si>
  <si>
    <t>BT OSA ORMT_SAP_220412_32_11408314</t>
  </si>
  <si>
    <t>RQ06 CIENA 6500-14 SLOT</t>
  </si>
  <si>
    <t xml:space="preserve">GF04 Ciena 6500 </t>
  </si>
  <si>
    <t>BA03 MDCN</t>
  </si>
  <si>
    <t xml:space="preserve">ST07 Alcatel 7210 </t>
  </si>
  <si>
    <t xml:space="preserve">  NP03  Cisco ASA-5585</t>
  </si>
  <si>
    <t>BA4 IGW,BA5 IGW</t>
  </si>
  <si>
    <t>XY2 RA</t>
  </si>
  <si>
    <t>XY03 PX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</si>
  <si>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</si>
  <si>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</si>
  <si>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</si>
  <si>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</si>
  <si>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</si>
  <si>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</si>
  <si>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</si>
  <si>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CD06 Juniper SRX 4200</t>
  </si>
  <si>
    <t>Nokia 7750 SR-7s AB13</t>
  </si>
  <si>
    <t>G15 BT OSA</t>
  </si>
  <si>
    <t>NRA34 Ciena 5142</t>
  </si>
  <si>
    <t>H19 RA</t>
  </si>
  <si>
    <t>PQ11 Ciena 6500</t>
  </si>
  <si>
    <t>P03 BT OSA</t>
  </si>
  <si>
    <t>H20 Alcatel 7210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</si>
  <si>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</si>
  <si>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</si>
  <si>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</si>
  <si>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</si>
  <si>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</si>
  <si>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</si>
  <si>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</si>
  <si>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</si>
  <si>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</si>
  <si>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</si>
  <si>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</si>
  <si>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</si>
  <si>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</si>
  <si>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</si>
  <si>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</si>
  <si>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</si>
  <si>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</si>
  <si>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</si>
  <si>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</si>
  <si>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</si>
  <si>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</si>
  <si>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</si>
  <si>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</si>
  <si>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</si>
  <si>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</si>
  <si>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</si>
  <si>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</si>
  <si>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</si>
  <si>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</si>
  <si>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</si>
  <si>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</si>
  <si>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</si>
  <si>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</si>
  <si>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</si>
  <si>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</si>
  <si>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</si>
  <si>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</si>
  <si>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</si>
  <si>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</si>
  <si>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</si>
  <si>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</si>
  <si>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</si>
  <si>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</si>
  <si>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</si>
  <si>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</si>
  <si>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</si>
  <si>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</si>
  <si>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</si>
  <si>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</si>
  <si>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</si>
  <si>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IGW, E13 IGW</t>
  </si>
  <si>
    <t xml:space="preserve">K02, XG210 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</si>
  <si>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</si>
  <si>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</si>
  <si>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</si>
  <si>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</si>
  <si>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</si>
  <si>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</si>
  <si>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</si>
  <si>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</si>
  <si>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</si>
  <si>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</si>
  <si>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</si>
  <si>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E14 NOKIA 7750 SR12E(RA)</t>
  </si>
  <si>
    <t>EF10 Alcatel 7210</t>
  </si>
  <si>
    <t>A03 CIENA 6500- 7 SLOT</t>
  </si>
  <si>
    <t>E03 AWS</t>
  </si>
  <si>
    <t>BC7 Alcatel 7210</t>
  </si>
  <si>
    <t>A02 BT Utility</t>
  </si>
  <si>
    <t>6500-14 D04</t>
  </si>
  <si>
    <t>UV02 RA</t>
  </si>
  <si>
    <t>UV03 Alcatel 7210</t>
  </si>
  <si>
    <t>LM04 RA</t>
  </si>
  <si>
    <t>LM05 Alcatel 7210</t>
  </si>
  <si>
    <t xml:space="preserve">AA 1-6,AB+AC4-6 Amitie 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</si>
  <si>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</si>
  <si>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</si>
  <si>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</si>
  <si>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</si>
  <si>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</si>
  <si>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</si>
  <si>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</si>
  <si>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</si>
  <si>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iena 6500</t>
  </si>
  <si>
    <t>Z11 RA</t>
  </si>
  <si>
    <t>Z12 PX</t>
  </si>
  <si>
    <t>WX10 Op-EX</t>
  </si>
  <si>
    <t>WX12 Op-EX</t>
  </si>
  <si>
    <t>WX9 Op-EX</t>
  </si>
  <si>
    <t>UV1 Waveserver</t>
  </si>
  <si>
    <t>T02 Alcatel 7210</t>
  </si>
  <si>
    <t>MN06 RA</t>
  </si>
  <si>
    <t>M5a IGW, M5 IGW</t>
  </si>
  <si>
    <t>AN/AP02 RA</t>
  </si>
  <si>
    <t>AB03 BT EAD</t>
  </si>
  <si>
    <t>AN/AP03 Alcatel 7210</t>
  </si>
  <si>
    <t>N5 Nokia 1830 ILA</t>
  </si>
  <si>
    <t>FG03 Bt Util</t>
  </si>
  <si>
    <t>FG05 Alcatel 7210</t>
  </si>
  <si>
    <t>HJ08 Alcatel 7210</t>
  </si>
  <si>
    <t>KL07 BT EAD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</si>
  <si>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</si>
  <si>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</si>
  <si>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</si>
  <si>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</si>
  <si>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</si>
  <si>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</si>
  <si>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</si>
  <si>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</si>
  <si>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</si>
  <si>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</si>
  <si>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</si>
  <si>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</si>
  <si>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</si>
  <si>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JN04 Juniper SRX 4200</t>
  </si>
  <si>
    <t>JQ4 Nokia 7750 SR-7B</t>
  </si>
  <si>
    <t>JQ5 Nokia 7750 SR-7B</t>
  </si>
  <si>
    <t>6500-14 G03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</si>
  <si>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</si>
  <si>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</si>
  <si>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</si>
  <si>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</si>
  <si>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</si>
  <si>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</si>
  <si>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</si>
  <si>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</si>
  <si>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</si>
  <si>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</si>
  <si>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</si>
  <si>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</si>
  <si>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</si>
  <si>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</si>
  <si>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</si>
  <si>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</si>
  <si>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</si>
  <si>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</si>
  <si>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</si>
  <si>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</si>
  <si>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</si>
  <si>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</si>
  <si>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</si>
  <si>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</si>
  <si>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</si>
  <si>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20B FACEBOOK</t>
  </si>
  <si>
    <t>20C FACEBOOK</t>
  </si>
  <si>
    <t>20/21E QWILT</t>
  </si>
  <si>
    <t>20/21F NOKIA7750 SR-7S</t>
  </si>
  <si>
    <t>WS5 20/21G</t>
  </si>
  <si>
    <t>NP11 Alcatel 7210</t>
  </si>
  <si>
    <t>EF19 RA</t>
  </si>
  <si>
    <t>P03 BT EAD</t>
  </si>
  <si>
    <t>L01 RA</t>
  </si>
  <si>
    <t xml:space="preserve">L02 Alcatel 7210 </t>
  </si>
  <si>
    <t>SR02 Alcatel 7210</t>
  </si>
  <si>
    <t>AB06 RA</t>
  </si>
  <si>
    <t xml:space="preserve">LM01 Alcatel 7210 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</si>
  <si>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</si>
  <si>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</si>
  <si>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</si>
  <si>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</si>
  <si>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</si>
  <si>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</si>
  <si>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</si>
  <si>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</si>
  <si>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</si>
  <si>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</si>
  <si>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CAMN02_SEC_WALL_CBDB_01</t>
  </si>
  <si>
    <t>CAMN02</t>
  </si>
  <si>
    <t>CAMN02_SEC_WALL_CBDB_02</t>
  </si>
  <si>
    <t>CAMN02_SYS01_PER_01</t>
  </si>
  <si>
    <t>CAMN41_SEC_CBDB_BC01</t>
  </si>
  <si>
    <t>CAMN41</t>
  </si>
  <si>
    <t>CFDTN1_SEC_WALL_CBDB_1</t>
  </si>
  <si>
    <t>CFDTN1</t>
  </si>
  <si>
    <t>CFDTN1_SEC_WALL_CBDB_2</t>
  </si>
  <si>
    <t>CFDTN1_SEC_WALL_CBDB_3</t>
  </si>
  <si>
    <t>CFDTN1_SEC_WALL_CBDB_4</t>
  </si>
  <si>
    <t>CFDTN1_SYS01_PER_01</t>
  </si>
  <si>
    <t>KLNN01 DCDB01</t>
  </si>
  <si>
    <t>KLNN01</t>
  </si>
  <si>
    <t>EOS ONLY</t>
  </si>
  <si>
    <t>NRWN51_SEC_CBDB_BC01</t>
  </si>
  <si>
    <t>NRWN51</t>
  </si>
  <si>
    <t>NRW TN1_SEC_CBDB_P01</t>
  </si>
  <si>
    <t>NRWTN1</t>
  </si>
  <si>
    <t>NRW TN1_SEC_WALL_CBDB1</t>
  </si>
  <si>
    <t>NRW TN1_SEC_WALL_CBDB2</t>
  </si>
  <si>
    <t>NRWTN1_SYS01_PER01</t>
  </si>
  <si>
    <t>PTBTN1_SEC_DD770_DE16</t>
  </si>
  <si>
    <t>PTBTN1</t>
  </si>
  <si>
    <t>PTBTN1_SEC_DD770_JH16</t>
  </si>
  <si>
    <t>WTT_SEC_CBDB_01 - ignore</t>
  </si>
  <si>
    <t>WTT</t>
  </si>
  <si>
    <t>WTT_SEC_CBDB_02 - ignore</t>
  </si>
  <si>
    <t>WTT_SEC_DCDB_CD10</t>
  </si>
  <si>
    <t xml:space="preserve">BFTN03 - Ignore this line </t>
  </si>
  <si>
    <t>BFTN03</t>
  </si>
  <si>
    <t>No records</t>
  </si>
  <si>
    <t>6500-14 B08</t>
  </si>
  <si>
    <t>ACTN01_PDU1A_B</t>
  </si>
  <si>
    <t>ACTN01</t>
  </si>
  <si>
    <t>ACTN01_SEC_CBDB_ALAM1_04 - CAPPED - Do not Allocate</t>
  </si>
  <si>
    <t>ACTN01_SEC_DD770_ACAD1_01</t>
  </si>
  <si>
    <t>ACTN01_SEC_DD770_AEAF1_02</t>
  </si>
  <si>
    <t>ACTN01_SEC_DD770_AGAH1_03</t>
  </si>
  <si>
    <t>ACTN01_SEC_DD770_ATAS1_05</t>
  </si>
  <si>
    <t>BHWCN1_SYS_DCDB_WALL</t>
  </si>
  <si>
    <t>BHWCN1</t>
  </si>
  <si>
    <t>90A</t>
  </si>
  <si>
    <t>BTFTB1_PDU1A_B</t>
  </si>
  <si>
    <t>BTFTB1</t>
  </si>
  <si>
    <t>Google A10</t>
  </si>
  <si>
    <t>AB7 QWILT</t>
  </si>
  <si>
    <t>Capped_BTFTB1_SEC_DCDB_C11</t>
  </si>
  <si>
    <t>Capped_BTFTB1_SEC_DCDB_Suite K14</t>
  </si>
  <si>
    <t>CHTN07_SEC_DD770_00_AB09</t>
  </si>
  <si>
    <t>CHTN07</t>
  </si>
  <si>
    <t>CHTN07_SEC_DD770_01_CD09</t>
  </si>
  <si>
    <t xml:space="preserve">EF05 Alcatel 7210 </t>
  </si>
  <si>
    <t>CHTN07_SEC_DD770_02_JK01</t>
  </si>
  <si>
    <t>CHTN07_SEC_DD770_03_YZ01</t>
  </si>
  <si>
    <t>CHTN07_SEC_DD770_06_WALL_AM AN</t>
  </si>
  <si>
    <t>CHTN07_SEC_DD770_AA AB01</t>
  </si>
  <si>
    <t>CHTN07_SEC_DD770_AK00</t>
  </si>
  <si>
    <t>CHTN07_SEC_DD770_NP01</t>
  </si>
  <si>
    <t>CHTN07_SEC_DD770_UV01</t>
  </si>
  <si>
    <t>CHTN07_SEC_DD770_WX01</t>
  </si>
  <si>
    <t>CHTN07_SEC_WALL_Eaton_AG AH</t>
  </si>
  <si>
    <t>N/A</t>
  </si>
  <si>
    <t>CHTTN3_PDU1A_B</t>
  </si>
  <si>
    <t>CHTTN3</t>
  </si>
  <si>
    <t>CHTTN3_SEC_WALL_DCDB_ 02</t>
  </si>
  <si>
    <t>CHTTN3_SEC_WALL_DCDB_ 04</t>
  </si>
  <si>
    <t>CYNTN2_SEC_DD770_BE08_DB1</t>
  </si>
  <si>
    <t>CYNTN2</t>
  </si>
  <si>
    <t>CYNTN2_SEC_DD770_BG08_DB2</t>
  </si>
  <si>
    <t>CYNTN2_SEC_DD770_BM02_DB5</t>
  </si>
  <si>
    <t>CYNTN2_SEC_DD770_J01_DB3</t>
  </si>
  <si>
    <t>Waddon_DCDB</t>
  </si>
  <si>
    <t>WADN01</t>
  </si>
  <si>
    <t>DKTN08_SEC_DD770_CD01_01</t>
  </si>
  <si>
    <t>DKTN08</t>
  </si>
  <si>
    <t>DKTN08_SEC_DD770_EF01_02</t>
  </si>
  <si>
    <t>DKTN08_SEC_DD770_JK01_03</t>
  </si>
  <si>
    <t>DKTN08_SEC_DD770_LM01_04</t>
  </si>
  <si>
    <t>DKTN08_SEC_DD770_QR01_05</t>
  </si>
  <si>
    <t>HRWN02_SEC_DD770_CD01</t>
  </si>
  <si>
    <t>HRWN02</t>
  </si>
  <si>
    <t>HRWN02_SEC_DD770_GH01</t>
  </si>
  <si>
    <t>DCDB _C4.</t>
  </si>
  <si>
    <t>IODN01</t>
  </si>
  <si>
    <t>DCDB _E04</t>
  </si>
  <si>
    <t>DCDB _G04</t>
  </si>
  <si>
    <t>IODN02</t>
  </si>
  <si>
    <t>DCDB _J04</t>
  </si>
  <si>
    <t>MN02 Op-ex</t>
  </si>
  <si>
    <t>MN02 RLS&amp;WAVESERVER</t>
  </si>
  <si>
    <t>IGNN01_SEC_CBDB_EF11</t>
  </si>
  <si>
    <t>IGNN01</t>
  </si>
  <si>
    <t>IGNN01_SEC_DD770_ CD01</t>
  </si>
  <si>
    <t>IGNN01_SEC_DD770_ CD23</t>
  </si>
  <si>
    <t>IGNN01_SEC_DD770_ GH01</t>
  </si>
  <si>
    <t>LSWN01_SEC_DD770_DE01_03</t>
  </si>
  <si>
    <t>LSWN01</t>
  </si>
  <si>
    <t>LSWN01_SEC_DD770_FG01_02</t>
  </si>
  <si>
    <t>GF06 Alcatel7210 sas x</t>
  </si>
  <si>
    <t>LSWN01_SEC_DD770_JH01_01</t>
  </si>
  <si>
    <t xml:space="preserve">RS07 polatis </t>
  </si>
  <si>
    <t>LSWN01_SEC_DD770_PQ01_04</t>
  </si>
  <si>
    <t>LSWN02_SEC_DCDB_DC01</t>
  </si>
  <si>
    <t>LSWN02</t>
  </si>
  <si>
    <t>LSWN02_SEC_DCDB_EF01</t>
  </si>
  <si>
    <t>PRLN02;DC DB;SUITE G</t>
  </si>
  <si>
    <t>PRLN02</t>
  </si>
  <si>
    <t>RFDN11_SEC_CBDB_ CD01</t>
  </si>
  <si>
    <t>RFDN11</t>
  </si>
  <si>
    <t>SMHN02_SEC_DD770_JK01_02</t>
  </si>
  <si>
    <t>SMHN02</t>
  </si>
  <si>
    <t>SMHN02_SEC_DD770_LM01_01</t>
  </si>
  <si>
    <t>SQYN01_SEC_DD770_BC1</t>
  </si>
  <si>
    <t>SQYN01</t>
  </si>
  <si>
    <t>SQYN01_SEC_DD770_BL1</t>
  </si>
  <si>
    <t>SQYN01_SEC_DD770_BN1</t>
  </si>
  <si>
    <t>SQYN01_SEC_DD770_BQ1</t>
  </si>
  <si>
    <t>SQYN01_SEC_DD770_BS1</t>
  </si>
  <si>
    <t>SQYN01_SEC_DD770_BV1</t>
  </si>
  <si>
    <t>SQYN01_SEC_DD770_BW1</t>
  </si>
  <si>
    <t>SQYN01_SEC_DD770_BY1</t>
  </si>
  <si>
    <t>SQYN01_SEC_DD770_DE1</t>
  </si>
  <si>
    <t>SQYN01_SEC_DD770_DN1</t>
  </si>
  <si>
    <t>SQYN02_PDU1A_B</t>
  </si>
  <si>
    <t>SQYN02</t>
  </si>
  <si>
    <t>GB10 ESA400</t>
  </si>
  <si>
    <t>SQYN02_SEC_DCDB_JJJK07</t>
  </si>
  <si>
    <t>SQYN02_SEC_DD770_FA1</t>
  </si>
  <si>
    <t>SQYN02_SEC_DD770_FE1</t>
  </si>
  <si>
    <t>SQYN02_SEC_DD770_GL1</t>
  </si>
  <si>
    <t>SQYN02_SEC_DD770_GR1</t>
  </si>
  <si>
    <t>SQYN02_SEC_DD770_HM13</t>
  </si>
  <si>
    <t>SQYN02_SEC_DD770_HP1</t>
  </si>
  <si>
    <t>SQYN02_SEC_DD770_HS1</t>
  </si>
  <si>
    <t>DCDB PER A.</t>
  </si>
  <si>
    <t>TELHS2</t>
  </si>
  <si>
    <t>DCDB PER B.</t>
  </si>
  <si>
    <t>TELHS1_EXP_SEC_DCDB_14_15_D</t>
  </si>
  <si>
    <t>TELHS1</t>
  </si>
  <si>
    <t>TELHS1_DCDB Wallbox.  - ignore</t>
  </si>
  <si>
    <t>n/a</t>
  </si>
  <si>
    <t>TELHS1_SEC_DCDB_14_15_H.</t>
  </si>
  <si>
    <t>VHXN02_SEC_DD770_CD1</t>
  </si>
  <si>
    <t>VHXN02</t>
  </si>
  <si>
    <t>VHXN02_SEC_DD770_GH1</t>
  </si>
  <si>
    <t>VXHINT_SEC_Eaton_BA11</t>
  </si>
  <si>
    <t>VXHINT</t>
  </si>
  <si>
    <t>WAHP03_SEC_CBDB_10_11_A</t>
  </si>
  <si>
    <t>WAHP03</t>
  </si>
  <si>
    <t>WAHP03_SEC_CBDB_12_13_A</t>
  </si>
  <si>
    <t>WAHP03_SEC_CBDB_16_17_A</t>
  </si>
  <si>
    <t>WAHP03_SEC_CBDB_18_19_A</t>
  </si>
  <si>
    <t>WAHP03_SEC_CBDB_2_3_A</t>
  </si>
  <si>
    <t>WAHP03_SEC_CBDB_20_21_A</t>
  </si>
  <si>
    <t>Wavesever20/21G</t>
  </si>
  <si>
    <t>WAHP03_SEC_CBDB_22_23_A</t>
  </si>
  <si>
    <t>WAHP03_SEC_CBDB_4_5_A</t>
  </si>
  <si>
    <t>WAHP03_SEC_CBDB_6_7_A</t>
  </si>
  <si>
    <t>WAHP03_SEC_CBDB_8_9_A</t>
  </si>
  <si>
    <t>CAPPED_WAHP06_SEC_CBDB00_1_2_D</t>
  </si>
  <si>
    <t>WAHP06</t>
  </si>
  <si>
    <t>CAPPED_WAHP06_SEC_CBDB01_1_2_P</t>
  </si>
  <si>
    <t>WAHP06_PDU1_A_B</t>
  </si>
  <si>
    <t>1S to V Op-Ex</t>
  </si>
  <si>
    <t>3K Op-Ex</t>
  </si>
  <si>
    <t>WAHP06_SEC_CBDB00_3_4_N</t>
  </si>
  <si>
    <t>DCDB Details WAIP06.</t>
  </si>
  <si>
    <t>WAIP06</t>
  </si>
  <si>
    <t>DCDB_BTNW01- ADVANCE DC 600  Suite 2D.</t>
  </si>
  <si>
    <t>BTNW01</t>
  </si>
  <si>
    <t>DCDB_BTNW01- ADVANCE DC 600  Suite 3D.</t>
  </si>
  <si>
    <t>BTNW02</t>
  </si>
  <si>
    <t>BCT - DCDB-Suite IJ01</t>
  </si>
  <si>
    <t>BCT</t>
  </si>
  <si>
    <t>IJ05 Alcatel 7210</t>
  </si>
  <si>
    <t>BCT_SEC_DCDB_WALL</t>
  </si>
  <si>
    <t>BCT_SYS_DCDB_WALL - Ignore</t>
  </si>
  <si>
    <t>BHMTF1 - DCDB.A - Suite.A-B Rack.10A</t>
  </si>
  <si>
    <t>BHMTF1</t>
  </si>
  <si>
    <t>BHMTF1 - DCDB.B - Suite.A-B Rack.9A</t>
  </si>
  <si>
    <t>BMGV02_SEC_CBDB00_2_3_A</t>
  </si>
  <si>
    <t>BMGV02</t>
  </si>
  <si>
    <t>BMGV02_SEC_CBDB01_6_7_A</t>
  </si>
  <si>
    <t>BMGV02_SEC_CBDB02_8_9_A</t>
  </si>
  <si>
    <t>BMGV02_SEC_CBDB03_10_11_A</t>
  </si>
  <si>
    <t>BMGV02_SEC_CBDB04_12_13_A</t>
  </si>
  <si>
    <t>BMGV02_SEC_CBDB05_14_15_A</t>
  </si>
  <si>
    <t>BMGV02_SEC_CBDB06_16_17_A</t>
  </si>
  <si>
    <t>BMGV03_SEC_CBDB_10_11_B</t>
  </si>
  <si>
    <t>BMGV03</t>
  </si>
  <si>
    <t>NO PANEL TO READ</t>
  </si>
  <si>
    <t>12th Novemeber 2020</t>
  </si>
  <si>
    <t>BMGV03_SEC_CBDB_12_13_B</t>
  </si>
  <si>
    <t>BMGV03_SEC_CBDB_2_3_B</t>
  </si>
  <si>
    <t>BMGV03_SEC_CBDB_6_7_B</t>
  </si>
  <si>
    <t>BMGV03_SEC_CBDB_8_9_B</t>
  </si>
  <si>
    <t>BHMN05_SEC_DCDB_AG01</t>
  </si>
  <si>
    <t>BHMN05</t>
  </si>
  <si>
    <t>BHMN05_SEC_WALL_DCDB_A</t>
  </si>
  <si>
    <t>BHMN05_SEC_WALL_DCDB_B</t>
  </si>
  <si>
    <t>BHMN05_SEC_WALL_DCDB_C</t>
  </si>
  <si>
    <t>BHMN05_SEC_WALL_DCDB_D</t>
  </si>
  <si>
    <t>BHMN08_PDU1A_B.</t>
  </si>
  <si>
    <t>BHMN08</t>
  </si>
  <si>
    <t xml:space="preserve">C6 WS5 &amp; ai </t>
  </si>
  <si>
    <t>NECCD1 (EATON RACKS)_Suite G 1&amp;2.</t>
  </si>
  <si>
    <t>NECCD1</t>
  </si>
  <si>
    <t>NONE</t>
  </si>
  <si>
    <t>21ST OCTOBER 2020</t>
  </si>
  <si>
    <t>NECCD1_DC-DB (Wall Mounted ).</t>
  </si>
  <si>
    <t>CELL01 - ADVANCE DC 600  Suite 2C.</t>
  </si>
  <si>
    <t>CELL01</t>
  </si>
  <si>
    <t>17th December 2020</t>
  </si>
  <si>
    <t>CELL01 - ADVANCE DC 600  Suite 3C.</t>
  </si>
  <si>
    <t>CELL02</t>
  </si>
  <si>
    <t>COV_SEC_DD770_AC01</t>
  </si>
  <si>
    <t>COV</t>
  </si>
  <si>
    <t>COV_SEC_DD770_AJ01</t>
  </si>
  <si>
    <t>22nd October 2020</t>
  </si>
  <si>
    <t>COV_SEC_DD770_RS04</t>
  </si>
  <si>
    <t>DBY_SEC_DD770_PQ1</t>
  </si>
  <si>
    <t>DBY</t>
  </si>
  <si>
    <t>EVMN01_DCDIST_GH04</t>
  </si>
  <si>
    <t>EVMN01</t>
  </si>
  <si>
    <t>5th November 2020</t>
  </si>
  <si>
    <t>AB 02  XG210</t>
  </si>
  <si>
    <t>EVMN01_SEC_DCDIST_GH02</t>
  </si>
  <si>
    <t>LMSCN2 - DCDB - Suite D and E - Wall Mounted.</t>
  </si>
  <si>
    <t>LMSCN2</t>
  </si>
  <si>
    <t>LMSCN2 - DCDB - Suite G - Wall Mounted.</t>
  </si>
  <si>
    <t>NO METER ON PANEL</t>
  </si>
  <si>
    <t>LCT_PDU1A_B</t>
  </si>
  <si>
    <t>LCT</t>
  </si>
  <si>
    <t>LCT_SEC_CBDB#02_NN01</t>
  </si>
  <si>
    <t>LCT_SEC_DD770_Q5</t>
  </si>
  <si>
    <t>NGM_SEC _DD770_NN07</t>
  </si>
  <si>
    <t>NGM</t>
  </si>
  <si>
    <t>I</t>
  </si>
  <si>
    <t>NGM_SEC_DD770_U</t>
  </si>
  <si>
    <t>NGMTL1_SEC_ L16</t>
  </si>
  <si>
    <t>NGMTL1</t>
  </si>
  <si>
    <t>Supply cable size
(sq mm)</t>
  </si>
  <si>
    <t>BSHN03_SEC_CBDB_CA11</t>
  </si>
  <si>
    <t>BSHN03</t>
  </si>
  <si>
    <t>BSHN03_SEC_DD770_AA01</t>
  </si>
  <si>
    <t>BSHN03_SEC_DD770_AC01</t>
  </si>
  <si>
    <t>BSHN03_SEC_DD770_AE01</t>
  </si>
  <si>
    <t>BSHN03_SEC_DD770_AG01</t>
  </si>
  <si>
    <t>BSHN03_SEC_DD770_BA01</t>
  </si>
  <si>
    <t>BSHN03_SEC_DD770_BC01</t>
  </si>
  <si>
    <t>BSHN03_SEC_DD770_BE01</t>
  </si>
  <si>
    <t>BSHN03_SEC_DD770_BG01</t>
  </si>
  <si>
    <t>BSHN03_SEC_DD770_CE01</t>
  </si>
  <si>
    <t>BSHN03_SEC_DD770_CG01</t>
  </si>
  <si>
    <t>BSHN03_SEC_DD770_GH14</t>
  </si>
  <si>
    <t>BSHN07_SEC_CBDB_E01</t>
  </si>
  <si>
    <t>BSHN07</t>
  </si>
  <si>
    <t>Facebook</t>
  </si>
  <si>
    <t>BSHN07_SEC_DD770_LL03</t>
  </si>
  <si>
    <t>BSHN08_PDU1A_B</t>
  </si>
  <si>
    <t>BSHN08</t>
  </si>
  <si>
    <t>Util rack</t>
  </si>
  <si>
    <t>Home BB</t>
  </si>
  <si>
    <t>SOLN02_SEC_DD770_DE01</t>
  </si>
  <si>
    <t>SOLN02</t>
  </si>
  <si>
    <t>SOLN02_SEC_DD770_GF01</t>
  </si>
  <si>
    <t>FG03 BT Util</t>
  </si>
  <si>
    <t>SOT_SEC_DCDB_ WALL_Suite GH - Rack 03</t>
  </si>
  <si>
    <t>SOT</t>
  </si>
  <si>
    <t>SOT_SEC_WALL_DCDB_01_No DCDB found</t>
  </si>
  <si>
    <t>SOT_SEC_WALL_DCDB_02_No DCDB found</t>
  </si>
  <si>
    <t>SOT_SEC_WALL_DCDBA&amp;B_No DCDB found</t>
  </si>
  <si>
    <t>WVHTF1_SEC_DCDB.1 - Suite.J Rack.0.</t>
  </si>
  <si>
    <t>WVHTF1</t>
  </si>
  <si>
    <t>23rd March 2021</t>
  </si>
  <si>
    <t>CHDCD1_SEC_CBDB_ D05</t>
  </si>
  <si>
    <t>CHDCD1</t>
  </si>
  <si>
    <t>DONTN1_DCDB _GH2</t>
  </si>
  <si>
    <t>DONTN1</t>
  </si>
  <si>
    <t>LDMS13_SYS_DCDB_3J</t>
  </si>
  <si>
    <t>LDMS13</t>
  </si>
  <si>
    <t>LDSCD1_SEC_DD770_AB1</t>
  </si>
  <si>
    <t>LDSCD1;DC SYS01</t>
  </si>
  <si>
    <t>LDSCD1</t>
  </si>
  <si>
    <t>LDSCD1_SEC_WALL_DD770</t>
  </si>
  <si>
    <t>LDSCD1_SYS_DCDB_01</t>
  </si>
  <si>
    <t>LDSCD1_SYS_DCDB_02</t>
  </si>
  <si>
    <t>LDSCD2_PDU1A_B</t>
  </si>
  <si>
    <t>LDSCD2</t>
  </si>
  <si>
    <t>XY06 Nokia 7750SR7s</t>
  </si>
  <si>
    <t>LDSCD2_SEC_CBDB_AB1</t>
  </si>
  <si>
    <t>LDSCD2_SEC_CBDB_CD1</t>
  </si>
  <si>
    <t>C13 6500-32</t>
  </si>
  <si>
    <t>LDSCD2_SEC_CBDB_EF1</t>
  </si>
  <si>
    <t>LDSCD2_SEC_CBDB_GH1</t>
  </si>
  <si>
    <t>G15 BTOSA</t>
  </si>
  <si>
    <t>LDSCD2_SEC_CBDB_JK1</t>
  </si>
  <si>
    <t>LDSCD2_SEC_CBDB_TU01</t>
  </si>
  <si>
    <t>XY05 HPDL360S</t>
  </si>
  <si>
    <t>Netflix TU12</t>
  </si>
  <si>
    <t>LDSCD2_SEC_CBDB_XY01 (this is actually the iPDU)</t>
  </si>
  <si>
    <t>LDSTS1_DCDB Eaton J10</t>
  </si>
  <si>
    <t>LDSTS1</t>
  </si>
  <si>
    <t>LDSTS1_DCDB Eaton M19</t>
  </si>
  <si>
    <t>LDSTS1 EOS DA</t>
  </si>
  <si>
    <t>LDSTS1 EOS EA</t>
  </si>
  <si>
    <t>LDSTS1 EOS FA</t>
  </si>
  <si>
    <t>LDSTS1 EOS GA</t>
  </si>
  <si>
    <t>LDSTS1 EOS HA</t>
  </si>
  <si>
    <t>LDSTS1 EOS JA</t>
  </si>
  <si>
    <t>LDSTS1 EOS KA</t>
  </si>
  <si>
    <t>LDSTS1 EOS LA</t>
  </si>
  <si>
    <t>LDSTS1 EOS M</t>
  </si>
  <si>
    <t>LDSTS1 EOS MA</t>
  </si>
  <si>
    <t>LDSTS1 EOS N</t>
  </si>
  <si>
    <t>LDSTS1 EOS NA</t>
  </si>
  <si>
    <t>IGNORE</t>
  </si>
  <si>
    <t>MDBTD1_EATON DC-DB-1.</t>
  </si>
  <si>
    <t>MDBTD1</t>
  </si>
  <si>
    <t>16/10/2020</t>
  </si>
  <si>
    <t>NULTB1_SEC_CBDB_Suite D.</t>
  </si>
  <si>
    <t>NULTB1</t>
  </si>
  <si>
    <t>NWCN05_PDU1A_B</t>
  </si>
  <si>
    <t>NWCN05</t>
  </si>
  <si>
    <t>NWCN05_SEC_DD770_AB01</t>
  </si>
  <si>
    <t>NWCN05_SEC_DD770_CD17</t>
  </si>
  <si>
    <t xml:space="preserve">K02,XG210 </t>
  </si>
  <si>
    <t>SHD_SEC_DD770_AB7</t>
  </si>
  <si>
    <t>SHD</t>
  </si>
  <si>
    <t>SHD_SEC_DD770_GH00</t>
  </si>
  <si>
    <t>SHD_SEC_WALL_CBDB4</t>
  </si>
  <si>
    <t>SNDTM1_PRI_WALL_DIST A3_RECT A</t>
  </si>
  <si>
    <t>SNDTM1</t>
  </si>
  <si>
    <t>SNDTM1_PRI_WALL_DIST B2_RECT B</t>
  </si>
  <si>
    <t>TGY_SEC_DD770_D08</t>
  </si>
  <si>
    <t>TGYN04</t>
  </si>
  <si>
    <t>TGY_SEC_DD770_V1</t>
  </si>
  <si>
    <t>TGY_SEC_WALL_CBDB</t>
  </si>
  <si>
    <t>TGY_SEC_Eaton_BD01_Room5</t>
  </si>
  <si>
    <t>TGYN02_SEC_DD770_N01</t>
  </si>
  <si>
    <t>TGYN02_SEC_WALL_DCDB5</t>
  </si>
  <si>
    <t>TGYN03_SEC_DD770_01</t>
  </si>
  <si>
    <t>TGYN04_SEC_EATON_D04</t>
  </si>
  <si>
    <t>YRK_SEC_DD770_WALL_1</t>
  </si>
  <si>
    <t>YRK</t>
  </si>
  <si>
    <t>YRKTH1_SEC_CBDB_ DE01</t>
  </si>
  <si>
    <t>YRKTH1</t>
  </si>
  <si>
    <t>BIFTS1_POWEC_C08</t>
  </si>
  <si>
    <t>BIFTS1</t>
  </si>
  <si>
    <t>BPL_SEC_DCDB_F05</t>
  </si>
  <si>
    <t>BPL</t>
  </si>
  <si>
    <t>CSL_SEC_WALL_DCDB_01</t>
  </si>
  <si>
    <t>CSL;DC SYS01</t>
  </si>
  <si>
    <t>CSL</t>
  </si>
  <si>
    <t>CSL_SYS01_PER_01</t>
  </si>
  <si>
    <t>CSLN13_SEC_CBDB_ BC0</t>
  </si>
  <si>
    <t>CSLN13</t>
  </si>
  <si>
    <t>CTRTK1_SEC_EATON_BC0</t>
  </si>
  <si>
    <t>CTRTK1</t>
  </si>
  <si>
    <t>CTRTS1_SEC_DCDB_GH10</t>
  </si>
  <si>
    <t>CTRTS1</t>
  </si>
  <si>
    <t>EBCTC1_EOS A</t>
  </si>
  <si>
    <t>EBCTC1</t>
  </si>
  <si>
    <t>D5 Ciena 6500</t>
  </si>
  <si>
    <t>DGS DB1</t>
  </si>
  <si>
    <t>DGS</t>
  </si>
  <si>
    <t>Not correct form</t>
  </si>
  <si>
    <t>DGS N2K</t>
  </si>
  <si>
    <t>KNLTS1_POWEC_PPS25_EXT CAB1</t>
  </si>
  <si>
    <t>KNLTS1</t>
  </si>
  <si>
    <t>KNLTS1_POWEC_PPS25_EXT CAB2</t>
  </si>
  <si>
    <t>KNLTS1_POWEC_PPS25_MAIN CAB</t>
  </si>
  <si>
    <t>LLDTE1_EOS KL00 - ignore</t>
  </si>
  <si>
    <t>LLDTE1</t>
  </si>
  <si>
    <t>LPLTB1_SEC_EATON_DC06</t>
  </si>
  <si>
    <t>LPLTB1</t>
  </si>
  <si>
    <t>MCRN11_SEC_CBDB_PQ18</t>
  </si>
  <si>
    <t>MCRN11</t>
  </si>
  <si>
    <t>26/03/2018</t>
  </si>
  <si>
    <t>MCRN11_SEC_DD770_BC01</t>
  </si>
  <si>
    <t>MCRN11_SEC_DD770_HJ01</t>
  </si>
  <si>
    <t>MCRN11_SEC_DD770_HJ19</t>
  </si>
  <si>
    <t>MCRN11_SEC_DD770_PQ01</t>
  </si>
  <si>
    <t>23.02.2017</t>
  </si>
  <si>
    <t>MCRN12_PDU1A_B</t>
  </si>
  <si>
    <t>MCRN12</t>
  </si>
  <si>
    <t>CC04 to 07 Op-ex</t>
  </si>
  <si>
    <t>CH2 7750 SR7s</t>
  </si>
  <si>
    <t>MCRN12_SEC_CBDB_ Q01_A Feed-Capped</t>
  </si>
  <si>
    <t>MCRN12_SEC_CBDB_ R01_B Feed-Capped</t>
  </si>
  <si>
    <t>MCRN12_SEC_CBDB_ALAM01</t>
  </si>
  <si>
    <t>MCRN12_SEC_DD770_ACAD01</t>
  </si>
  <si>
    <t>MCRN12_SEC_DD770_AEAF01</t>
  </si>
  <si>
    <t>MCRN12_SEC_DD770_CD01</t>
  </si>
  <si>
    <t>MCRN12_SEC_DD770_EF01</t>
  </si>
  <si>
    <t>MCRN12_SEC_DD770_GH01</t>
  </si>
  <si>
    <t>MCRN12_SEC_DD770_JK01</t>
  </si>
  <si>
    <t>MCRN12_SEC_Eaton_ BG01_A Feed-Capped</t>
  </si>
  <si>
    <t>NA</t>
  </si>
  <si>
    <t>CA2 AKAMAI</t>
  </si>
  <si>
    <t>MCRN12_SEC_Eaton_ BH01_B Feed-Capped</t>
  </si>
  <si>
    <t>MCRN12_PDU2A_B</t>
  </si>
  <si>
    <t>CCCD2 Wavesever</t>
  </si>
  <si>
    <t>MCRCD2_PDU1A_B</t>
  </si>
  <si>
    <t>MCRCD2</t>
  </si>
  <si>
    <t>SWY_SEC_CBDB_1</t>
  </si>
  <si>
    <t>SWY</t>
  </si>
  <si>
    <t>SWY_SEC_CBDB_2</t>
  </si>
  <si>
    <t>SWY_SEC_CBDB_4_Suite AH - Rack 5</t>
  </si>
  <si>
    <t>SWY_SEC_DD770_3_Suite AA - Rack 5</t>
  </si>
  <si>
    <t>SWY_SEC_DD770_5_Suite AB-AC - Rack 01</t>
  </si>
  <si>
    <t>WTNTK1_SEC_CBDB_J33</t>
  </si>
  <si>
    <t>WTNTK1</t>
  </si>
  <si>
    <t>BDFN02_PDU1A_B</t>
  </si>
  <si>
    <t>BDFN02;DC SYS01</t>
  </si>
  <si>
    <t>BDFN02</t>
  </si>
  <si>
    <t>BF07 PX</t>
  </si>
  <si>
    <t>BF03 Op Ex</t>
  </si>
  <si>
    <t>BF04 Op Ex</t>
  </si>
  <si>
    <t>BF05 Op Ex</t>
  </si>
  <si>
    <t>BDBE08 Waveserver</t>
  </si>
  <si>
    <t>BDFN02_SEC_DCDB_AJ01</t>
  </si>
  <si>
    <t>AGAH03</t>
  </si>
  <si>
    <t>BDFN02_SEC_DCDB_BD01</t>
  </si>
  <si>
    <t>BDFN02_SEC_DD770_AB01</t>
  </si>
  <si>
    <t>BDFN02_SEC_DD770_AV01</t>
  </si>
  <si>
    <t>MKSTN1_DCDB_QR7.</t>
  </si>
  <si>
    <t>MKSTN1</t>
  </si>
  <si>
    <t>MKSTN1_SEC_DD770_GH10</t>
  </si>
  <si>
    <t>STEDN1_Duvine Power Rack.</t>
  </si>
  <si>
    <t>STEDN1</t>
  </si>
  <si>
    <t>BFEC01_SEC_DB00_DCDIST_8A</t>
  </si>
  <si>
    <t>BFEC01</t>
  </si>
  <si>
    <t>BFEC01_SEC_DB00_DCDIST_8B</t>
  </si>
  <si>
    <t>BFEC01_SEC_EATON_C10</t>
  </si>
  <si>
    <t>DD770_1_BC01</t>
  </si>
  <si>
    <t>DD770_2_DE01</t>
  </si>
  <si>
    <t>DD770_3_FG01</t>
  </si>
  <si>
    <t>DD770_4_FG03</t>
  </si>
  <si>
    <t>ABN_SEC_DD770_GH02</t>
  </si>
  <si>
    <t>ABN</t>
  </si>
  <si>
    <t>Ciena 6500-14</t>
  </si>
  <si>
    <t>ABNTB1_DCDB _CD11</t>
  </si>
  <si>
    <t>ABNTB1</t>
  </si>
  <si>
    <t>ABNTB1_SYS_RACK2_PANEL A_01</t>
  </si>
  <si>
    <t>ABNTB1_SYS_RACK2_PANEL A_02</t>
  </si>
  <si>
    <t>ABNTB1_SYS_RACK3_PANEL B_01</t>
  </si>
  <si>
    <t>ABNTB1_SYS_RACK3_PANEL B_02</t>
  </si>
  <si>
    <t>ABNTD1 DC DB</t>
  </si>
  <si>
    <t>ABNTD1</t>
  </si>
  <si>
    <t>AYRN01_DCDB_A PPS10_DB1</t>
  </si>
  <si>
    <t>AYRN01</t>
  </si>
  <si>
    <t>AYRN01_DCDB_A PPS10_DB2</t>
  </si>
  <si>
    <t>DNDN71_SEC_EATON_BC01</t>
  </si>
  <si>
    <t>DNDN71</t>
  </si>
  <si>
    <t>DNDTC1;POWEC987932;DCDB01</t>
  </si>
  <si>
    <t>DNDTC1</t>
  </si>
  <si>
    <t>DNFNP1_SEC_EATON_C7</t>
  </si>
  <si>
    <t>DNFNP1</t>
  </si>
  <si>
    <t>EDBTG1_PDU1A_B</t>
  </si>
  <si>
    <t>EDBTG1</t>
  </si>
  <si>
    <t>BA6 QWILT</t>
  </si>
  <si>
    <t>BB09 Nokia RR 7 Cisco RR</t>
  </si>
  <si>
    <t>EDBTG1_SEC_DCDB_J02</t>
  </si>
  <si>
    <t>EDBTG1_SEC_DCDB_D11</t>
  </si>
  <si>
    <t>EDBTN1_SEC_EATON_EF5</t>
  </si>
  <si>
    <t>EDBTN1</t>
  </si>
  <si>
    <t>EDBTN1_DCDB_WALL_A</t>
  </si>
  <si>
    <t>EDBTN1_DCDB_WALL_B</t>
  </si>
  <si>
    <t>EDBTN1_SEC_EATON_CD15 CAPPED</t>
  </si>
  <si>
    <t>BTRTP1_SEC_EATON_GF03</t>
  </si>
  <si>
    <t>BTRTP1</t>
  </si>
  <si>
    <t>GLWN07_PDU1A_B</t>
  </si>
  <si>
    <t>GLWN07</t>
  </si>
  <si>
    <t xml:space="preserve">CD30 Ciena 6500 </t>
  </si>
  <si>
    <t>GLWN07_SEC_DD770_CD01</t>
  </si>
  <si>
    <t>Alcatel 7210 CD28</t>
  </si>
  <si>
    <t>GLWN07_SEC_DD770_EF01</t>
  </si>
  <si>
    <t>GLWN07_SEC_Eaton_CD21</t>
  </si>
  <si>
    <t>GLWN07_SEC_DCDB_LM15 - DO NOT USE [CAPPED]</t>
  </si>
  <si>
    <t>GLWN07_SEC_DD770_JK01- DO NOT USE</t>
  </si>
  <si>
    <t>GLWTO1_EOS_EF00</t>
  </si>
  <si>
    <t>GLWTO1</t>
  </si>
  <si>
    <t>GLWTO1_EATON_IJ00</t>
  </si>
  <si>
    <t>GLWTW1_DCDB_WALL_1 - IGNORE</t>
  </si>
  <si>
    <t>GLWTW1</t>
  </si>
  <si>
    <t>GLWTW1_SEC_EATON DCDB_ EF07B</t>
  </si>
  <si>
    <t>GH01 Alcatel 7210</t>
  </si>
  <si>
    <t>INVN41_SEC_EATON_CD01</t>
  </si>
  <si>
    <t>INVN41</t>
  </si>
  <si>
    <t>LIVN01_SEC_CBDB_AN01</t>
  </si>
  <si>
    <t>LIVN01</t>
  </si>
  <si>
    <t>LIVN01_SEC_DD770_AT05_DCDB4</t>
  </si>
  <si>
    <t>PTHTL1_SYS_EATON_DB01</t>
  </si>
  <si>
    <t>PTHTL1</t>
  </si>
  <si>
    <t>STGCD1_SYS_DCDB</t>
  </si>
  <si>
    <t>STGCD1</t>
  </si>
  <si>
    <t>ASH_SEC_WALL_DCDB_01</t>
  </si>
  <si>
    <t>ASH</t>
  </si>
  <si>
    <t>ASH_SEC_WALL_DCDB_02</t>
  </si>
  <si>
    <t>CBY_SEC_DD770_JK05</t>
  </si>
  <si>
    <t>CBY</t>
  </si>
  <si>
    <t>CBY_SEC_WALL_CBDB</t>
  </si>
  <si>
    <t>FKE_SEC_DD770_AB0.</t>
  </si>
  <si>
    <t>FKE</t>
  </si>
  <si>
    <t>HLWN02_SEC_DD770_EF01_01</t>
  </si>
  <si>
    <t>HLWN02</t>
  </si>
  <si>
    <t>HLWN02_SEC_DD770_JK01_02</t>
  </si>
  <si>
    <t>HHD_SEC_DD770_F0</t>
  </si>
  <si>
    <t>HHD</t>
  </si>
  <si>
    <t>IPWTN1_DCDB _RQ12</t>
  </si>
  <si>
    <t>IPWTN1</t>
  </si>
  <si>
    <t>RQ06 CIENA 6500-14SLOT</t>
  </si>
  <si>
    <t>IPWTN1_SEC_DCDB_01</t>
  </si>
  <si>
    <t>IPWTN1_SEC_DCDB_04</t>
  </si>
  <si>
    <t>IPWTN1_SYS_DCDB_WALL</t>
  </si>
  <si>
    <t>LTNDN1_SEC_DD770_BB_CC_05</t>
  </si>
  <si>
    <t>LTNDN1</t>
  </si>
  <si>
    <t>Alcatel 7210 DE07</t>
  </si>
  <si>
    <t>MDE_SEC_DUVINE DCDB</t>
  </si>
  <si>
    <t>MDE</t>
  </si>
  <si>
    <t>MDE_SEC_EATON DCDB</t>
  </si>
  <si>
    <t>46A</t>
  </si>
  <si>
    <t>RCR_SEC_CBDB_GH08</t>
  </si>
  <si>
    <t>RCR</t>
  </si>
  <si>
    <t>RCR_SEC_WALL_CBDB</t>
  </si>
  <si>
    <t>SOSTN1_SEC_DD770_WALL</t>
  </si>
  <si>
    <t>SOSTN1</t>
  </si>
  <si>
    <t>AZTCD1 POWER SYSTEM 2 DIST</t>
  </si>
  <si>
    <t>AZTCD1</t>
  </si>
  <si>
    <t>AZTCD1_SEC_EATON DCDB_01_FG07</t>
  </si>
  <si>
    <t>AZTCD2_SEC_DD770_TU11</t>
  </si>
  <si>
    <t>AZTCD2</t>
  </si>
  <si>
    <t>TU08 Alcatel 7210</t>
  </si>
  <si>
    <t>AZTCD2_SEC_DD770_Q1</t>
  </si>
  <si>
    <t>BTLCD1_SYS_H &amp; S Control cubical - ignore line</t>
  </si>
  <si>
    <t>BTLCD1</t>
  </si>
  <si>
    <t>BTLCD1 EOS Z</t>
  </si>
  <si>
    <t>BTLCD1_SEC_DCDB 2_Trident room - Ignore line</t>
  </si>
  <si>
    <t>BTLCD1_SEC_DCDB_B</t>
  </si>
  <si>
    <t>BTLCD1_SEC_DD770_BB1</t>
  </si>
  <si>
    <t>BTLCD1_SYS _N2K DCDB</t>
  </si>
  <si>
    <t>BTLCD1_SYS 2_H &amp; S_DCDB 2B &amp; 2C - Ignore line</t>
  </si>
  <si>
    <t>BTLCD1_SYS 3_DCDB_A</t>
  </si>
  <si>
    <t>BTLN08_SEC_CBDB_CT1</t>
  </si>
  <si>
    <t>BTLN08</t>
  </si>
  <si>
    <t>BTLN08_SEC_DD770_CA1</t>
  </si>
  <si>
    <t>BTLN08_SEC_DD770_CJ02</t>
  </si>
  <si>
    <t>BTLCD2_ PRI_DD604_ WALL</t>
  </si>
  <si>
    <t>BTLCD2;DC SYS01</t>
  </si>
  <si>
    <t>BTLCD2</t>
  </si>
  <si>
    <t>BTLN09_PDU1A_B</t>
  </si>
  <si>
    <t>BTLN09</t>
  </si>
  <si>
    <t>AC11 QWILT</t>
  </si>
  <si>
    <t>BDEN02_SEC_DD770_CD01</t>
  </si>
  <si>
    <t>BDEN02</t>
  </si>
  <si>
    <t>BDEN02_SEC_DD770_QR01</t>
  </si>
  <si>
    <t>BDEN06 AB01 DD770</t>
  </si>
  <si>
    <t>BDEN06</t>
  </si>
  <si>
    <t>BDEN06 JK01 DD770</t>
  </si>
  <si>
    <t>BDEN06 QR01 DD770</t>
  </si>
  <si>
    <t>BDEN07_PDU1A_B</t>
  </si>
  <si>
    <t>BDEN07</t>
  </si>
  <si>
    <t>CDFN02_SEC_CBDB_AB05</t>
  </si>
  <si>
    <t>CDFN02</t>
  </si>
  <si>
    <t>23rd JUNE 2021</t>
  </si>
  <si>
    <t>CDFN02_SEC_CBDB_GH06</t>
  </si>
  <si>
    <t>CHMN21_SEC_EATON DCDB1</t>
  </si>
  <si>
    <t>CHMN21</t>
  </si>
  <si>
    <t>CTNN01_PDU1A_B</t>
  </si>
  <si>
    <t>CTNN01-DCSYS01A</t>
  </si>
  <si>
    <t>CTNN01</t>
  </si>
  <si>
    <t>S&amp;T 1 to 6 Amitie</t>
  </si>
  <si>
    <t>CTNN01_SEC_DD770_EF01</t>
  </si>
  <si>
    <t>CTNN01_SEC_DD770_N01</t>
  </si>
  <si>
    <t>CKNN03_PDU1A_B</t>
  </si>
  <si>
    <t>CKKN03</t>
  </si>
  <si>
    <t>CKNN03_SEC_DCSYS</t>
  </si>
  <si>
    <t>CKNN03</t>
  </si>
  <si>
    <t>NOT SPECIFIED</t>
  </si>
  <si>
    <t>CKNN03_SEC_DD770_CD01</t>
  </si>
  <si>
    <t>DVSTB1_DCDB</t>
  </si>
  <si>
    <t>DVSTB1</t>
  </si>
  <si>
    <t>EXR_SEC_DD770_ JK12</t>
  </si>
  <si>
    <t>EXR</t>
  </si>
  <si>
    <t>EXRN03_PDU1A_B</t>
  </si>
  <si>
    <t>EXRN03</t>
  </si>
  <si>
    <t>FRNN03_PDU1A_B</t>
  </si>
  <si>
    <t>FRNN03</t>
  </si>
  <si>
    <t>G&amp;H 1 to 6 Amitie</t>
  </si>
  <si>
    <t>FRNN03_DC SYS01A &amp; 01B_EF09</t>
  </si>
  <si>
    <t>FRNN03_SEC_DD770_CD1</t>
  </si>
  <si>
    <t>OKNN01_PDU1A_B</t>
  </si>
  <si>
    <t>OKNN01</t>
  </si>
  <si>
    <t>J&amp;K 1 to 6 Amitie</t>
  </si>
  <si>
    <t>OKNN01_SEC_DD770_CD01</t>
  </si>
  <si>
    <t>PLY_PDU1A_B</t>
  </si>
  <si>
    <t>PLY</t>
  </si>
  <si>
    <t>W&amp;X 1 to 6 Amitie</t>
  </si>
  <si>
    <t>PLY_SEC_DD770_EF12</t>
  </si>
  <si>
    <t>PLY_SEC_DD770_UV01</t>
  </si>
  <si>
    <t xml:space="preserve"> UV07 Ciena 6500 R8</t>
  </si>
  <si>
    <t>PCOTN1_SEC_DD770_XW01_7</t>
  </si>
  <si>
    <t>PCOTN1</t>
  </si>
  <si>
    <t>PCOTN1_SEC_WALL_CBDB_2</t>
  </si>
  <si>
    <t>PCOTN1 DCDB 3 WALL MOUNTED</t>
  </si>
  <si>
    <t>PCOTN1 DCDB 4 WALL MOUNTED</t>
  </si>
  <si>
    <t>PCOTN1 DCDB 5 WALL MOUNTED</t>
  </si>
  <si>
    <t>PCOTN2</t>
  </si>
  <si>
    <t>PCOTN1 DCDB 6 WALL MOUNTED</t>
  </si>
  <si>
    <t>PCOTN3</t>
  </si>
  <si>
    <t>PCOTN1_WALL_CBDB_1</t>
  </si>
  <si>
    <t>PCOTN4</t>
  </si>
  <si>
    <t>SDNN06_PDU1A_B</t>
  </si>
  <si>
    <t>SDNN06</t>
  </si>
  <si>
    <t>SDNN06_SEC_CBDB_QR16</t>
  </si>
  <si>
    <t>SDNN06_SEC_CBDB_UV16</t>
  </si>
  <si>
    <t>SDNN06_SEC_DD770_CD1</t>
  </si>
  <si>
    <t>CD03 Alcatel 7210</t>
  </si>
  <si>
    <t xml:space="preserve">CD2 Nokia 7750 SR12e ESA </t>
  </si>
  <si>
    <t>SDNN06_SEC_DD770_GH16</t>
  </si>
  <si>
    <t>YZ15 Home BB</t>
  </si>
  <si>
    <t>SDNN06_SEC_DD770_LM1</t>
  </si>
  <si>
    <t>No reading</t>
  </si>
  <si>
    <t>SDNN06_SEC_DD770_QR1</t>
  </si>
  <si>
    <t>QR03 to 09 Amitie</t>
  </si>
  <si>
    <t>SDNN06_SEC_DD770_WX1</t>
  </si>
  <si>
    <t>SDN_SEC_DD770_GH00</t>
  </si>
  <si>
    <t>SDN</t>
  </si>
  <si>
    <t>SDN_SEC_DD770_Z02</t>
  </si>
  <si>
    <t>DCDB @ c08</t>
  </si>
  <si>
    <t>SDNN11</t>
  </si>
  <si>
    <t>SDNN13_SEC_EATON_ WALL_New</t>
  </si>
  <si>
    <t>SDNN13</t>
  </si>
  <si>
    <t>TNTTN1_PDU1A_B</t>
  </si>
  <si>
    <t>TNTTN1;DC SYS01</t>
  </si>
  <si>
    <t>TNTTN1</t>
  </si>
  <si>
    <t>TNTTN1_SEC_DD770_ GH12</t>
  </si>
  <si>
    <t>DC DD770 TRON01</t>
  </si>
  <si>
    <t>TRON01</t>
  </si>
  <si>
    <t>BSG_SEC_DD770_BC17_02</t>
  </si>
  <si>
    <t>BSG</t>
  </si>
  <si>
    <t>BSG_SEC_DD770_HJ16_01</t>
  </si>
  <si>
    <t>BTN_SEC_DD770_EF09_02</t>
  </si>
  <si>
    <t>BTN</t>
  </si>
  <si>
    <t>BTN_SEC_DD770_YZ01_01</t>
  </si>
  <si>
    <t>GFDCD1_SEC_DCDB_T0</t>
  </si>
  <si>
    <t>GFDCD1</t>
  </si>
  <si>
    <t>GFDCD1_SEC_DD770_M09</t>
  </si>
  <si>
    <t>PTMN03_SEC_DD770_BCBD01</t>
  </si>
  <si>
    <t>PTMN03</t>
  </si>
  <si>
    <t>PTMN03_SEC_DD770_GH01</t>
  </si>
  <si>
    <t>PTMN03_SEC_DD770_LM01</t>
  </si>
  <si>
    <t>PTMN03_SEC_DD770_QR01</t>
  </si>
  <si>
    <t>PTMN03_SEC_DD770_UV01</t>
  </si>
  <si>
    <t>SHTN03_SEC_DD770_AD10</t>
  </si>
  <si>
    <t>SHTN03</t>
  </si>
  <si>
    <t>SHTN03_SEC_Eaton_ ANAP0</t>
  </si>
  <si>
    <t>DCDB_WKGN01_CD1.</t>
  </si>
  <si>
    <t>WKGN01</t>
  </si>
  <si>
    <t>DCDB_WKGN01_EF1.</t>
  </si>
  <si>
    <t>ASMN02_SEC_DD770_CD1</t>
  </si>
  <si>
    <t>ASMN02</t>
  </si>
  <si>
    <t>ASMN02_SEC_DD770_EF1</t>
  </si>
  <si>
    <t>BKLN05_SEC_CBDB_BUBV01</t>
  </si>
  <si>
    <t>BKLN05</t>
  </si>
  <si>
    <t>BKLN05_SEC_CBDB_BWBX01</t>
  </si>
  <si>
    <t>BKLN05_SEC_DD770_ACAD01</t>
  </si>
  <si>
    <t>BKLN05_SEC_DD770_AGAH01</t>
  </si>
  <si>
    <t>BKLN05_SEC_DD770_BABB01</t>
  </si>
  <si>
    <t>BKLN05;DC SYS01</t>
  </si>
  <si>
    <t>BE/BF 15 Waveserver 5</t>
  </si>
  <si>
    <t>BKLN05_SEC_DD770_BLBM01</t>
  </si>
  <si>
    <t>CC/CD 07 HPE DL 380</t>
  </si>
  <si>
    <t>BKLN05_SEC_DD770_BQBR01</t>
  </si>
  <si>
    <t>BKLN05_SEC_DD770_BYBZ01</t>
  </si>
  <si>
    <t>BKLN05_SEC_DD770_CD01</t>
  </si>
  <si>
    <t>BKLN05_SEC_DD770_CJCK01</t>
  </si>
  <si>
    <t>BKLN05_SEC_DD770_GH01</t>
  </si>
  <si>
    <t>BKLN05_SEC_DD770_LM01</t>
  </si>
  <si>
    <t>BKLN05_SEC_DD770_UV01</t>
  </si>
  <si>
    <t>BKLN05_SEC_DD770_YZ01</t>
  </si>
  <si>
    <t>BKLN05_DCSYS04-PDU1</t>
  </si>
  <si>
    <t>BKLN05-DCSYS04</t>
  </si>
  <si>
    <t>BKLN05 Ext</t>
  </si>
  <si>
    <t>BKLN05_DCSYS04-PDU2</t>
  </si>
  <si>
    <t>BKLN05_DCSYS04-PDU3</t>
  </si>
  <si>
    <t>DCDB _DC CUBICLE IN POWER ROOM NEAR BATTERY</t>
  </si>
  <si>
    <t>DCT</t>
  </si>
  <si>
    <t>FMYN31_SEC_CBDB_ BC01</t>
  </si>
  <si>
    <t>FMYN31</t>
  </si>
  <si>
    <t>not showing on meter</t>
  </si>
  <si>
    <t>DCDB _2B</t>
  </si>
  <si>
    <t>IVER02</t>
  </si>
  <si>
    <t>unknown</t>
  </si>
  <si>
    <t>NBYCD1_SEC_CBDB_F9</t>
  </si>
  <si>
    <t>NBYCD1</t>
  </si>
  <si>
    <t>300</t>
  </si>
  <si>
    <t>NBYCD1_SEC_CBDB_GG11</t>
  </si>
  <si>
    <t>POLN02_PDUA_B</t>
  </si>
  <si>
    <t>POLN02</t>
  </si>
  <si>
    <t>EF13 RA</t>
  </si>
  <si>
    <t>POLN02_SEC_DD770_CD01</t>
  </si>
  <si>
    <t>POLN02_SEC_DD770_EF01</t>
  </si>
  <si>
    <t>E11 Ciena 6500 R8</t>
  </si>
  <si>
    <t>RDG_SEC_DD770_FO</t>
  </si>
  <si>
    <t>RDG</t>
  </si>
  <si>
    <t>RDGCD1_SEC_CDDB_A05</t>
  </si>
  <si>
    <t>RDGCD1;DC SYS01</t>
  </si>
  <si>
    <t>RDGCD1</t>
  </si>
  <si>
    <t>RDGCD2_SEC_CDDB_TU09</t>
  </si>
  <si>
    <t>RDGCD2</t>
  </si>
  <si>
    <t>SLO_SEC_DD770_AB0</t>
  </si>
  <si>
    <t>SLO</t>
  </si>
  <si>
    <t>SLO_SEC_DD770_AB00</t>
  </si>
  <si>
    <t>WHHN03_SEC_DD770_CD01_01</t>
  </si>
  <si>
    <t>WHHN03</t>
  </si>
  <si>
    <t>WHHN03_SEC_DD770_EF01_02</t>
  </si>
  <si>
    <t>WHHN03_SEC_Eaton CBDB_LM01</t>
  </si>
  <si>
    <t>OHB_SEC_DCDB01_WALL_OPP TO SUITE EF</t>
  </si>
  <si>
    <t>OHB</t>
  </si>
  <si>
    <t>OHB_SEC_DCDB03_WALL</t>
  </si>
  <si>
    <t>OHB_SEC_DCDB04_WALL</t>
  </si>
  <si>
    <t>OHB_SEC_DCDB05_WALL</t>
  </si>
  <si>
    <t>OHB_SEC_DCDB06_WALL</t>
  </si>
  <si>
    <t>SWNN03_DCDB 1</t>
  </si>
  <si>
    <t>SWNN03</t>
  </si>
  <si>
    <t>SWNN03_SYS01_PER_K - ignore</t>
  </si>
  <si>
    <t>SQYN02_SEC_DCDB_HVHU1</t>
  </si>
  <si>
    <t>LLDTE1_SEC_DCDB_Q4</t>
  </si>
  <si>
    <t>BSHN08_PDU2A_B</t>
  </si>
  <si>
    <t>BTLN09_PDU2A_B</t>
  </si>
  <si>
    <t>Nokia SEGW</t>
  </si>
  <si>
    <t>LDSCD2_PDU2A_B</t>
  </si>
  <si>
    <t>XY 05 BT EAD</t>
  </si>
  <si>
    <t>X6 QWILT</t>
  </si>
  <si>
    <t>AB7 W5</t>
  </si>
  <si>
    <t>MCRCD2_PDU2A_B</t>
  </si>
  <si>
    <t>T06 W5</t>
  </si>
  <si>
    <t>SQYN02_PDU2A_B</t>
  </si>
  <si>
    <t>CHTTN3_PDU2A_B</t>
  </si>
  <si>
    <t>STGCD1_Eaton DIST@G0</t>
  </si>
  <si>
    <t>SHDTR1_SEC_CBDB_N10</t>
  </si>
  <si>
    <t>SHDTR1</t>
  </si>
  <si>
    <t>SHDTR1_EOS_D</t>
  </si>
  <si>
    <t>SHDTR1_EOS_E</t>
  </si>
  <si>
    <t>SHDTR1_EOS_F</t>
  </si>
  <si>
    <t>SHDTR1_EOS_G</t>
  </si>
  <si>
    <t>SHDTR1_EOS_H</t>
  </si>
  <si>
    <t>SHDTR1_EOS_J</t>
  </si>
  <si>
    <t>SHDTR1_EOS_K</t>
  </si>
  <si>
    <t>SHDTR1_EOS_L</t>
  </si>
  <si>
    <t>SHDTR1_EOS_M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</si>
  <si>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</si>
  <si>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</si>
  <si>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</si>
  <si>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</si>
  <si>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</si>
  <si>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</si>
  <si>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</si>
  <si>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</si>
  <si>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</si>
  <si>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</si>
  <si>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</si>
  <si>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</si>
  <si>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</si>
  <si>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</si>
  <si>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</si>
  <si>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</si>
  <si>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</si>
  <si>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</si>
  <si>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</si>
  <si>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</si>
  <si>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</si>
  <si>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</si>
  <si>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</si>
  <si>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</si>
  <si>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</si>
  <si>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</si>
  <si>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</si>
  <si>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</si>
  <si>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</si>
  <si>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</si>
  <si>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</si>
  <si>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</si>
  <si>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</si>
  <si>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</si>
  <si>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</si>
  <si>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</si>
  <si>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</si>
  <si>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</si>
  <si>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</si>
  <si>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</si>
  <si>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</si>
  <si>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</si>
  <si>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</si>
  <si>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Battery bracket removal</t>
  </si>
  <si>
    <t>Battery bracket remove</t>
  </si>
  <si>
    <t>ANGLIA</t>
  </si>
  <si>
    <t>ALDEBURGH</t>
  </si>
  <si>
    <t>Redstream Optical Network Site</t>
  </si>
  <si>
    <t>ABH</t>
  </si>
  <si>
    <t>Eaton Powerware APR48-ES</t>
  </si>
  <si>
    <t>3</t>
  </si>
  <si>
    <t>Yuasa</t>
  </si>
  <si>
    <t>EN480-2</t>
  </si>
  <si>
    <t>2</t>
  </si>
  <si>
    <t>10</t>
  </si>
  <si>
    <t/>
  </si>
  <si>
    <t>Single</t>
  </si>
  <si>
    <t>SCOTLAND</t>
  </si>
  <si>
    <t>ABERDEEN</t>
  </si>
  <si>
    <t>Duvine DD686</t>
  </si>
  <si>
    <t>PowerSafe</t>
  </si>
  <si>
    <t>DDm85-25</t>
  </si>
  <si>
    <t>30</t>
  </si>
  <si>
    <t>Eaton Powerware APR48</t>
  </si>
  <si>
    <t>DDm100-25</t>
  </si>
  <si>
    <t>4</t>
  </si>
  <si>
    <t>45</t>
  </si>
  <si>
    <t>DDm100-27</t>
  </si>
  <si>
    <t>60</t>
  </si>
  <si>
    <t>LONDON</t>
  </si>
  <si>
    <t>8</t>
  </si>
  <si>
    <t>DDm125-33</t>
  </si>
  <si>
    <t>11</t>
  </si>
  <si>
    <t>747</t>
  </si>
  <si>
    <t xml:space="preserve">SCOTTISH HIGHLANDS &amp; ISLANDS </t>
  </si>
  <si>
    <t>ALNESS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</si>
  <si>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</si>
  <si>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</si>
  <si>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</si>
  <si>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</si>
  <si>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</si>
  <si>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</si>
  <si>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</si>
  <si>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9</t>
  </si>
  <si>
    <t>12V155F</t>
  </si>
  <si>
    <t>13</t>
  </si>
  <si>
    <t>THAMES VALLEY</t>
  </si>
  <si>
    <t>AMERSHAM</t>
  </si>
  <si>
    <t>2DDm85-15</t>
  </si>
  <si>
    <t>5</t>
  </si>
  <si>
    <t>150</t>
  </si>
  <si>
    <t>AYR</t>
  </si>
  <si>
    <t xml:space="preserve">GIS Migrated </t>
  </si>
  <si>
    <t>Power One PMP 11.48</t>
  </si>
  <si>
    <t>20</t>
  </si>
  <si>
    <t>SOUTH WEST</t>
  </si>
  <si>
    <t>BRISTOL</t>
  </si>
  <si>
    <t>6</t>
  </si>
  <si>
    <t>65</t>
  </si>
  <si>
    <t>MIDLANDS</t>
  </si>
  <si>
    <t>WEDNESBURY</t>
  </si>
  <si>
    <t>7</t>
  </si>
  <si>
    <t>36</t>
  </si>
  <si>
    <t>BUDE</t>
  </si>
  <si>
    <t>Eaton Powerware NPR.48</t>
  </si>
  <si>
    <t>FIAMM</t>
  </si>
  <si>
    <t>2SLA1000</t>
  </si>
  <si>
    <t>114.42</t>
  </si>
  <si>
    <t>NORTHERN HOME COUNTIES</t>
  </si>
  <si>
    <t>BEDFORD</t>
  </si>
  <si>
    <t>GIS MIGRATING - CAPPED</t>
  </si>
  <si>
    <t>2SLA1500</t>
  </si>
  <si>
    <t>215</t>
  </si>
  <si>
    <t>Dual</t>
  </si>
  <si>
    <t>DDm125-33 (2hr rate)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</si>
  <si>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</si>
  <si>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</si>
  <si>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</si>
  <si>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</si>
  <si>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</si>
  <si>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</si>
  <si>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</si>
  <si>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</si>
  <si>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DDm100-33</t>
  </si>
  <si>
    <t>72</t>
  </si>
  <si>
    <t>93</t>
  </si>
  <si>
    <t>BIRMINGHAM</t>
  </si>
  <si>
    <t>BHMN07</t>
  </si>
  <si>
    <t>12.6</t>
  </si>
  <si>
    <t>P Core use only</t>
  </si>
  <si>
    <t>2CP2000</t>
  </si>
  <si>
    <t>90</t>
  </si>
  <si>
    <t>120</t>
  </si>
  <si>
    <t>BOREHAMWOOD</t>
  </si>
  <si>
    <t>NORTH WEST</t>
  </si>
  <si>
    <t>BARROW-IN-FURNESS</t>
  </si>
  <si>
    <t>GIS Migrated - Capped</t>
  </si>
  <si>
    <t>1</t>
  </si>
  <si>
    <t>Space; Power; Air Con</t>
  </si>
  <si>
    <t>BLACKBURN</t>
  </si>
  <si>
    <t>BKBN41</t>
  </si>
  <si>
    <t>BRACKNELL</t>
  </si>
  <si>
    <t>12</t>
  </si>
  <si>
    <t>495</t>
  </si>
  <si>
    <t>Eaton Powerware HDR48-ES</t>
  </si>
  <si>
    <t>664</t>
  </si>
  <si>
    <t>Dummy Type 100A</t>
  </si>
  <si>
    <t>SOUTH</t>
  </si>
  <si>
    <t>BOURNEMOUTH</t>
  </si>
  <si>
    <t>BMTDN1</t>
  </si>
  <si>
    <t>Eltek E1333</t>
  </si>
  <si>
    <t>EN160</t>
  </si>
  <si>
    <t>15</t>
  </si>
  <si>
    <t>BLACKPOOL</t>
  </si>
  <si>
    <t>12V101F (4 hour Rate)</t>
  </si>
  <si>
    <t>BRECHIN</t>
  </si>
  <si>
    <t>BRETS1</t>
  </si>
  <si>
    <t>Powec Dummy 20A</t>
  </si>
  <si>
    <t>12V100F</t>
  </si>
  <si>
    <t>BRORA</t>
  </si>
  <si>
    <t>BRRTS1</t>
  </si>
  <si>
    <t>BASINGSTOKE</t>
  </si>
  <si>
    <t>44</t>
  </si>
  <si>
    <t>135</t>
  </si>
  <si>
    <t>540</t>
  </si>
  <si>
    <t>BRENTFORD</t>
  </si>
  <si>
    <t>186</t>
  </si>
  <si>
    <t>Power; Autonomy</t>
  </si>
  <si>
    <t>117</t>
  </si>
  <si>
    <t>DC Dist</t>
  </si>
  <si>
    <t>126</t>
  </si>
  <si>
    <t>142</t>
  </si>
  <si>
    <t>BRIGHTON</t>
  </si>
  <si>
    <t>DDm85-33</t>
  </si>
  <si>
    <t>80</t>
  </si>
  <si>
    <t>BARTON</t>
  </si>
  <si>
    <t>9.5</t>
  </si>
  <si>
    <t>GLASGOW</t>
  </si>
  <si>
    <t>Eaton Powerware R2948</t>
  </si>
  <si>
    <t>BALLYWATER</t>
  </si>
  <si>
    <t>BYR</t>
  </si>
  <si>
    <t>CAMBRIDGE</t>
  </si>
  <si>
    <t>CANTERBURY</t>
  </si>
  <si>
    <t>2DDm85-13</t>
  </si>
  <si>
    <t>22.5</t>
  </si>
  <si>
    <t>WALES</t>
  </si>
  <si>
    <t>CARDIFF</t>
  </si>
  <si>
    <t>STOKE-ON-TRENT</t>
  </si>
  <si>
    <t>CHELMSFORD</t>
  </si>
  <si>
    <t>22</t>
  </si>
  <si>
    <t>CHESTERFIELD</t>
  </si>
  <si>
    <t>CHELTENHAM</t>
  </si>
  <si>
    <t>240</t>
  </si>
  <si>
    <t>262</t>
  </si>
  <si>
    <t>CREWKERNE</t>
  </si>
  <si>
    <t>COVENTRY</t>
  </si>
  <si>
    <t>COWLEY</t>
  </si>
  <si>
    <t>GIS MIGRATING</t>
  </si>
  <si>
    <t>COWL02</t>
  </si>
  <si>
    <t>Eaton Powerware APR48-3G</t>
  </si>
  <si>
    <t>12V105F</t>
  </si>
  <si>
    <t>14</t>
  </si>
  <si>
    <t>CARLISLE</t>
  </si>
  <si>
    <t>40</t>
  </si>
  <si>
    <t>CREDITON</t>
  </si>
  <si>
    <t>66</t>
  </si>
  <si>
    <t>CHESTER</t>
  </si>
  <si>
    <t>25</t>
  </si>
  <si>
    <t>CROYDON</t>
  </si>
  <si>
    <t>CYNTN2(EXT'N)</t>
  </si>
  <si>
    <t>DERBY</t>
  </si>
  <si>
    <t>43</t>
  </si>
  <si>
    <t>DIDCOT</t>
  </si>
  <si>
    <t>DUMFRIES</t>
  </si>
  <si>
    <t>DFSN01</t>
  </si>
  <si>
    <t xml:space="preserve">SBS XL 150F-FT </t>
  </si>
  <si>
    <t>DFSNC1</t>
  </si>
  <si>
    <t>SBS 12V100F</t>
  </si>
  <si>
    <t>DOUGLAS</t>
  </si>
  <si>
    <t>12v170FS</t>
  </si>
  <si>
    <t>DURHAM</t>
  </si>
  <si>
    <t>DHMNU1</t>
  </si>
  <si>
    <t>200</t>
  </si>
  <si>
    <t>DUNDONALD</t>
  </si>
  <si>
    <t>DLD</t>
  </si>
  <si>
    <t>DARLINGTON</t>
  </si>
  <si>
    <t>DLNTC1</t>
  </si>
  <si>
    <t>DUNDEE</t>
  </si>
  <si>
    <t>DUNFERMLINE</t>
  </si>
  <si>
    <t>DONCASTER</t>
  </si>
  <si>
    <t>26</t>
  </si>
  <si>
    <t>DEVIZES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</si>
  <si>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</si>
  <si>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</si>
  <si>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</si>
  <si>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</si>
  <si>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</si>
  <si>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</si>
  <si>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</si>
  <si>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4.5</t>
  </si>
  <si>
    <t>EDINBURGH</t>
  </si>
  <si>
    <t>EDBN07</t>
  </si>
  <si>
    <t>DDm85-21</t>
  </si>
  <si>
    <t>DDm125-27</t>
  </si>
  <si>
    <t>ELGIN</t>
  </si>
  <si>
    <t>EGNTM1</t>
  </si>
  <si>
    <t>EVESHAM</t>
  </si>
  <si>
    <t>EXETER</t>
  </si>
  <si>
    <t>67</t>
  </si>
  <si>
    <t>EXRN03-DCSYSa</t>
  </si>
  <si>
    <t>EXRN03-DCSYSb</t>
  </si>
  <si>
    <t>FOLKESTONE</t>
  </si>
  <si>
    <t>DDm125-25</t>
  </si>
  <si>
    <t>MORPETH</t>
  </si>
  <si>
    <t>FLNTT1</t>
  </si>
  <si>
    <t>FRIMLEY</t>
  </si>
  <si>
    <t>FRADDON</t>
  </si>
  <si>
    <t>GLOUCESTER</t>
  </si>
  <si>
    <t>GCRTB1</t>
  </si>
  <si>
    <t>GUILDFORD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</si>
  <si>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</si>
  <si>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</si>
  <si>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</si>
  <si>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</si>
  <si>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</si>
  <si>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</si>
  <si>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</si>
  <si>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</si>
  <si>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DDm85-27</t>
  </si>
  <si>
    <t>HILLINGDON</t>
  </si>
  <si>
    <t>HLDA11</t>
  </si>
  <si>
    <t>HLDA12</t>
  </si>
  <si>
    <t>HARLOW</t>
  </si>
  <si>
    <t>HOUNSLOW</t>
  </si>
  <si>
    <t>HARROGATE</t>
  </si>
  <si>
    <t>HTE</t>
  </si>
  <si>
    <t>98</t>
  </si>
  <si>
    <t>DC Power</t>
  </si>
  <si>
    <t>INVERNESS</t>
  </si>
  <si>
    <t>INVTL1</t>
  </si>
  <si>
    <t>Planned closure</t>
  </si>
  <si>
    <t>IODTA1</t>
  </si>
  <si>
    <t>SBS EON 1800</t>
  </si>
  <si>
    <t>56</t>
  </si>
  <si>
    <t>New lease signed March 2023</t>
  </si>
  <si>
    <t>IPSWICH</t>
  </si>
  <si>
    <t>IVER</t>
  </si>
  <si>
    <t>12V101F (2 Hour rate)</t>
  </si>
  <si>
    <t>Space; Power; Autonomy</t>
  </si>
  <si>
    <t>KINGS LYNN</t>
  </si>
  <si>
    <t>KENDAL</t>
  </si>
  <si>
    <t>LEICESTER</t>
  </si>
  <si>
    <t>2CP3000</t>
  </si>
  <si>
    <t>LEEDS</t>
  </si>
  <si>
    <t>32</t>
  </si>
  <si>
    <t>260</t>
  </si>
  <si>
    <t>LDSN14</t>
  </si>
  <si>
    <t>180</t>
  </si>
  <si>
    <t>LIVINGSTON</t>
  </si>
  <si>
    <t>PRESTON</t>
  </si>
  <si>
    <t>LEAMINGTON SPA</t>
  </si>
  <si>
    <t>28</t>
  </si>
  <si>
    <t>PRESCOT</t>
  </si>
  <si>
    <t>LIVERPOOL</t>
  </si>
  <si>
    <t>LPLTK1</t>
  </si>
  <si>
    <t>95</t>
  </si>
  <si>
    <t>LUTON</t>
  </si>
  <si>
    <t>MANCHESTER</t>
  </si>
  <si>
    <t>Chloride</t>
  </si>
  <si>
    <t>VH34</t>
  </si>
  <si>
    <t>Mains Supply; Autonomy; Cooling</t>
  </si>
  <si>
    <t>500</t>
  </si>
  <si>
    <t>MIDDLESBROUGH</t>
  </si>
  <si>
    <t>Power One PMP 25.48</t>
  </si>
  <si>
    <t>MAIDSTONE</t>
  </si>
  <si>
    <t>MACDUFF</t>
  </si>
  <si>
    <t>MDFTB1</t>
  </si>
  <si>
    <t>MILTON KEYNES</t>
  </si>
  <si>
    <t>NEWBURY</t>
  </si>
  <si>
    <t xml:space="preserve">2CP1000 </t>
  </si>
  <si>
    <t>NOTTINGHAM</t>
  </si>
  <si>
    <t>2CP1400</t>
  </si>
  <si>
    <t>133</t>
  </si>
  <si>
    <t>NORWICH</t>
  </si>
  <si>
    <t>NEWCASTLE-UNDER-LYME</t>
  </si>
  <si>
    <t>NEWCASTLE</t>
  </si>
  <si>
    <t>NORTH SHIELDS</t>
  </si>
  <si>
    <t>NWCNY1</t>
  </si>
  <si>
    <t>NEWPORT</t>
  </si>
  <si>
    <t>NWPDN1</t>
  </si>
  <si>
    <t>EN320</t>
  </si>
  <si>
    <t>SWANSEA</t>
  </si>
  <si>
    <t>OKEHAMPTON</t>
  </si>
  <si>
    <t>52</t>
  </si>
  <si>
    <t>PENZANCE</t>
  </si>
  <si>
    <t>PLYMOUTH</t>
  </si>
  <si>
    <t>133.1</t>
  </si>
  <si>
    <t>PENRITH</t>
  </si>
  <si>
    <t>PNRTN1</t>
  </si>
  <si>
    <t>Harmer &amp; Simmons SC3A/50/100</t>
  </si>
  <si>
    <t>2V460</t>
  </si>
  <si>
    <t>POOLE</t>
  </si>
  <si>
    <t>PETERHEAD</t>
  </si>
  <si>
    <t>PRDTB1</t>
  </si>
  <si>
    <t>12V92F</t>
  </si>
  <si>
    <t>PETERBOROUGH</t>
  </si>
  <si>
    <t>81</t>
  </si>
  <si>
    <t>Space; Autonomy</t>
  </si>
  <si>
    <t>PERTH</t>
  </si>
  <si>
    <t>PORTSMOUTH</t>
  </si>
  <si>
    <t>PTMDN1</t>
  </si>
  <si>
    <t>2CP650</t>
  </si>
  <si>
    <t>RATCLIFFE ON SOAR</t>
  </si>
  <si>
    <t>RATE02</t>
  </si>
  <si>
    <t>Advance MRF2800</t>
  </si>
  <si>
    <t>ROCHESTER</t>
  </si>
  <si>
    <t>READING</t>
  </si>
  <si>
    <t>42</t>
  </si>
  <si>
    <t>48</t>
  </si>
  <si>
    <t>ROMFORD</t>
  </si>
  <si>
    <t>SCARBOROUGH</t>
  </si>
  <si>
    <t>SBHN01</t>
  </si>
  <si>
    <t>SWINDON</t>
  </si>
  <si>
    <t>83</t>
  </si>
  <si>
    <t>DDm100-33 (2 Hour rate)</t>
  </si>
  <si>
    <t>548</t>
  </si>
  <si>
    <t>DDm85-21(2 Hour Rate)</t>
  </si>
  <si>
    <t>SHEFFIELD</t>
  </si>
  <si>
    <t>SOUTHAMPTON</t>
  </si>
  <si>
    <t>112.5</t>
  </si>
  <si>
    <t>SLOUGH</t>
  </si>
  <si>
    <t>140</t>
  </si>
  <si>
    <t>SUNDERLAND</t>
  </si>
  <si>
    <t>SOLIHULL</t>
  </si>
  <si>
    <t>SOUTHEND</t>
  </si>
  <si>
    <t>STOKE</t>
  </si>
  <si>
    <t>24</t>
  </si>
  <si>
    <t>250</t>
  </si>
  <si>
    <t>HV Upgrade wayleave issues</t>
  </si>
  <si>
    <t>498</t>
  </si>
  <si>
    <t>STEVENAGE</t>
  </si>
  <si>
    <t>SBS480 EON</t>
  </si>
  <si>
    <t>STIRLING</t>
  </si>
  <si>
    <t>SHREWSBURY</t>
  </si>
  <si>
    <t>2SLA2000</t>
  </si>
  <si>
    <t>40.5</t>
  </si>
  <si>
    <t>Benning Tebechop 2700</t>
  </si>
  <si>
    <t>34</t>
  </si>
  <si>
    <t>12UMTB160</t>
  </si>
  <si>
    <t>18</t>
  </si>
  <si>
    <t>22.2</t>
  </si>
  <si>
    <t>P Core use only, Power</t>
  </si>
  <si>
    <t>THURSO</t>
  </si>
  <si>
    <t>THOTC1</t>
  </si>
  <si>
    <t>TAUNTON</t>
  </si>
  <si>
    <t>TRURO</t>
  </si>
  <si>
    <t>VAUXHALL</t>
  </si>
  <si>
    <t>Planned Closure</t>
  </si>
  <si>
    <t>WATFORD</t>
  </si>
  <si>
    <t>Power;Autonomy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</si>
  <si>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</si>
  <si>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</si>
  <si>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</si>
  <si>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</si>
  <si>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</si>
  <si>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</si>
  <si>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</si>
  <si>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</si>
  <si>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WOKING</t>
  </si>
  <si>
    <t>88</t>
  </si>
  <si>
    <t>WORKINGTON</t>
  </si>
  <si>
    <t>WONTL1</t>
  </si>
  <si>
    <t>WARRINGTON</t>
  </si>
  <si>
    <t>78</t>
  </si>
  <si>
    <t>WINTERTON</t>
  </si>
  <si>
    <t>37.8</t>
  </si>
  <si>
    <t>WOLVERHAMPTON</t>
  </si>
  <si>
    <t>14.8</t>
  </si>
  <si>
    <t>YORK</t>
  </si>
  <si>
    <t>VHXINT</t>
  </si>
  <si>
    <t xml:space="preserve"> </t>
  </si>
  <si>
    <t>232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</si>
  <si>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</si>
  <si>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</si>
  <si>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</si>
  <si>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</si>
  <si>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</si>
  <si>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</si>
  <si>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</si>
  <si>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</si>
  <si>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</si>
  <si>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</si>
  <si>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</si>
  <si>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</si>
  <si>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</si>
  <si>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</si>
  <si>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594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</si>
  <si>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</si>
  <si>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</si>
  <si>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</si>
  <si>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</si>
  <si>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</si>
  <si>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>Auto calculated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</si>
  <si>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</si>
  <si>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</si>
  <si>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</si>
  <si>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</si>
  <si>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</si>
  <si>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</si>
  <si>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</si>
  <si>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</si>
  <si>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</si>
  <si>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</si>
  <si>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</si>
  <si>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Rect Type :</t>
  </si>
  <si>
    <t>Qty of Rect Fitted :</t>
  </si>
  <si>
    <t>Cells will highlight red if different between systems</t>
  </si>
  <si>
    <t>Existing Load in Amps :</t>
  </si>
  <si>
    <t>New System Load Amps (Inc Future &amp; New Loads) :</t>
  </si>
  <si>
    <t>System Load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</si>
  <si>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</si>
  <si>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</si>
  <si>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</si>
  <si>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</si>
  <si>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</si>
  <si>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</si>
  <si>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</si>
  <si>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</si>
  <si>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Additional Rect Required</t>
  </si>
  <si>
    <t>Amps :</t>
  </si>
  <si>
    <t>kW :</t>
  </si>
  <si>
    <t>A System Capacity Remaining</t>
  </si>
  <si>
    <t>Combined System Capacity Remaining</t>
  </si>
  <si>
    <t>B System Capacity Remaining</t>
  </si>
  <si>
    <t>Percentage :</t>
  </si>
  <si>
    <t>90% Capacity limit exceeded if cells are red, additional build required</t>
  </si>
  <si>
    <t>Allowing for 10% for aging (Falcon) - Normal Running</t>
  </si>
  <si>
    <t>Time (Hours) :</t>
  </si>
  <si>
    <t>1 hr</t>
  </si>
  <si>
    <t>2 hrs</t>
  </si>
  <si>
    <t>3 hrs</t>
  </si>
  <si>
    <t>4 hrs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</si>
  <si>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</si>
  <si>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</si>
  <si>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</si>
  <si>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</si>
  <si>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</si>
  <si>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</si>
  <si>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</si>
  <si>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Single DC Power System Capacity and Autonomy Checker</t>
  </si>
  <si>
    <t>System :</t>
  </si>
  <si>
    <t>Select rectifier module type from drop down list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</si>
  <si>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</si>
  <si>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</si>
  <si>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</si>
  <si>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</si>
  <si>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</si>
  <si>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</si>
  <si>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</si>
  <si>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</si>
  <si>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System Load (kW) :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</si>
  <si>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</si>
  <si>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</si>
  <si>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</si>
  <si>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 
@ 80% of N</t>
  </si>
  <si>
    <t>Capacity Remaining</t>
  </si>
  <si>
    <t>Capacity Remaining @ 80% of N</t>
  </si>
  <si>
    <t>syste</t>
  </si>
  <si>
    <t>90% Capacity limit exceeded if cell is red, additional build required</t>
  </si>
  <si>
    <t>Allowing for 10% for aging</t>
  </si>
  <si>
    <t>Allowing 20% for aging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</si>
  <si>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</si>
  <si>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</si>
  <si>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</si>
  <si>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</si>
  <si>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</si>
  <si>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</si>
  <si>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</si>
  <si>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</si>
  <si>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</si>
  <si>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</si>
  <si>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PCOTN1_Flag</t>
  </si>
  <si>
    <t>PCOTN1_Gemini</t>
  </si>
  <si>
    <t>BRN;DC SYS01</t>
  </si>
  <si>
    <t>MCRCD2;DC SYS03 [Rect5] (Decommissioned)</t>
  </si>
  <si>
    <t>Rectifier Model</t>
  </si>
  <si>
    <t>Output (Amps)</t>
  </si>
  <si>
    <t>80% N</t>
  </si>
  <si>
    <t>Advance TRE 1500</t>
  </si>
  <si>
    <t>Advance TRE 2100</t>
  </si>
  <si>
    <t>Eaton APR48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</si>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</sst>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11"/>
      <color rgb="FF1F497D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5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6" borderId="1" xfId="0" applyNumberFormat="1" applyFont="1" applyFill="1" applyBorder="1" applyAlignment="1">
      <alignment horizontal="left"/>
    </xf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5" fillId="16" borderId="0" xfId="0" applyNumberFormat="1" applyFont="1" applyFill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49" fontId="5" fillId="17" borderId="1" xfId="1" applyNumberFormat="1" applyFont="1" applyFill="1" applyBorder="1" applyAlignment="1">
      <alignment horizontal="left"/>
    </xf>
    <xf numFmtId="49" fontId="44" fillId="5" borderId="1" xfId="0" applyNumberFormat="1" applyFont="1" applyFill="1" applyBorder="1" applyAlignment="1">
      <alignment horizontal="left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5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19" fillId="35" borderId="2" xfId="0" applyFont="1" applyFill="1" applyBorder="1" applyProtection="1">
      <protection locked="0"/>
    </xf>
    <xf numFmtId="0" fontId="6" fillId="21" borderId="2" xfId="0" applyFont="1" applyFill="1" applyBorder="1" applyAlignment="1" applyProtection="1">
      <alignment horizontal="center" vertical="center"/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6" fillId="9" borderId="2" xfId="0" applyFont="1" applyFill="1" applyBorder="1" applyAlignment="1" applyProtection="1">
      <alignment horizontal="center"/>
      <protection locked="0"/>
    </xf>
    <xf numFmtId="165" fontId="46" fillId="7" borderId="2" xfId="0" applyNumberFormat="1" applyFont="1" applyFill="1" applyBorder="1" applyAlignment="1" applyProtection="1">
      <alignment horizontal="center"/>
      <protection locked="0"/>
    </xf>
    <xf numFmtId="0" fontId="46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7" fillId="0" borderId="0" xfId="0" applyFont="1"/>
    <xf numFmtId="0" fontId="48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8" fillId="22" borderId="2" xfId="0" applyFont="1" applyFill="1" applyBorder="1" applyProtection="1">
      <protection locked="0"/>
    </xf>
    <xf numFmtId="0" fontId="48" fillId="21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165" fontId="48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8" fillId="21" borderId="0" xfId="0" applyFont="1" applyFill="1" applyAlignment="1" applyProtection="1">
      <alignment horizontal="center" vertical="center"/>
      <protection locked="0"/>
    </xf>
    <xf numFmtId="0" fontId="50" fillId="0" borderId="2" xfId="0" applyFont="1" applyBorder="1" applyAlignment="1" applyProtection="1">
      <alignment wrapText="1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8" borderId="0" xfId="0" applyNumberFormat="1" applyFill="1" applyAlignment="1">
      <alignment horizont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9" fillId="20" borderId="5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0" fontId="32" fillId="31" borderId="2" xfId="1" applyFont="1" applyFill="1" applyBorder="1" applyAlignment="1">
      <alignment horizontal="left"/>
    </xf>
    <xf numFmtId="0" fontId="9" fillId="20" borderId="2" xfId="1" applyFill="1" applyBorder="1" applyAlignment="1">
      <alignment horizontal="left" vertical="center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odafone.sharepoint.com/sites/InfrastructureDelivery462/Shared%20Documents/01%20Site%20Information/05%20Network%20Capacity%20Management/Crown%20Data%20and%20Archive/Tests/Dual%20and%20PCore%20Pwr%20Systems1.xlsx" TargetMode="External"/><Relationship Id="rId1" Type="http://schemas.openxmlformats.org/officeDocument/2006/relationships/externalLinkPath" Target="Tests/Dual%20and%20PCore%20Pwr%20Systems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rkuMPQgV0e3FlNWAgjkmwrfVbSVRuxCtuZcPTqscCnXWgC0Cm3ETr_6D5IGge0Y" itemId="014YLRQ6MB3UYJHWBQORD276LWLDHEYMJZ">
      <xxl21:absoluteUrl r:id="rId2"/>
    </xxl21:alternateUrls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6" headerRowBorderDxfId="54" tableBorderDxfId="55" totalsRowBorderDxfId="53">
  <autoFilter ref="A1:D14" xr:uid="{00000000-0009-0000-0100-000004000000}"/>
  <tableColumns count="4">
    <tableColumn id="1" xr3:uid="{00000000-0010-0000-0000-000001000000}" name="Site" dataDxfId="52"/>
    <tableColumn id="2" xr3:uid="{00000000-0010-0000-0000-000002000000}" name="Issue" dataDxfId="51"/>
    <tableColumn id="3" xr3:uid="{00000000-0010-0000-0000-000003000000}" name="Date raised" dataDxfId="50"/>
    <tableColumn id="4" xr3:uid="{00000000-0010-0000-0000-000004000000}" name="Resolution" dataDxfId="4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[3]!Table7[[#This Row],[Ah Rating]]/10</calculatedColumnFormula>
    </tableColumn>
    <tableColumn id="14" xr3:uid="{00000000-0010-0000-0300-00000E000000}" name="Temp" dataDxfId="0" dataCellStyle="Normal 2">
      <calculatedColumnFormula>[3]!Table7[[#This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6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5kW allocation reduced due to live reading of 2.5KW</text>
  </threadedComment>
  <threadedComment ref="J12" dT="2023-08-01T11:25:17.35" personId="{F6E7EC2D-8E6E-4BA1-BCDD-6D7FECF08119}" id="{8F776E6E-D5FD-4051-A34B-0A5841A164B0}" parentId="{B50293A4-B35C-4D1D-B69C-75BE815FA6F5}">
    <text>5kW allocation reduced due to live reading of 2.5KW</text>
  </threadedComment>
  <threadedComment ref="J12" dT="2023-09-05T12:15:30.94" personId="{F6E7EC2D-8E6E-4BA1-BCDD-6D7FECF08119}" id="{69263507-9C56-421C-BF96-9CA338228E78}" parentId="{B50293A4-B35C-4D1D-B69C-75BE815FA6F5}">
    <text>5kW allocation reduced due to live reading of 2.5KW</text>
  </threadedComment>
  <threadedComment ref="J12" dT="2023-10-20T08:31:43.20" personId="{F6E7EC2D-8E6E-4BA1-BCDD-6D7FECF08119}" id="{B800037C-4661-426A-ABFF-54C8211A29B9}" parentId="{B50293A4-B35C-4D1D-B69C-75BE815FA6F5}">
    <text>5kW allocation reduced due to live reading of 2.5KW</text>
  </threadedComment>
  <threadedComment ref="J12" dT="2023-11-08T08:55:30.95" personId="{F6E7EC2D-8E6E-4BA1-BCDD-6D7FECF08119}" id="{8B9A319F-0EAE-4BDA-8A36-9C845E6F1565}" parentId="{B50293A4-B35C-4D1D-B69C-75BE815FA6F5}">
    <text>5kW allocation reduced due to live reading of 2.5KW</text>
  </threadedComment>
  <threadedComment ref="J12" dT="2023-12-12T10:26:57.52" personId="{F6E7EC2D-8E6E-4BA1-BCDD-6D7FECF08119}" id="{3EC09FCD-4DBF-4EB5-99F4-FDAB59DD8FE6}" parentId="{B50293A4-B35C-4D1D-B69C-75BE815FA6F5}">
    <text>5kW allocation reduced due to live reading of 2.4kW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8.5kW allocation reduced due to live reading of 3.1KW</text>
  </threadedComment>
  <threadedComment ref="L12" dT="2023-08-01T11:24:20.49" personId="{F6E7EC2D-8E6E-4BA1-BCDD-6D7FECF08119}" id="{4E6EE769-89C9-4581-9053-8C9D2D73984E}" parentId="{4B93C499-6A09-40F4-BF2E-413B300894D7}">
    <text>8.5kW allocation reduced due to live reading of 3.1KW</text>
  </threadedComment>
  <threadedComment ref="L12" dT="2023-09-05T12:14:51.64" personId="{F6E7EC2D-8E6E-4BA1-BCDD-6D7FECF08119}" id="{398A61B0-4975-42D3-B512-A040D196CF9E}" parentId="{4B93C499-6A09-40F4-BF2E-413B300894D7}">
    <text>8.5kW allocation reduced due to live reading of 3.1KW</text>
  </threadedComment>
  <threadedComment ref="L12" dT="2023-10-20T08:30:32.65" personId="{F6E7EC2D-8E6E-4BA1-BCDD-6D7FECF08119}" id="{E3E322E8-5491-4D70-8EBC-49692E619645}" parentId="{4B93C499-6A09-40F4-BF2E-413B300894D7}">
    <text>8.5kW allocation reduced due to live reading of 3.1KW</text>
  </threadedComment>
  <threadedComment ref="L12" dT="2023-11-08T08:54:54.27" personId="{F6E7EC2D-8E6E-4BA1-BCDD-6D7FECF08119}" id="{EB91279E-2213-4AF5-A494-54EB484B9594}" parentId="{4B93C499-6A09-40F4-BF2E-413B300894D7}">
    <text>8.5kW allocation reduced due to live reading of 3.1KW</text>
  </threadedComment>
  <threadedComment ref="L12" dT="2023-12-12T10:26:02.86" personId="{F6E7EC2D-8E6E-4BA1-BCDD-6D7FECF08119}" id="{4B2DBC6E-E5F8-4C63-AF24-FB19CC7C0D8C}" parentId="{4B93C499-6A09-40F4-BF2E-413B300894D7}">
    <text>8.5kW allocation reduced due to live reading of 3.1KW</text>
  </threadedComment>
  <threadedComment ref="N12" dT="2023-09-05T12:09:53.40" personId="{F6E7EC2D-8E6E-4BA1-BCDD-6D7FECF08119}" id="{4BB3C74A-4259-411D-BCCC-A1891B45D543}">
    <text>2kW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2kW allocation reduced due to live reading of 0.4KW</text>
  </threadedComment>
  <threadedComment ref="N12" dT="2023-11-08T08:53:13.12" personId="{F6E7EC2D-8E6E-4BA1-BCDD-6D7FECF08119}" id="{0199C96B-010D-493D-A66C-137AF59A3C3B}" parentId="{4BB3C74A-4259-411D-BCCC-A1891B45D543}">
    <text>2kW allocation reduced due to live reading of 0.4KW</text>
  </threadedComment>
  <threadedComment ref="N12" dT="2023-12-12T10:22:55.69" personId="{F6E7EC2D-8E6E-4BA1-BCDD-6D7FECF08119}" id="{D2D0B48D-FFBF-408D-BA58-6D5C42E422C7}" parentId="{4BB3C74A-4259-411D-BCCC-A1891B45D543}">
    <text>2kW allocation reduced due to live reading of 0.4KW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2kW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2kW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2kW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2kW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2kW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2kW allocation reduced due to live reading of 0.1KW</text>
  </threadedComment>
  <threadedComment ref="J17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L21" dT="2021-09-28T09:35:17.52" personId="{D8912DD3-55B7-46D0-93D3-924365CA7385}" id="{3EA97E3A-4762-488E-A0CF-D220BF9BF864}">
    <text>Live reading 116A, so original 8kW reduced down</text>
  </threadedComment>
  <threadedComment ref="L21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1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1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1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1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N21" dT="2021-09-28T09:33:49.30" personId="{D8912DD3-55B7-46D0-93D3-924365CA7385}" id="{50F6CC03-DF6E-4315-A698-C119F1CADA9C}">
    <text>Live reading of 44.5A so original 4kW reduced down</text>
  </threadedComment>
  <threadedComment ref="N21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1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1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1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1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1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1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P21" dT="2021-09-28T09:31:24.33" personId="{D8912DD3-55B7-46D0-93D3-924365CA7385}" id="{2913C62D-9AAC-44DD-A7AB-6211914F0F70}">
    <text>Live reading of 12.2A so original 4.5kW reduced down</text>
  </threadedComment>
  <threadedComment ref="P21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1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1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1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1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1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R21" dT="2023-01-12T13:45:14.22" personId="{BC55F889-AFD3-4AD4-B814-0EDFA8411758}" id="{EDACE473-F999-42A2-8269-BA47EC6A6AF8}">
    <text>Live reading of 35.4A so original 4.5kW reduced by 1.9kW</text>
  </threadedComment>
  <threadedComment ref="R21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1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1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1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1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1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1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T21" dT="2023-01-12T13:46:46.35" personId="{BC55F889-AFD3-4AD4-B814-0EDFA8411758}" id="{00FA7D05-CAD0-47E4-9B77-50DD6647E97F}">
    <text>Live reading of 17.2A so original 4.5kW reduced by 950w</text>
  </threadedComment>
  <threadedComment ref="T21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1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1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1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1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1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X21" dT="2023-09-06T15:20:59.86" personId="{F6E7EC2D-8E6E-4BA1-BCDD-6D7FECF08119}" id="{EEF0BFB8-7B14-4589-83BB-A0617D8EFBA4}">
    <text>2.5kW allocation reduced due to live reading of 0.2KW</text>
  </threadedComment>
  <threadedComment ref="X21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1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1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Z21" dT="2023-03-24T15:06:37.85" personId="{BFC1E846-99FF-44B5-92AE-66A4D353BDC7}" id="{90919ECA-214A-4C29-80CE-CCD362EAA6BD}">
    <text>ESA400s @ 520W each only 2 planned day 1</text>
  </threadedComment>
  <threadedComment ref="Z21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1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1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L22" dT="2021-09-28T09:35:17.52" personId="{D8912DD3-55B7-46D0-93D3-924365CA7385}" id="{2C081B2C-5BED-4423-A2FC-A2CF3D574AAC}">
    <text>Live reading 116A, so original 8kW reduced down</text>
  </threadedComment>
  <threadedComment ref="L22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2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2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2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2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2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N22" dT="2021-09-28T09:33:49.30" personId="{D8912DD3-55B7-46D0-93D3-924365CA7385}" id="{9038469C-86C9-4E6A-B5A3-7BF6F52CF190}">
    <text>Live reading of 44.5A so original 4kW reduced down</text>
  </threadedComment>
  <threadedComment ref="N22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2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2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2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2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2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2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P22" dT="2021-09-28T09:31:24.33" personId="{D8912DD3-55B7-46D0-93D3-924365CA7385}" id="{6941C7EF-0E0A-4A32-8EAB-0867E698D03E}">
    <text>Live reading of 12.2A so original 4.5kW reduced down</text>
  </threadedComment>
  <threadedComment ref="P22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2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2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2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2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2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R22" dT="2023-01-12T13:45:14.22" personId="{BC55F889-AFD3-4AD4-B814-0EDFA8411758}" id="{AB4DCB4C-416A-4A2A-85AA-FB7D89FDD685}">
    <text>Live reading of 35.4A so original 4.5kW reduced by 1.9kW</text>
  </threadedComment>
  <threadedComment ref="R22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2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2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2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2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T22" dT="2023-01-12T13:46:46.35" personId="{BC55F889-AFD3-4AD4-B814-0EDFA8411758}" id="{BF2F969B-BB12-4D61-8B5B-6DC8A4FF7523}">
    <text>Live reading of 17.2A so original 4.5kW reduced by 950w</text>
  </threadedComment>
  <threadedComment ref="T22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2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2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2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2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2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X22" dT="2023-09-06T15:21:18.00" personId="{F6E7EC2D-8E6E-4BA1-BCDD-6D7FECF08119}" id="{4762A758-8996-4619-9F64-8A74F8D6F2E8}">
    <text>2.5kW allocation reduced due to live reading of 0.1KW</text>
  </threadedComment>
  <threadedComment ref="X22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2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2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2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Z22" dT="2023-03-24T15:06:48.56" personId="{BFC1E846-99FF-44B5-92AE-66A4D353BDC7}" id="{0A6C3A3E-5EF8-46DB-ACCF-1608F88C89B9}">
    <text>ESA400s @ 520W each only 2 planned day 1</text>
  </threadedComment>
  <threadedComment ref="Z22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2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2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J24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4" dT="2023-11-03T11:28:53.66" personId="{7807B229-714C-4AA1-8F83-E7F46ACB7D83}" id="{D8809937-F552-4F57-A674-AC2B1E023AC0}">
    <text>Ciena 6500 14slot and Alcatel 7210 SAS SX Planned - ORMT_SAP_231025_22_Y858601</text>
  </threadedComment>
  <threadedComment ref="O24" dT="2023-11-06T13:07:10.85" personId="{A4663B00-DB85-420B-AE65-1E515148FDF2}" id="{1D087420-4A54-4809-9621-721D4808EA2C}">
    <text>RLS &amp; Waveserver planned- CPL Removal project</text>
  </threadedComment>
  <threadedComment ref="Q24" dT="2023-11-06T13:07:10.85" personId="{A4663B00-DB85-420B-AE65-1E515148FDF2}" id="{AAFA640D-FCB0-4630-815D-A070A3FDE96A}">
    <text>RLS &amp; Waveserver planned- CPL Removal project</text>
  </threadedComment>
  <threadedComment ref="J25" dT="2023-11-07T10:55:08.88" personId="{ABF5BCE6-B512-42E2-8B64-A070C9ED38DE}" id="{67573B58-5D5B-4925-A4B1-1DBCACAE27D7}">
    <text>5kW reduced by 2.6kW estimated load from average of iPDU readings, 2.4kW remaining</text>
  </threadedComment>
  <threadedComment ref="J25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5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5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5" dT="2023-11-06T10:11:10.23" personId="{A4663B00-DB85-420B-AE65-1E515148FDF2}" id="{8B5D0E45-74F4-4897-80D1-52D1203BA6AE}">
    <text>RLS &amp; Waveserver planned- CPL Removal project</text>
  </threadedComment>
  <threadedComment ref="S25" dT="2023-11-06T10:11:10.23" personId="{A4663B00-DB85-420B-AE65-1E515148FDF2}" id="{22EF21B3-830E-425B-A46E-827FAE5D61B2}">
    <text>RLS &amp; Waveserver planned- CPL Removal project</text>
  </threadedComment>
  <threadedComment ref="U25" dT="2023-12-06T13:08:18.81" personId="{4232887B-6F74-4501-885D-8735C5662726}" id="{C51829CF-2DB7-4B2F-A75B-F9CEEFBEABDA}">
    <text>IGW(3.5KW) into L06-ORMT_SAP_231011_4_10335416</text>
  </threadedComment>
  <threadedComment ref="J29" dT="2021-09-28T13:18:24.67" personId="{D8912DD3-55B7-46D0-93D3-924365CA7385}" id="{7D8060D4-C467-4E6C-8132-FEDB9D63C26E}">
    <text>Live reading of 6.3kW, so original 8kW reduced</text>
  </threadedComment>
  <threadedComment ref="J29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29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29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29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29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29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L29" dT="2022-05-26T11:58:20.91" personId="{BC55F889-AFD3-4AD4-B814-0EDFA8411758}" id="{734BAB72-CC61-4747-8AC7-DCF361CA4A94}">
    <text>5kW allocation reduced due to live reading of 2.5kW</text>
  </threadedComment>
  <threadedComment ref="L29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29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29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29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29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29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N29" dT="2023-07-11T11:32:40.42" personId="{F6E7EC2D-8E6E-4BA1-BCDD-6D7FECF08119}" id="{1B8DD785-9F62-4677-AC96-32252DA825D2}">
    <text>1kW allocation reduced due to live reading of 0.1KW</text>
  </threadedComment>
  <threadedComment ref="N29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29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29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29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29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P29" dT="2023-01-12T13:50:35.77" personId="{BC55F889-AFD3-4AD4-B814-0EDFA8411758}" id="{623E1EB1-37EC-4D08-B630-481C6A6010CC}">
    <text>Live reading of 17.4A so original 4.5kW reduced by 950w</text>
  </threadedComment>
  <threadedComment ref="P29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29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29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29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29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29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29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R29" dT="2023-01-12T13:52:27.67" personId="{BC55F889-AFD3-4AD4-B814-0EDFA8411758}" id="{CEAB51EB-54C0-45D8-9C84-A96C218CA05E}">
    <text>Live reading of 34.4A so original 4kW reduced by 1.9kW</text>
  </threadedComment>
  <threadedComment ref="R29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29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29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29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29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29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T29" dT="2022-05-26T11:59:35.18" personId="{BC55F889-AFD3-4AD4-B814-0EDFA8411758}" id="{F6979837-93B2-4183-8428-01C2AF9307B9}">
    <text>4kW allocation reduced due to live reading of 1kW</text>
  </threadedComment>
  <threadedComment ref="T29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29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29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29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29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29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V29" dT="2022-01-28T13:42:36.84" personId="{ABF5BCE6-B512-42E2-8B64-A070C9ED38DE}" id="{66455130-CC7B-4C55-9A78-759E0DF3B0C0}">
    <text>John Womersley. provisional allocation for end of life load</text>
  </threadedComment>
  <threadedComment ref="V29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29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29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29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J30" dT="2021-09-28T13:18:24.67" personId="{D8912DD3-55B7-46D0-93D3-924365CA7385}" id="{2F800565-B49A-4221-B077-4E9304CDEC65}">
    <text>Live reading of 6.3kW, so original 8kW reduced</text>
  </threadedComment>
  <threadedComment ref="J30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0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0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0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0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0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L30" dT="2022-05-26T11:58:20.91" personId="{BC55F889-AFD3-4AD4-B814-0EDFA8411758}" id="{6FAA4268-7179-4F43-8CCE-54CCD570AC88}">
    <text>5kW allocation reduced due to live reading of 2.5kW</text>
  </threadedComment>
  <threadedComment ref="L30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0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0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0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0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0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N30" dT="2023-06-08T07:58:27.81" personId="{7807B229-714C-4AA1-8F83-E7F46ACB7D83}" id="{4C25BBF1-ED67-45A1-9768-79FD8FE54D18}">
    <text>Live reading of .07 KW so original 1kW</text>
  </threadedComment>
  <threadedComment ref="P30" dT="2023-01-12T13:50:35.77" personId="{BC55F889-AFD3-4AD4-B814-0EDFA8411758}" id="{18396993-B9F6-440A-BADB-001BF249AA3F}">
    <text>Live reading of 17.4A so original 4.5kW reduced by 950w</text>
  </threadedComment>
  <threadedComment ref="P30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0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0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0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0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0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0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R30" dT="2023-01-12T13:52:27.67" personId="{BC55F889-AFD3-4AD4-B814-0EDFA8411758}" id="{716D6787-1278-4A36-9CBC-AAC5A33A1135}">
    <text>Live reading of 34.4A so original 4kW reduced by 1.9kW</text>
  </threadedComment>
  <threadedComment ref="R30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0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0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0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0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0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T30" dT="2022-05-26T11:59:35.18" personId="{BC55F889-AFD3-4AD4-B814-0EDFA8411758}" id="{0CCF1512-389B-490E-A65F-3A7BB37077D0}">
    <text>4kW allocation reduced due to live reading of 1kW</text>
  </threadedComment>
  <threadedComment ref="T30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0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0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0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0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0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V30" dT="2022-01-28T13:42:36.84" personId="{ABF5BCE6-B512-42E2-8B64-A070C9ED38DE}" id="{6AFD527B-C6C2-4F98-AF53-81DC1F3EFF76}">
    <text>John Womersley. provisional allocation for end of life load</text>
  </threadedComment>
  <threadedComment ref="V30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0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0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0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J31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6" dT="2022-06-23T10:41:41.82" personId="{A2EEB511-B106-4ABB-A0A9-198E22579A21}" id="{A2F2FFAB-3471-4BC6-9614-421BAC7FB5F8}">
    <text>Incase of fault scenario - 19kW max draw from single system</text>
  </threadedComment>
  <threadedComment ref="J37" dT="2022-06-23T10:41:41.82" personId="{A2EEB511-B106-4ABB-A0A9-198E22579A21}" id="{A3E14736-5716-4778-8FB5-366F925BBCAA}">
    <text>Incase of fault scenario - 19kW max draw from single system</text>
  </threadedComment>
  <threadedComment ref="J38" dT="2023-01-12T14:17:39.21" personId="{BC55F889-AFD3-4AD4-B814-0EDFA8411758}" id="{AAF163C0-28A8-43CE-96FF-B08C04C50F9E}">
    <text>Live reading 74A, so 38kW allocation reduced by 4kW</text>
  </threadedComment>
  <threadedComment ref="J38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8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8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8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L38" dT="2023-04-03T11:55:05.93" personId="{BC55F889-AFD3-4AD4-B814-0EDFA8411758}" id="{0AD3ACBC-D6B8-44E1-858E-6B3F9085D8CC}">
    <text>Live reading 249A, so allocation of 67kW reduced to 53.43kW</text>
  </threadedComment>
  <threadedComment ref="L38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8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N38" personId="{31CF382B-C4A6-482E-AE04-28CACDB6A63A}" id="{1C680FCD-CFF5-4B59-9491-3CB89440CCA4}">
    <text>Was 5kW, live reading of 2.5kW so reduced</text>
  </threadedComment>
  <threadedComment ref="N38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8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P38" personId="{31CF382B-C4A6-482E-AE04-28CACDB6A63A}" id="{34CA145A-A04B-4B65-AE50-E53C91E969BE}">
    <text>Was 8kW, live reading of 6kW so reduced.</text>
  </threadedComment>
  <threadedComment ref="P38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8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R38" dT="2023-01-12T13:57:06.11" personId="{BC55F889-AFD3-4AD4-B814-0EDFA8411758}" id="{2E62CA02-6F17-4F05-BDA7-382839C5B163}">
    <text>Live reading 50A, so 4kW allocation reduced by 2.7kW</text>
  </threadedComment>
  <threadedComment ref="R38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8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T38" dT="2023-01-12T13:57:56.72" personId="{BC55F889-AFD3-4AD4-B814-0EDFA8411758}" id="{00C749D7-58E7-493E-839D-806910D877B6}">
    <text>Live reading 43.5A, so 4kW allocation reduced by 2.4kW</text>
  </threadedComment>
  <threadedComment ref="T38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8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V38" dT="2023-01-12T13:59:21.37" personId="{BC55F889-AFD3-4AD4-B814-0EDFA8411758}" id="{38702FA8-0F84-4EFB-848C-A5CE71AB178D}">
    <text>Live reading 20A, so 4kW allocation reduced by 1.1kW</text>
  </threadedComment>
  <threadedComment ref="V38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8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X38" dT="2023-01-12T14:11:24.95" personId="{BC55F889-AFD3-4AD4-B814-0EDFA8411758}" id="{EF4B79AF-569F-48B8-A4F8-DFCD1BC3DFDA}">
    <text>Live reading 64A, so 4.75kW allocation reduced by 3.5kW</text>
  </threadedComment>
  <threadedComment ref="X38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8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Z38" dT="2023-01-12T14:11:24.95" personId="{BC55F889-AFD3-4AD4-B814-0EDFA8411758}" id="{4FC8D574-6208-4DD0-92ED-7AA22946BCA1}">
    <text>Live reading 64A, so 4.75kW allocation reduced by 3.5kW</text>
  </threadedComment>
  <threadedComment ref="Z38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8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AB38" dT="2023-01-12T14:04:12.09" personId="{BC55F889-AFD3-4AD4-B814-0EDFA8411758}" id="{0E04530A-D39A-44E7-8FEC-DF8C28740CA2}">
    <text>Live reading 60A, so 6kW allocation reduced by 3.2kW</text>
  </threadedComment>
  <threadedComment ref="AB38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8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D38" dT="2023-01-12T14:02:07.29" personId="{BC55F889-AFD3-4AD4-B814-0EDFA8411758}" id="{6D845D93-7317-46D9-ACBD-8F7BDA9E7F44}">
    <text>Live reading 101A, so 6.5kW allocation reduced by 5.5kW</text>
  </threadedComment>
  <threadedComment ref="AD38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8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F38" dT="2023-11-02T13:44:19.03" personId="{F6E7EC2D-8E6E-4BA1-BCDD-6D7FECF08119}" id="{6EFEBB33-3B9B-49DA-8F02-351FB5706FA9}">
    <text>4kW allocation reduced due to live reading of 1.2kW</text>
  </threadedComment>
  <threadedComment ref="AF38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N38" dT="2023-11-03T11:54:12.10" personId="{F6E7EC2D-8E6E-4BA1-BCDD-6D7FECF08119}" id="{22AA85B4-BC5D-4220-9004-D5978E67DDD9}">
    <text>14.2kW allocation reduced due to live reading of 2kW</text>
  </threadedComment>
  <threadedComment ref="AN38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P38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8" dT="2023-11-12T18:07:50.38" personId="{F6E7EC2D-8E6E-4BA1-BCDD-6D7FECF08119}" id="{3CDE350D-AADF-40E5-A33C-2CBE733FD82B}">
    <text>Allocated under ORMT_SAP_231109_20_10335416</text>
  </threadedComment>
  <threadedComment ref="J39" dT="2023-01-12T14:17:39.21" personId="{BC55F889-AFD3-4AD4-B814-0EDFA8411758}" id="{0CB9CDBC-2E3C-4683-AD6A-3E60E6BCE4AC}">
    <text>Live reading 74A, so 38kW allocation reduced by 4kW</text>
  </threadedComment>
  <threadedComment ref="J39" dT="2023-07-13T13:53:04.87" personId="{4232887B-6F74-4501-885D-8735C5662726}" id="{9CDE872D-A1EF-47D3-82A7-754C42B58C8D}" parentId="{0CB9CDBC-2E3C-4683-AD6A-3E60E6BCE4AC}">
    <text>19kW allocation reduced due to live reading of 2.6kW</text>
  </threadedComment>
  <threadedComment ref="J39" dT="2023-09-08T11:01:11.05" personId="{F6E7EC2D-8E6E-4BA1-BCDD-6D7FECF08119}" id="{620BF2D9-1E7D-49B5-972F-475DD369DB05}" parentId="{0CB9CDBC-2E3C-4683-AD6A-3E60E6BCE4AC}">
    <text>19kW allocation reduced due to live reading of 1.5kW</text>
  </threadedComment>
  <threadedComment ref="J39" dT="2023-11-02T13:27:28.37" personId="{F6E7EC2D-8E6E-4BA1-BCDD-6D7FECF08119}" id="{BABE260F-D5A2-46BD-9577-0EC96668636C}" parentId="{0CB9CDBC-2E3C-4683-AD6A-3E60E6BCE4AC}">
    <text>19kW allocation reduced due to live reading of 1.6kW</text>
  </threadedComment>
  <threadedComment ref="J39" dT="2023-12-12T12:22:08.85" personId="{F6E7EC2D-8E6E-4BA1-BCDD-6D7FECF08119}" id="{C7F823AA-E39E-4C48-91FA-6FDA2A0E6836}" parentId="{0CB9CDBC-2E3C-4683-AD6A-3E60E6BCE4AC}">
    <text>38kW allocation reduced due to live reading of 1.8kW</text>
  </threadedComment>
  <threadedComment ref="L39" dT="2023-04-03T11:55:05.93" personId="{BC55F889-AFD3-4AD4-B814-0EDFA8411758}" id="{990B15E6-F8D6-4DF2-A2E9-30D7E69F0363}">
    <text>Live reading 249A, so allocation of 67kW reduced to 53.43kW</text>
  </threadedComment>
  <threadedComment ref="L39" dT="2023-11-02T10:33:36.84" personId="{F6E7EC2D-8E6E-4BA1-BCDD-6D7FECF08119}" id="{C9BA85BC-903B-488E-A058-6EB71ED322D9}" parentId="{990B15E6-F8D6-4DF2-A2E9-30D7E69F0363}">
    <text>67kW allocation reduced due to live reading of 12.6kW</text>
  </threadedComment>
  <threadedComment ref="L39" dT="2023-12-12T11:36:42.76" personId="{F6E7EC2D-8E6E-4BA1-BCDD-6D7FECF08119}" id="{CC386BE2-BB85-4F14-9DAB-E99E4FE6873C}" parentId="{990B15E6-F8D6-4DF2-A2E9-30D7E69F0363}">
    <text>67kW allocation reduced due to live reading of 14kW</text>
  </threadedComment>
  <threadedComment ref="N39" personId="{31CF382B-C4A6-482E-AE04-28CACDB6A63A}" id="{9C92A76F-B194-495D-AA2F-CDD07A35E395}">
    <text>Was 5kW, live reading of 2.5kW so reduced</text>
  </threadedComment>
  <threadedComment ref="N39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39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P39" personId="{31CF382B-C4A6-482E-AE04-28CACDB6A63A}" id="{B6A8439F-99E2-4DAC-B939-2B83A8EA23D2}">
    <text>Was 8kW, live reading of 6kW so reduced.</text>
  </threadedComment>
  <threadedComment ref="R39" dT="2023-01-12T13:57:06.11" personId="{BC55F889-AFD3-4AD4-B814-0EDFA8411758}" id="{C6C790BE-5A4D-4C52-B197-B8531D3A335D}">
    <text>Live reading 50A, so 4kW allocation reduced by 2.7kW</text>
  </threadedComment>
  <threadedComment ref="R39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T39" dT="2023-01-12T13:57:56.72" personId="{BC55F889-AFD3-4AD4-B814-0EDFA8411758}" id="{357209B6-6C66-41C7-83AC-681648F882C2}">
    <text>Live reading 43.5A, so 4kW allocation reduced by 2.4kW</text>
  </threadedComment>
  <threadedComment ref="T39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39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V39" dT="2023-01-12T13:59:21.37" personId="{BC55F889-AFD3-4AD4-B814-0EDFA8411758}" id="{27D6CE06-5932-4526-A623-CF70835C03B7}">
    <text>Live reading 20A, so 4kW allocation reduced by 1.1kW</text>
  </threadedComment>
  <threadedComment ref="V39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39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X39" dT="2023-01-12T14:11:24.95" personId="{BC55F889-AFD3-4AD4-B814-0EDFA8411758}" id="{15BEA44F-4FB1-4EC2-A073-12324C0E6919}">
    <text>Live reading 64A, so 4.75kW allocation reduced by 3.5kW</text>
  </threadedComment>
  <threadedComment ref="X39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Z39" dT="2023-01-12T14:11:24.95" personId="{BC55F889-AFD3-4AD4-B814-0EDFA8411758}" id="{2328735B-C0DC-4E5A-A39A-1C51A9CA1903}">
    <text>Live reading 64A, so 4.75kW allocation reduced by 3.5kW</text>
  </threadedComment>
  <threadedComment ref="Z39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39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AB39" dT="2023-01-12T14:04:12.09" personId="{BC55F889-AFD3-4AD4-B814-0EDFA8411758}" id="{5DE34FEC-9ED0-4660-8D31-416BE6491EF8}">
    <text>Live reading 60A, so 6kW allocation reduced by 3.2kW</text>
  </threadedComment>
  <threadedComment ref="AB39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39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D39" dT="2023-01-12T14:02:07.29" personId="{BC55F889-AFD3-4AD4-B814-0EDFA8411758}" id="{BA3843D2-8DB5-474A-8A7C-CEFEA860A60A}">
    <text>Live reading 101A, so 6.5kW allocation reduced by 5.5kW</text>
  </threadedComment>
  <threadedComment ref="AD39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F39" dT="2023-11-02T13:44:19.03" personId="{F6E7EC2D-8E6E-4BA1-BCDD-6D7FECF08119}" id="{07705D21-F6A2-4CE4-B80D-ADB88F322DD1}">
    <text>4kW allocation reduced due to live reading of 1.2kW</text>
  </threadedComment>
  <threadedComment ref="AF39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N39" dT="2023-11-03T11:54:12.10" personId="{F6E7EC2D-8E6E-4BA1-BCDD-6D7FECF08119}" id="{643BD6BE-2309-4128-87B4-ED79D6DE5129}">
    <text>14.2kW allocation reduced due to live reading of 2kW</text>
  </threadedComment>
  <threadedComment ref="AN39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P39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1DD6DA1A-ED11-4C31-BB28-D77457AD9E33}">
    <text>Allocated under ORMT_SAP_231109_20_10335416</text>
  </threadedComment>
  <threadedComment ref="G47" dT="2021-10-04T11:04:57.79" personId="{BC55F889-AFD3-4AD4-B814-0EDFA8411758}" id="{B5BEB0A1-8A2A-4C80-B741-1459AE2A52F6}">
    <text>BSHn08 iPDUs across Sys 1 and 2 so loads split</text>
  </threadedComment>
  <threadedComment ref="J47" personId="{31CF382B-C4A6-482E-AE04-28CACDB6A63A}" id="{07A796CA-0862-4234-B34B-E9ECA44D9E75}">
    <text>Was 5kw, live reading of 2.5kW so reduced down</text>
  </threadedComment>
  <threadedComment ref="J47" dT="2023-07-12T06:03:17.31" personId="{F6E7EC2D-8E6E-4BA1-BCDD-6D7FECF08119}" id="{A07DF7B5-F3FE-4470-B128-3A835D0C4DE7}" parentId="{07A796CA-0862-4234-B34B-E9ECA44D9E75}">
    <text>2.5kW allocation reduced due to live reading of 1.2KW</text>
  </threadedComment>
  <threadedComment ref="J47" dT="2023-08-01T13:22:25.67" personId="{4232887B-6F74-4501-885D-8735C5662726}" id="{0936FA95-FEBA-45A1-BBAC-7367C127F478}" parentId="{07A796CA-0862-4234-B34B-E9ECA44D9E75}">
    <text>2.5kW allocation reduced due to live reading of 1.3kW</text>
  </threadedComment>
  <threadedComment ref="J47" dT="2023-09-04T15:52:04.17" personId="{4232887B-6F74-4501-885D-8735C5662726}" id="{760286C0-BBBA-4B24-93BF-55F36F69BF63}" parentId="{07A796CA-0862-4234-B34B-E9ECA44D9E75}">
    <text>2.5kW allocation reduced due to live reading of 1.3kW</text>
  </threadedComment>
  <threadedComment ref="J47" dT="2023-10-23T11:28:52.38" personId="{F6E7EC2D-8E6E-4BA1-BCDD-6D7FECF08119}" id="{EEC48EE9-C1B5-4470-ACD9-43D991B557A8}" parentId="{07A796CA-0862-4234-B34B-E9ECA44D9E75}">
    <text>2.5kW allocation reduced due to live reading of 0.8kW</text>
  </threadedComment>
  <threadedComment ref="J47" dT="2023-11-13T10:53:25.96" personId="{4232887B-6F74-4501-885D-8735C5662726}" id="{1F2D6B69-8F5E-4762-A71B-C8109FFC3746}" parentId="{07A796CA-0862-4234-B34B-E9ECA44D9E75}">
    <text>2.5kW allocation reduced due to live reading of 1kW</text>
  </threadedComment>
  <threadedComment ref="J47" dT="2023-12-18T11:59:44.80" personId="{4232887B-6F74-4501-885D-8735C5662726}" id="{82493B4C-A72A-469E-B35F-224420A49B95}" parentId="{07A796CA-0862-4234-B34B-E9ECA44D9E75}">
    <text>2.5kW allocation reduced due to live reading of 1.1kW</text>
  </threadedComment>
  <threadedComment ref="L47" personId="{31CF382B-C4A6-482E-AE04-28CACDB6A63A}" id="{91C84CA5-BEEC-4C94-A9BD-4232BE012156}">
    <text>Was 8Kw, live reading of 6kW, so reduced down</text>
  </threadedComment>
  <threadedComment ref="L47" dT="2023-07-12T06:06:21.34" personId="{F6E7EC2D-8E6E-4BA1-BCDD-6D7FECF08119}" id="{7C045EE0-C420-4F2B-94BF-4C8E02D09B76}" parentId="{91C84CA5-BEEC-4C94-A9BD-4232BE012156}">
    <text>4kW allocation reduced due to live reading of 3.7KW</text>
  </threadedComment>
  <threadedComment ref="L47" dT="2023-08-01T13:25:30.48" personId="{4232887B-6F74-4501-885D-8735C5662726}" id="{28E6CBAC-46AB-4C11-8553-56866418B217}" parentId="{91C84CA5-BEEC-4C94-A9BD-4232BE012156}">
    <text>4kW allocation reduced due to live reading of 3.7kW</text>
  </threadedComment>
  <threadedComment ref="L47" dT="2023-09-04T15:55:15.54" personId="{4232887B-6F74-4501-885D-8735C5662726}" id="{49D4C93E-0ED9-4FF5-B930-1FC91042E114}" parentId="{91C84CA5-BEEC-4C94-A9BD-4232BE012156}">
    <text>4kW allocation reduced due to live reading of 3.7kW</text>
  </threadedComment>
  <threadedComment ref="L47" dT="2023-10-23T11:31:41.29" personId="{F6E7EC2D-8E6E-4BA1-BCDD-6D7FECF08119}" id="{690D1AD3-30CD-482F-88E5-52A24530C708}" parentId="{91C84CA5-BEEC-4C94-A9BD-4232BE012156}">
    <text>4kW allocation reduced due to live reading of 3.7kW</text>
  </threadedComment>
  <threadedComment ref="L47" dT="2023-11-13T10:56:03.63" personId="{4232887B-6F74-4501-885D-8735C5662726}" id="{F3CB8D1E-73F6-4F62-8F7B-F2AAC600F85B}" parentId="{91C84CA5-BEEC-4C94-A9BD-4232BE012156}">
    <text>4kW allocation reduced due to live reading of 3.7kW</text>
  </threadedComment>
  <threadedComment ref="L47" dT="2023-12-18T12:02:04.30" personId="{4232887B-6F74-4501-885D-8735C5662726}" id="{28A851D9-44E5-4BF0-99AD-CB8CDA592FCD}" parentId="{91C84CA5-BEEC-4C94-A9BD-4232BE012156}">
    <text>4kW allocation reduced due to live reading of 3.7kW</text>
  </threadedComment>
  <threadedComment ref="N47" dT="2022-05-26T12:07:07.37" personId="{BC55F889-AFD3-4AD4-B814-0EDFA8411758}" id="{503A04E3-26B7-4853-ACF8-37E402CF1A6E}">
    <text>Total 4kW allocation reduced due to live reading of 1kW</text>
  </threadedComment>
  <threadedComment ref="N47" dT="2023-07-12T06:17:50.74" personId="{F6E7EC2D-8E6E-4BA1-BCDD-6D7FECF08119}" id="{5D560B31-6335-4B91-A68E-A3D3233AB27E}" parentId="{503A04E3-26B7-4853-ACF8-37E402CF1A6E}">
    <text>2kW allocation reduced due to live reading of 0.4KW</text>
  </threadedComment>
  <threadedComment ref="N47" dT="2023-08-01T13:28:21.12" personId="{4232887B-6F74-4501-885D-8735C5662726}" id="{DD504293-C026-4A15-B7E9-C314E9069BC3}" parentId="{503A04E3-26B7-4853-ACF8-37E402CF1A6E}">
    <text>2kW allocation reduced due to live reading of 0.4kW</text>
  </threadedComment>
  <threadedComment ref="N47" dT="2023-09-04T16:01:57.48" personId="{4232887B-6F74-4501-885D-8735C5662726}" id="{BFDC59D1-C434-4E2C-BCF6-D65CC846B697}" parentId="{503A04E3-26B7-4853-ACF8-37E402CF1A6E}">
    <text>2kW allocation reduced due to live reading of 0.4kW</text>
  </threadedComment>
  <threadedComment ref="N47" dT="2023-10-23T11:36:04.80" personId="{F6E7EC2D-8E6E-4BA1-BCDD-6D7FECF08119}" id="{21601E45-1809-4056-9997-7ABB76CE2E71}" parentId="{503A04E3-26B7-4853-ACF8-37E402CF1A6E}">
    <text>2kW allocation reduced due to live reading of 0.4kW</text>
  </threadedComment>
  <threadedComment ref="N47" dT="2023-11-13T11:17:06.29" personId="{4232887B-6F74-4501-885D-8735C5662726}" id="{DE59681B-1741-40EF-A375-E741D24C69AC}" parentId="{503A04E3-26B7-4853-ACF8-37E402CF1A6E}">
    <text>2kW allocation reduced due to live reading of 0.4kW</text>
  </threadedComment>
  <threadedComment ref="N47" dT="2023-12-18T12:05:35.28" personId="{4232887B-6F74-4501-885D-8735C5662726}" id="{6061673C-4DBC-4216-9B23-69E9EAF64327}" parentId="{503A04E3-26B7-4853-ACF8-37E402CF1A6E}">
    <text>2kW allocation reduced due to live reading of 0.4kW</text>
  </threadedComment>
  <threadedComment ref="P47" dT="2022-05-26T12:08:00.30" personId="{BC55F889-AFD3-4AD4-B814-0EDFA8411758}" id="{01FA2568-BE12-483B-972C-D8232BF074A9}">
    <text>Total 4kW allocation reduced due to live reading of 700W</text>
  </threadedComment>
  <threadedComment ref="P47" dT="2023-07-12T06:19:54.87" personId="{F6E7EC2D-8E6E-4BA1-BCDD-6D7FECF08119}" id="{E9CF5B25-6E75-4741-9BD1-9F28C669F9A7}" parentId="{01FA2568-BE12-483B-972C-D8232BF074A9}">
    <text>2kW allocation reduced due to live reading of 0.5KW</text>
  </threadedComment>
  <threadedComment ref="P47" dT="2023-08-01T13:30:48.15" personId="{4232887B-6F74-4501-885D-8735C5662726}" id="{0BDE9D1E-060B-4DB9-9FC0-08462D2F51F6}" parentId="{01FA2568-BE12-483B-972C-D8232BF074A9}">
    <text>2kW allocation reduced due to live reading of 0.5kW</text>
  </threadedComment>
  <threadedComment ref="P47" dT="2023-09-04T16:02:47.66" personId="{4232887B-6F74-4501-885D-8735C5662726}" id="{24322C12-DE45-4486-93A4-36A3A166E6BA}" parentId="{01FA2568-BE12-483B-972C-D8232BF074A9}">
    <text>2kW allocation reduced due to live reading of 0.5kW</text>
  </threadedComment>
  <threadedComment ref="P47" dT="2023-10-23T11:37:19.46" personId="{F6E7EC2D-8E6E-4BA1-BCDD-6D7FECF08119}" id="{15F4B110-4C5C-4130-869E-1A9E6C5BD7D3}" parentId="{01FA2568-BE12-483B-972C-D8232BF074A9}">
    <text>2kW allocation reduced due to live reading of 0.5kW</text>
  </threadedComment>
  <threadedComment ref="P47" dT="2023-11-13T11:18:19.58" personId="{4232887B-6F74-4501-885D-8735C5662726}" id="{BF73D5EF-B7DC-466C-9C1C-2D349677D0CB}" parentId="{01FA2568-BE12-483B-972C-D8232BF074A9}">
    <text>2kW allocation reduced due to live reading of 0.5kW</text>
  </threadedComment>
  <threadedComment ref="P47" dT="2023-12-18T12:06:37.38" personId="{4232887B-6F74-4501-885D-8735C5662726}" id="{247284AC-CC5D-47D2-AC1D-CC5ADD8659E9}" parentId="{01FA2568-BE12-483B-972C-D8232BF074A9}">
    <text>2kW allocation reduced due to live reading of 0.5kW</text>
  </threadedComment>
  <threadedComment ref="R47" dT="2022-05-26T12:08:00.30" personId="{BC55F889-AFD3-4AD4-B814-0EDFA8411758}" id="{E1724549-2316-44C1-BA6F-40254D6B6A03}">
    <text>Total 4kW allocation reduced due to live reading of 700W</text>
  </threadedComment>
  <threadedComment ref="R47" dT="2023-07-12T06:21:48.59" personId="{F6E7EC2D-8E6E-4BA1-BCDD-6D7FECF08119}" id="{44A1859E-3F63-46CE-B17C-B778062125BD}" parentId="{E1724549-2316-44C1-BA6F-40254D6B6A03}">
    <text>2kW allocation reduced due to live reading of 0.7KW</text>
  </threadedComment>
  <threadedComment ref="R47" dT="2023-08-01T13:32:37.02" personId="{4232887B-6F74-4501-885D-8735C5662726}" id="{E2D2B0F9-E19C-49F3-92BE-0450673953C0}" parentId="{E1724549-2316-44C1-BA6F-40254D6B6A03}">
    <text>2kW allocation reduced due to live reading of 0.7kW</text>
  </threadedComment>
  <threadedComment ref="R47" dT="2023-09-04T16:03:44.01" personId="{4232887B-6F74-4501-885D-8735C5662726}" id="{67A7CAC0-A384-468B-84BB-26ECB88A7129}" parentId="{E1724549-2316-44C1-BA6F-40254D6B6A03}">
    <text>2kW allocation reduced due to live reading of 0.7kW</text>
  </threadedComment>
  <threadedComment ref="R47" dT="2023-10-23T11:39:26.32" personId="{F6E7EC2D-8E6E-4BA1-BCDD-6D7FECF08119}" id="{D25756E3-3FCC-4BB9-A925-FFC9BAF2265B}" parentId="{E1724549-2316-44C1-BA6F-40254D6B6A03}">
    <text>2kW allocation reduced due to live reading of 0.6kW</text>
  </threadedComment>
  <threadedComment ref="R47" dT="2023-11-13T11:19:39.47" personId="{4232887B-6F74-4501-885D-8735C5662726}" id="{CD95C3FF-1784-4EB0-936D-C65CC59D7065}" parentId="{E1724549-2316-44C1-BA6F-40254D6B6A03}">
    <text>2kW allocation reduced due to live reading of 0.7kW</text>
  </threadedComment>
  <threadedComment ref="R47" dT="2023-12-18T12:35:02.56" personId="{4232887B-6F74-4501-885D-8735C5662726}" id="{96D6BF19-8520-4E78-9EF6-871193D43C59}" parentId="{E1724549-2316-44C1-BA6F-40254D6B6A03}">
    <text>2kW allocation reduced due to live reading of 0.7kW</text>
  </threadedComment>
  <threadedComment ref="T47" dT="2022-05-26T12:08:00.30" personId="{BC55F889-AFD3-4AD4-B814-0EDFA8411758}" id="{78A0231D-6F82-4379-A9F9-7F53DC32404A}">
    <text>Total 4kW allocation reduced due to live reading of 700W</text>
  </threadedComment>
  <threadedComment ref="T47" dT="2023-07-12T06:24:18.56" personId="{F6E7EC2D-8E6E-4BA1-BCDD-6D7FECF08119}" id="{98A213FC-6541-47A0-9C59-AE9766D83A57}" parentId="{78A0231D-6F82-4379-A9F9-7F53DC32404A}">
    <text>2kW allocation reduced due to live reading of 0.3KW</text>
  </threadedComment>
  <threadedComment ref="T47" dT="2023-08-01T13:34:54.04" personId="{4232887B-6F74-4501-885D-8735C5662726}" id="{1B79744F-5BEC-4500-8226-458C9BB34E81}" parentId="{78A0231D-6F82-4379-A9F9-7F53DC32404A}">
    <text>2kW allocation reduced due to live reading of 0.4kW</text>
  </threadedComment>
  <threadedComment ref="T47" dT="2023-09-04T16:04:33.76" personId="{4232887B-6F74-4501-885D-8735C5662726}" id="{B726CEC9-E3CA-456A-928D-D0EF478D72D3}" parentId="{78A0231D-6F82-4379-A9F9-7F53DC32404A}">
    <text>2kW allocation reduced due to live reading of 0.4kW</text>
  </threadedComment>
  <threadedComment ref="T47" dT="2023-10-23T11:41:03.70" personId="{F6E7EC2D-8E6E-4BA1-BCDD-6D7FECF08119}" id="{06E88285-D2D0-4E10-BB1D-70DA39E61694}" parentId="{78A0231D-6F82-4379-A9F9-7F53DC32404A}">
    <text>2kW allocation reduced due to live reading of 0.5kW</text>
  </threadedComment>
  <threadedComment ref="T47" dT="2023-11-13T12:26:37.88" personId="{4232887B-6F74-4501-885D-8735C5662726}" id="{E7AE5165-2CBE-45D5-9EC4-70F19D54F26C}" parentId="{78A0231D-6F82-4379-A9F9-7F53DC32404A}">
    <text>2kW allocation reduced due to live reading of 0.5kW</text>
  </threadedComment>
  <threadedComment ref="T47" dT="2023-12-18T12:36:07.44" personId="{4232887B-6F74-4501-885D-8735C5662726}" id="{95ED680F-98FE-4741-80F9-746C9DABFA9D}" parentId="{78A0231D-6F82-4379-A9F9-7F53DC32404A}">
    <text>2kW allocation reduced due to live reading of 0.5kW</text>
  </threadedComment>
  <threadedComment ref="V47" dT="2023-07-12T06:59:03.11" personId="{F6E7EC2D-8E6E-4BA1-BCDD-6D7FECF08119}" id="{B1923DE8-1AFB-42A0-8BCB-B8672E8C8E8D}">
    <text>1kW allocation reduced due to live reading of 0.3KW</text>
  </threadedComment>
  <threadedComment ref="V47" dT="2023-08-01T15:01:42.32" personId="{4232887B-6F74-4501-885D-8735C5662726}" id="{F21C80E7-0861-41E6-AF2A-8996B31977BF}" parentId="{B1923DE8-1AFB-42A0-8BCB-B8672E8C8E8D}">
    <text>1kW allocation reduced due to live reading of 0.3kW</text>
  </threadedComment>
  <threadedComment ref="V47" dT="2023-09-06T16:02:30.09" personId="{4232887B-6F74-4501-885D-8735C5662726}" id="{30A32FF4-876F-4424-ABA7-03E2915C08BA}" parentId="{B1923DE8-1AFB-42A0-8BCB-B8672E8C8E8D}">
    <text>1kW allocation reduced due to live reading of 0.3kW</text>
  </threadedComment>
  <threadedComment ref="V47" dT="2023-12-19T11:04:16.76" personId="{4232887B-6F74-4501-885D-8735C5662726}" id="{E71FCCD8-3026-4403-84A7-8E0A038079F0}" parentId="{B1923DE8-1AFB-42A0-8BCB-B8672E8C8E8D}">
    <text>1kW allocation reduced due to live reading of 0.3kW</text>
  </threadedComment>
  <threadedComment ref="X47" dT="2022-05-26T12:38:50.44" personId="{BC55F889-AFD3-4AD4-B814-0EDFA8411758}" id="{1DE26565-D892-4DA5-A617-7EA6D390CDC8}">
    <text>6kw allocation reduced due to live reading of 4kW</text>
  </threadedComment>
  <threadedComment ref="X47" dT="2023-07-12T06:43:54.82" personId="{F6E7EC2D-8E6E-4BA1-BCDD-6D7FECF08119}" id="{058DD65B-524C-49E3-AF66-CCD8E8E42976}" parentId="{1DE26565-D892-4DA5-A617-7EA6D390CDC8}">
    <text>3kW allocation reduced due to live reading of 1.8KW</text>
  </threadedComment>
  <threadedComment ref="X47" dT="2023-08-01T14:58:31.22" personId="{4232887B-6F74-4501-885D-8735C5662726}" id="{5AB694CB-31C1-4C1F-ADC8-E72093CAD1B5}" parentId="{1DE26565-D892-4DA5-A617-7EA6D390CDC8}">
    <text>3kW allocation reduced due to live reading of 1.8kW</text>
  </threadedComment>
  <threadedComment ref="X47" dT="2023-09-06T15:57:42.20" personId="{4232887B-6F74-4501-885D-8735C5662726}" id="{97D21D1C-3747-4261-A69F-686624AE87D4}" parentId="{1DE26565-D892-4DA5-A617-7EA6D390CDC8}">
    <text>3kW allocation reduced due to live reading of 1.8kW</text>
  </threadedComment>
  <threadedComment ref="X47" dT="2023-12-19T11:00:40.60" personId="{4232887B-6F74-4501-885D-8735C5662726}" id="{6F0E0004-E150-4646-9288-77E0A630A781}" parentId="{1DE26565-D892-4DA5-A617-7EA6D390CDC8}">
    <text>3kW allocation reduced due to live reading of 2kW</text>
  </threadedComment>
  <threadedComment ref="Z47" dT="2023-07-12T06:51:46.25" personId="{F6E7EC2D-8E6E-4BA1-BCDD-6D7FECF08119}" id="{3F28F63C-3C46-496C-93F3-F17311DA2CC4}">
    <text>2kW allocation reduced due to live reading of 0.9KW</text>
  </threadedComment>
  <threadedComment ref="Z47" dT="2023-08-01T15:00:19.16" personId="{4232887B-6F74-4501-885D-8735C5662726}" id="{3DAC882B-C3D9-41C6-880D-DBE5C63E03E4}" parentId="{3F28F63C-3C46-496C-93F3-F17311DA2CC4}">
    <text>2kW allocation reduced due to live reading of 0.9kW</text>
  </threadedComment>
  <threadedComment ref="Z47" dT="2023-09-06T16:01:16.81" personId="{4232887B-6F74-4501-885D-8735C5662726}" id="{7A35ECF9-9EB9-48DC-8710-EC3A25E66D6A}" parentId="{3F28F63C-3C46-496C-93F3-F17311DA2CC4}">
    <text>2kW allocation reduced due to live reading of 0.9kW</text>
  </threadedComment>
  <threadedComment ref="Z47" dT="2023-12-19T11:03:16.01" personId="{4232887B-6F74-4501-885D-8735C5662726}" id="{2D8B6F13-B3BF-4A83-BBCD-5E400911C489}" parentId="{3F28F63C-3C46-496C-93F3-F17311DA2CC4}">
    <text>2kW allocation reduced due to live reading of 0.9kW</text>
  </threadedComment>
  <threadedComment ref="AF47" dT="2022-06-21T09:52:00.28" personId="{A2EEB511-B106-4ABB-A0A9-198E22579A21}" id="{5F9B61CE-EAAF-463F-B157-4B3A97797112}">
    <text>2x N9K – 674W
1x ISR4331 – 42W
4x QB500 – 2414W</text>
  </threadedComment>
  <threadedComment ref="AH47" dT="2023-07-12T06:39:09.42" personId="{F6E7EC2D-8E6E-4BA1-BCDD-6D7FECF08119}" id="{39C19080-D308-4C50-9A2B-0413514E439F}">
    <text>4kW allocation reduced due to live reading of 2.9KW</text>
  </threadedComment>
  <threadedComment ref="AH47" dT="2023-08-01T14:55:37.00" personId="{4232887B-6F74-4501-885D-8735C5662726}" id="{3C7172D3-2584-4513-9D93-22DA2BC0D5F0}" parentId="{39C19080-D308-4C50-9A2B-0413514E439F}">
    <text>4kW allocation reduced due to live reading of 2.9kW</text>
  </threadedComment>
  <threadedComment ref="AH47" dT="2023-09-06T15:56:08.35" personId="{4232887B-6F74-4501-885D-8735C5662726}" id="{8B8C0D2D-3353-4BC6-9AC2-E0270B53DAD8}" parentId="{39C19080-D308-4C50-9A2B-0413514E439F}">
    <text>4kW allocation reduced due to live reading of 2.9kW</text>
  </threadedComment>
  <threadedComment ref="AH47" dT="2023-12-19T10:58:17.53" personId="{4232887B-6F74-4501-885D-8735C5662726}" id="{9F9FD138-AE97-4A3F-8F7E-77953F412648}" parentId="{39C19080-D308-4C50-9A2B-0413514E439F}">
    <text>4kW allocation reduced due to live reading of 2.9kW</text>
  </threadedComment>
  <threadedComment ref="AJ47" dT="2023-09-29T04:30:37.91" personId="{F6E7EC2D-8E6E-4BA1-BCDD-6D7FECF08119}" id="{69195F52-40F4-4159-9ABC-C693AFCA737B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47" dT="2023-12-18T12:03:40.78" personId="{4232887B-6F74-4501-885D-8735C5662726}" id="{761221DC-7BE9-4ADA-A22D-173C3DC87B35}" parentId="{69195F52-40F4-4159-9ABC-C693AFCA737B}">
    <text>2kW allocation reduced due to live reading of 1.4kW</text>
  </threadedComment>
  <threadedComment ref="AL47" dT="2023-07-12T06:09:26.85" personId="{F6E7EC2D-8E6E-4BA1-BCDD-6D7FECF08119}" id="{8D18B05B-A0C7-42EF-90B4-EE98A53ED411}">
    <text>0.5kW allocation reduced due to live reading of 0.1KW</text>
  </threadedComment>
  <threadedComment ref="J48" personId="{31CF382B-C4A6-482E-AE04-28CACDB6A63A}" id="{8C99A49F-8782-4256-BFAD-4627AB00E89F}">
    <text>Was 5kw, live reading of 2.5kW so reduced down</text>
  </threadedComment>
  <threadedComment ref="J48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8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8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8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8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8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L48" personId="{31CF382B-C4A6-482E-AE04-28CACDB6A63A}" id="{C14FFD09-919E-42A6-8545-320A26B79C30}">
    <text>Was 2Kw, live reading of 6kW, so reduced down</text>
  </threadedComment>
  <threadedComment ref="L48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8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8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8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8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8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N48" dT="2022-05-26T12:07:07.37" personId="{BC55F889-AFD3-4AD4-B814-0EDFA8411758}" id="{A7521DF4-68B0-4C32-B24B-BBA6F5DF8E95}">
    <text>Total 4kW allocation reduced due to live reading of 1kW</text>
  </threadedComment>
  <threadedComment ref="N48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8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8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8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8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8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P48" dT="2022-05-26T12:08:00.30" personId="{BC55F889-AFD3-4AD4-B814-0EDFA8411758}" id="{F014E83B-EE0A-496B-A992-EFC0E234A972}">
    <text>Total 4kW allocation reduced due to live reading of 700W</text>
  </threadedComment>
  <threadedComment ref="P48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8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8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8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8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8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R48" dT="2022-05-26T12:08:00.30" personId="{BC55F889-AFD3-4AD4-B814-0EDFA8411758}" id="{4656BABB-5C05-462E-BEE1-50BE54E1E275}">
    <text>Total 4kW allocation reduced due to live reading of 700W</text>
  </threadedComment>
  <threadedComment ref="R48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8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8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8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8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8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T48" dT="2022-05-26T12:08:00.30" personId="{BC55F889-AFD3-4AD4-B814-0EDFA8411758}" id="{56673078-DFE3-49D8-A9C2-4A00DD2C0BD0}">
    <text>Total 4kW allocation reduced due to live reading of 700W</text>
  </threadedComment>
  <threadedComment ref="T48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8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8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8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8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8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V48" dT="2023-07-12T06:59:03.11" personId="{F6E7EC2D-8E6E-4BA1-BCDD-6D7FECF08119}" id="{1A71BE2A-73CC-4792-880D-5C7B13F2C9E4}">
    <text>1kW allocation reduced due to live reading of 0.3KW</text>
  </threadedComment>
  <threadedComment ref="V48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8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8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8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X48" dT="2022-05-26T12:38:50.44" personId="{BC55F889-AFD3-4AD4-B814-0EDFA8411758}" id="{27FE6CB5-213B-49EC-8BF4-1AC62D799892}">
    <text>6kw allocation reduced due to live reading of 4kW</text>
  </threadedComment>
  <threadedComment ref="X48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8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8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8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8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8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Z48" dT="2023-07-12T06:51:46.25" personId="{F6E7EC2D-8E6E-4BA1-BCDD-6D7FECF08119}" id="{22A6C7F4-56BB-4BD5-AE21-C67EEFA4B7BC}">
    <text>2kW allocation reduced due to live reading of 0.9KW</text>
  </threadedComment>
  <threadedComment ref="Z48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8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8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8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8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AD48" dT="2023-11-13T12:50:37.94" personId="{4232887B-6F74-4501-885D-8735C5662726}" id="{AED84940-5C9C-483A-A066-396E15A17C09}">
    <text>2.5kW allocation reduced due to live reading of 0.3kW</text>
  </threadedComment>
  <threadedComment ref="AF48" dT="2022-06-21T09:52:00.28" personId="{A2EEB511-B106-4ABB-A0A9-198E22579A21}" id="{9D19F34B-BD70-49EB-BBD0-2B5FFDE0C68D}">
    <text>2x N9K – 674W
1x ISR4331 – 42W
4x QB500 – 2414W</text>
  </threadedComment>
  <threadedComment ref="AH48" dT="2023-07-12T06:41:28.36" personId="{F6E7EC2D-8E6E-4BA1-BCDD-6D7FECF08119}" id="{E42D9B39-9B6F-404A-A687-04587FF247F3}">
    <text>4kW allocation reduced due to live reading of 2.8KW</text>
  </threadedComment>
  <threadedComment ref="AH48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8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8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8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8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J48" dT="2023-09-29T04:30:49.83" personId="{F6E7EC2D-8E6E-4BA1-BCDD-6D7FECF08119}" id="{9989DD06-EAE6-47E6-9CB9-EBEB101FBDF9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48" dT="2023-11-13T11:14:56.68" personId="{4232887B-6F74-4501-885D-8735C5662726}" id="{6ED08833-DA2F-413D-93E7-9AB903EA1766}" parentId="{9989DD06-EAE6-47E6-9CB9-EBEB101FBDF9}">
    <text>2kW allocation reduced due to live reading of 1.4kW</text>
  </threadedComment>
  <threadedComment ref="AJ48" dT="2023-12-18T12:03:18.65" personId="{4232887B-6F74-4501-885D-8735C5662726}" id="{93E77956-5C61-4765-B075-F429414A7EB0}" parentId="{9989DD06-EAE6-47E6-9CB9-EBEB101FBDF9}">
    <text>2kW allocation reduced due to live reading of 1.4kW</text>
  </threadedComment>
  <threadedComment ref="AL48" dT="2023-06-08T09:14:40.59" personId="{7807B229-714C-4AA1-8F83-E7F46ACB7D83}" id="{54175C59-C6DB-43E8-BCFA-2592E06049C9}">
    <text>Live reading of .06 KW so original 1kW</text>
  </threadedComment>
  <threadedComment ref="AL48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8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8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N48" dT="2023-08-02T15:32:18.79" personId="{BFC1E846-99FF-44B5-92AE-66A4D353BDC7}" id="{0D67E864-725B-4B02-89B1-7275A51621DA}">
    <text>BSHN04 G08.  Load transfer from ground floor systems to take place later this year 2023. Loads currently fed from ground floor.</text>
  </threadedComment>
  <threadedComment ref="J49" dT="2023-01-12T17:28:05.49" personId="{BC55F889-AFD3-4AD4-B814-0EDFA8411758}" id="{3F298A34-89B4-4768-AECC-2245C2FFFB45}">
    <text>Live reading 40A, so 3kW allocation reduced by 2.2kW</text>
  </threadedComment>
  <threadedComment ref="L49" dT="2023-01-12T17:28:05.49" personId="{BC55F889-AFD3-4AD4-B814-0EDFA8411758}" id="{138D846F-ABBB-459D-9361-8E4B8DFD5130}">
    <text>Live reading 36A, so 3kW allocation reduced by 2kW</text>
  </threadedComment>
  <threadedComment ref="N50" dT="2023-08-01T15:43:36.37" personId="{ABF5BCE6-B512-42E2-8B64-A070C9ED38DE}" id="{ACE297BC-5B05-4D6B-8EB4-4AC6BFCC4D28}">
    <text>8.7kW Load transfer from ground floor systems to take place later this year 2023. Loads currently fed from ground floor.</text>
  </threadedComment>
  <threadedComment ref="P50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N51" dT="2023-08-01T15:43:46.44" personId="{ABF5BCE6-B512-42E2-8B64-A070C9ED38DE}" id="{7E1EA305-B226-410E-BEFA-E9952F98C7EE}">
    <text>8.7kW Load transfer from ground floor systems to take place later this year 2023. Loads currently fed from ground floor.</text>
  </threadedComment>
  <threadedComment ref="P51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J53" dT="2022-01-28T11:26:37.59" personId="{ABF5BCE6-B512-42E2-8B64-A070C9ED38DE}" id="{1E8AC428-D1A0-450F-94B7-22D82A07336B}">
    <text>Reduced from 5kW to 3kW based on figures for other RA's</text>
  </threadedComment>
  <threadedComment ref="J53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3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3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3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3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3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L53" personId="{31CF382B-C4A6-482E-AE04-28CACDB6A63A}" id="{E927540A-3D80-4EDA-A8C0-75239CFC5A50}">
    <text>Was 8kw, live readings show running at 6.7kW currently</text>
  </threadedComment>
  <threadedComment ref="L53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3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3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3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3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3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N53" dT="2022-05-26T11:22:59.41" personId="{BC55F889-AFD3-4AD4-B814-0EDFA8411758}" id="{1C71D630-9DAA-4537-A058-6D9D7CFB96C4}">
    <text>4kW allocation reduced due to live reading of 2kW</text>
  </threadedComment>
  <threadedComment ref="N53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3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3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3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3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3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P53" dT="2022-05-26T11:24:17.84" personId="{BC55F889-AFD3-4AD4-B814-0EDFA8411758}" id="{E3E3B31B-DCC7-4172-AACA-B44E2F5F9E25}">
    <text>4kW allocation reduced due to live reading of 2.5kW</text>
  </threadedComment>
  <threadedComment ref="P53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3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3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3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3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3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R53" dT="2022-05-26T11:25:38.36" personId="{BC55F889-AFD3-4AD4-B814-0EDFA8411758}" id="{5F47F3AA-57D9-4081-B9BC-669A2283BCF2}">
    <text>16kW allocations reduced due to live reading of 4kW</text>
  </threadedComment>
  <threadedComment ref="R53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3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3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3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3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3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3" dT="2023-12-13T11:46:01.89" personId="{F6E7EC2D-8E6E-4BA1-BCDD-6D7FECF08119}" id="{83D0CF58-6519-4CA0-A4D1-6621AD968BB3}" parentId="{5F47F3AA-57D9-4081-B9BC-669A2283BCF2}">
    <text>6kW allocation reduced due to live reading of 5.1KW</text>
  </threadedComment>
  <threadedComment ref="V53" dT="2022-05-26T11:27:16.79" personId="{BC55F889-AFD3-4AD4-B814-0EDFA8411758}" id="{597FC811-E160-4FD2-9287-F8CDD1415E14}">
    <text>7kW allocation reduced due to live reading of 1.5kW</text>
  </threadedComment>
  <threadedComment ref="V53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3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3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3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3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3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3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X53" dT="2022-05-26T11:28:26.53" personId="{BC55F889-AFD3-4AD4-B814-0EDFA8411758}" id="{973CAD78-665A-4649-A6B2-EB13CA65E3B2}">
    <text>3.7kW allocation reduced due to live reading of 1.5kW</text>
  </threadedComment>
  <threadedComment ref="X53" dT="2023-04-05T13:02:39.30" personId="{BFC1E846-99FF-44B5-92AE-66A4D353BDC7}" id="{004B89C5-6600-4EED-AB01-813AF9F8BB20}" parentId="{973CAD78-665A-4649-A6B2-EB13CA65E3B2}">
    <text xml:space="preserve">3.7kW allocation reduced due to Live reading of 1.7kW </text>
  </threadedComment>
  <threadedComment ref="X53" dT="2023-04-13T08:54:05.54" personId="{BFC1E846-99FF-44B5-92AE-66A4D353BDC7}" id="{AB3695B4-38E5-462F-8541-4A42B956990E}" parentId="{973CAD78-665A-4649-A6B2-EB13CA65E3B2}">
    <text>1kW added, taken from QWILT as now 10x server 4.25kW requirement</text>
  </threadedComment>
  <threadedComment ref="X53" dT="2023-07-11T10:58:04.00" personId="{F6E7EC2D-8E6E-4BA1-BCDD-6D7FECF08119}" id="{26BBB697-643E-449D-8FD1-C20E3F6BEB09}" parentId="{973CAD78-665A-4649-A6B2-EB13CA65E3B2}">
    <text>4.25kW allocation reduced due to live reading of 1.6KW</text>
  </threadedComment>
  <threadedComment ref="X53" dT="2023-08-02T09:13:21.29" personId="{F6E7EC2D-8E6E-4BA1-BCDD-6D7FECF08119}" id="{7779512A-3CF4-4E91-84A3-9E116A7E40D5}" parentId="{973CAD78-665A-4649-A6B2-EB13CA65E3B2}">
    <text>4.25kW allocation reduced due to live reading of 1.7KW</text>
  </threadedComment>
  <threadedComment ref="X53" dT="2023-09-05T13:05:18.53" personId="{F6E7EC2D-8E6E-4BA1-BCDD-6D7FECF08119}" id="{BA97F7C9-D773-49DA-8543-AADDE3D26971}" parentId="{973CAD78-665A-4649-A6B2-EB13CA65E3B2}">
    <text>4.25kW allocation reduced due to live reading of 1.7KW</text>
  </threadedComment>
  <threadedComment ref="X53" dT="2023-10-20T12:14:54.73" personId="{F6E7EC2D-8E6E-4BA1-BCDD-6D7FECF08119}" id="{41FB76CE-2742-421B-BEDB-AE2C22E229EF}" parentId="{973CAD78-665A-4649-A6B2-EB13CA65E3B2}">
    <text>4.25kW allocation reduced due to live reading of 1.7KW</text>
  </threadedComment>
  <threadedComment ref="X53" dT="2023-11-22T13:15:19.58" personId="{4232887B-6F74-4501-885D-8735C5662726}" id="{FE52289D-229D-4B45-974C-F1A2C2388FFE}" parentId="{973CAD78-665A-4649-A6B2-EB13CA65E3B2}">
    <text>4.25kW allocation reduced due to live reading of 1.7KW</text>
  </threadedComment>
  <threadedComment ref="X53" dT="2023-12-13T11:41:24.76" personId="{F6E7EC2D-8E6E-4BA1-BCDD-6D7FECF08119}" id="{4F1A3233-4941-4E31-9CC6-0AE5808188DA}" parentId="{973CAD78-665A-4649-A6B2-EB13CA65E3B2}">
    <text>4.25kW allocation reduced due to live reading of 1.6KW</text>
  </threadedComment>
  <threadedComment ref="Z53" dT="2023-01-12T14:27:33.75" personId="{BC55F889-AFD3-4AD4-B814-0EDFA8411758}" id="{BD6F8271-2BC2-4283-8FAB-A8C6AD9D326C}">
    <text>Live reading 33A, so 2.6kW allocation reduced by 1.8kW</text>
  </threadedComment>
  <threadedComment ref="Z53" dT="2023-07-11T10:53:37.28" personId="{F6E7EC2D-8E6E-4BA1-BCDD-6D7FECF08119}" id="{B6D49512-E0B2-48D0-913B-EE2577237EAF}" parentId="{BD6F8271-2BC2-4283-8FAB-A8C6AD9D326C}">
    <text>2.6kW allocation reduced due to live reading of 2.1KW</text>
  </threadedComment>
  <threadedComment ref="Z53" dT="2023-08-02T08:57:17.50" personId="{F6E7EC2D-8E6E-4BA1-BCDD-6D7FECF08119}" id="{BD7A0859-2987-4106-A65D-1B53D59504B3}" parentId="{BD6F8271-2BC2-4283-8FAB-A8C6AD9D326C}">
    <text>2.6kW allocation reduced due to live reading of 1.9KW</text>
  </threadedComment>
  <threadedComment ref="Z53" dT="2023-09-05T13:03:20.19" personId="{F6E7EC2D-8E6E-4BA1-BCDD-6D7FECF08119}" id="{928C9614-6DE1-486E-BABC-32EA59E3F0C3}" parentId="{BD6F8271-2BC2-4283-8FAB-A8C6AD9D326C}">
    <text>2.6kW allocation reduced due to live reading of 1.9KW</text>
  </threadedComment>
  <threadedComment ref="Z53" dT="2023-10-20T10:46:36.34" personId="{F6E7EC2D-8E6E-4BA1-BCDD-6D7FECF08119}" id="{AC850D66-D175-4261-B741-0DB09DFF1111}" parentId="{BD6F8271-2BC2-4283-8FAB-A8C6AD9D326C}">
    <text>2.6kW allocation reduced due to live reading of 2KW</text>
  </threadedComment>
  <threadedComment ref="Z53" dT="2023-11-22T13:15:29.52" personId="{4232887B-6F74-4501-885D-8735C5662726}" id="{786F5E4F-11AA-4284-B0E2-992B78A77022}" parentId="{BD6F8271-2BC2-4283-8FAB-A8C6AD9D326C}">
    <text>2.6kW allocation reduced due to live reading of 2KW</text>
  </threadedComment>
  <threadedComment ref="Z53" dT="2023-12-13T11:35:04.54" personId="{F6E7EC2D-8E6E-4BA1-BCDD-6D7FECF08119}" id="{366DDA85-B91E-45EA-87F3-DAEA4E6E402D}" parentId="{BD6F8271-2BC2-4283-8FAB-A8C6AD9D326C}">
    <text>2.6kW allocation reduced due to live reading of 1.8KW</text>
  </threadedComment>
  <threadedComment ref="AD53" dT="2022-06-21T09:46:26.48" personId="{A2EEB511-B106-4ABB-A0A9-198E22579A21}" id="{433C9ADD-0041-4FDA-98B6-A91D03802C35}">
    <text>1x UCS C220 – 603W</text>
  </threadedComment>
  <threadedComment ref="AD53" dT="2022-09-01T13:55:38.83" personId="{A2EEB511-B106-4ABB-A0A9-198E22579A21}" id="{E93EBDD4-71A3-4825-AC26-DA4C075546A3}" parentId="{433C9ADD-0041-4FDA-98B6-A91D03802C35}">
    <text>updated to 880W</text>
  </threadedComment>
  <threadedComment ref="AD53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3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F53" dT="2022-06-22T11:58:23.03" personId="{A2EEB511-B106-4ABB-A0A9-198E22579A21}" id="{B3A6762B-DD0D-446F-AC5B-B064A14FB23E}">
    <text xml:space="preserve"> NCS-57C3 - 500W - 2 feeds</text>
  </threadedComment>
  <threadedComment ref="AJ53" dT="2023-03-24T15:06:05.87" personId="{BFC1E846-99FF-44B5-92AE-66A4D353BDC7}" id="{535B5C85-FEE4-4144-8B2A-F7C46E05A95E}">
    <text>ESA400s @ 520W each only 2 planned day 1</text>
  </threadedComment>
  <threadedComment ref="AJ53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3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3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L53" dT="2023-06-08T11:32:17.70" personId="{7807B229-714C-4AA1-8F83-E7F46ACB7D83}" id="{2020A3A0-D8CE-413F-8D03-DD46062D2239}">
    <text>Live reading of .05 KW so original 4kW</text>
  </threadedComment>
  <threadedComment ref="AL53" dT="2023-09-05T13:26:53.28" personId="{F6E7EC2D-8E6E-4BA1-BCDD-6D7FECF08119}" id="{2B8A4F77-8997-46B7-ABE4-6D811F46237D}" parentId="{2020A3A0-D8CE-413F-8D03-DD46062D2239}">
    <text>4kW allocation reduced due to live reading of 0.1KW</text>
  </threadedComment>
  <threadedComment ref="AL53" dT="2023-11-22T13:16:10.40" personId="{4232887B-6F74-4501-885D-8735C5662726}" id="{3ED6AA22-93A6-4EAC-A8B8-2D90A2B147FC}" parentId="{2020A3A0-D8CE-413F-8D03-DD46062D2239}">
    <text>4kW allocation reduced due to live reading of 0.1KW</text>
  </threadedComment>
  <threadedComment ref="J56" personId="{31CF382B-C4A6-482E-AE04-28CACDB6A63A}" id="{675E0EB3-B9CE-4B5B-9DF0-24D89BB22D2B}">
    <text>Jul-21 Was 5kW but confirmed currently running at 3.5kW</text>
  </threadedComment>
  <threadedComment ref="J56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6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6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6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6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6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L56" personId="{31CF382B-C4A6-482E-AE04-28CACDB6A63A}" id="{452C9B22-923F-4BE4-8D2F-5525DB9C429E}">
    <text>Jul-21 Was 8kW, confirmed running at 6kW at the moment</text>
  </threadedComment>
  <threadedComment ref="L56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6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6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6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6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6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N56" dT="2022-05-26T09:25:28.75" personId="{A2EEB511-B106-4ABB-A0A9-198E22579A21}" id="{438DA2D3-CCF2-4EFB-9B3C-207707D24B3E}">
    <text>Updated actual load readings from AxScada; 3.4kW used; 10.3kW remaining</text>
  </threadedComment>
  <threadedComment ref="N56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6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6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6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6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6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6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P56" dT="2022-05-26T10:27:55.99" personId="{BC55F889-AFD3-4AD4-B814-0EDFA8411758}" id="{68C69125-A608-4FF9-8D7C-BAF7073CB3AE}">
    <text>Reduced from 4kW due to live reading of 2.6kW</text>
  </threadedComment>
  <threadedComment ref="P56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6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6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6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6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6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R56" dT="2022-05-26T10:26:47.07" personId="{BC55F889-AFD3-4AD4-B814-0EDFA8411758}" id="{848D8677-CE8C-48ED-9534-451914C19F41}">
    <text>Reduced from 4kW due to live reading of 2.3kW</text>
  </threadedComment>
  <threadedComment ref="R56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6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6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6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6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6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T56" dT="2023-07-11T11:58:09.72" personId="{F6E7EC2D-8E6E-4BA1-BCDD-6D7FECF08119}" id="{23944026-283D-4F63-AFF5-CBC4B0B5B383}">
    <text>12kW allocation reduced due to live reading of 0.1KW</text>
  </threadedComment>
  <threadedComment ref="T56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6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6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6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6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V56" dT="2022-05-26T10:25:09.95" personId="{BC55F889-AFD3-4AD4-B814-0EDFA8411758}" id="{841AF8BB-FE5C-4E71-8EE3-B5084D650E8E}">
    <text>Reduced from 7kW after live readings of 3.5kW</text>
  </threadedComment>
  <threadedComment ref="V56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6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6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6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6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6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X56" dT="2022-05-26T10:28:59.52" personId="{BC55F889-AFD3-4AD4-B814-0EDFA8411758}" id="{6615A5B0-C9A8-4FB0-A93C-26A481050455}">
    <text>Reduced from 3.7kW due to live reading of 1.1kW</text>
  </threadedComment>
  <threadedComment ref="X56" dT="2023-07-11T10:14:49.18" personId="{F6E7EC2D-8E6E-4BA1-BCDD-6D7FECF08119}" id="{5E14CDC2-F153-4AAE-B539-3A5740A2738A}" parentId="{6615A5B0-C9A8-4FB0-A93C-26A481050455}">
    <text>3.7kW allocation reduced due to live reading of 1.3KW</text>
  </threadedComment>
  <threadedComment ref="X56" dT="2023-08-02T11:41:41.01" personId="{4232887B-6F74-4501-885D-8735C5662726}" id="{C5032068-C5B4-48A1-9E45-7AB8C3BB02D9}" parentId="{6615A5B0-C9A8-4FB0-A93C-26A481050455}">
    <text>3.7kW allocation reduced due to live reading of 1.4KW</text>
  </threadedComment>
  <threadedComment ref="X56" dT="2023-09-07T10:04:38.04" personId="{4232887B-6F74-4501-885D-8735C5662726}" id="{6B33003D-B711-4B42-8CC6-E5F053706D6A}" parentId="{6615A5B0-C9A8-4FB0-A93C-26A481050455}">
    <text>3.7kW allocation reduced due to live reading of 1.4KW</text>
  </threadedComment>
  <threadedComment ref="X56" dT="2023-10-23T11:18:09.61" personId="{F6E7EC2D-8E6E-4BA1-BCDD-6D7FECF08119}" id="{6E33D715-3950-4F1B-95F6-43A72C31729D}" parentId="{6615A5B0-C9A8-4FB0-A93C-26A481050455}">
    <text>3.7kW allocation reduced due to live reading of 1.6KW</text>
  </threadedComment>
  <threadedComment ref="X56" dT="2023-11-14T10:17:27.77" personId="{4232887B-6F74-4501-885D-8735C5662726}" id="{3FF825AC-8610-4192-9FAF-FD13E9B9B09C}" parentId="{6615A5B0-C9A8-4FB0-A93C-26A481050455}">
    <text>3.7kW allocation reduced due to live reading of 1.4KW</text>
  </threadedComment>
  <threadedComment ref="X56" dT="2023-12-19T12:50:52.26" personId="{4232887B-6F74-4501-885D-8735C5662726}" id="{2B6519F6-6354-453B-8DF8-5B65480D2AC9}" parentId="{6615A5B0-C9A8-4FB0-A93C-26A481050455}">
    <text>3.7kW allocation reduced due to live reading of 1.5KW</text>
  </threadedComment>
  <threadedComment ref="Z56" dT="2022-05-26T10:30:53.56" personId="{BC55F889-AFD3-4AD4-B814-0EDFA8411758}" id="{FD1CA8BF-6C20-4299-B112-BA887F1BB37E}">
    <text>Reduced from 2.6kW due to live reading of 1.2kW</text>
  </threadedComment>
  <threadedComment ref="Z56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6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6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6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6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6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AB56" dT="2022-06-22T11:58:49.54" personId="{A2EEB511-B106-4ABB-A0A9-198E22579A21}" id="{2782F904-60F4-44A2-8F6D-DF85AE56C13B}">
    <text xml:space="preserve"> NCS-57C3 - 500W - 2 feeds</text>
  </threadedComment>
  <threadedComment ref="AF56" dT="2023-08-02T13:29:13.85" personId="{4232887B-6F74-4501-885D-8735C5662726}" id="{07A595FE-1A3C-40F3-B6E8-08CEA67501E7}">
    <text>2kW allocation reduced due to live reading of 0.3kW</text>
  </threadedComment>
  <threadedComment ref="AF56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6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6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6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H56" dT="2023-01-24T11:27:49.46" personId="{BC55F889-AFD3-4AD4-B814-0EDFA8411758}" id="{864A3F0C-CE66-4828-A101-FD0C313A22F3}">
    <text>ESA400s @ 520W each only 2 planned day 1</text>
  </threadedComment>
  <threadedComment ref="AH56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J56" dT="2023-07-11T10:13:34.78" personId="{F6E7EC2D-8E6E-4BA1-BCDD-6D7FECF08119}" id="{30BCBC7F-E63D-4260-8A77-C491C6DDEF73}">
    <text>1kW allocation reduced due to live reading of 0.1KW</text>
  </threadedComment>
  <threadedComment ref="AJ56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6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6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6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6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M56" dT="2023-12-06T13:03:55.78" personId="{4232887B-6F74-4501-885D-8735C5662726}" id="{4F7ADBDA-8AF2-4AAE-9834-1BA1A641B5E0}">
    <text>Waveserver_5(2.0KW)into B22-ORMT_SAP_231123_10_w014433 </text>
  </threadedComment>
  <threadedComment ref="J57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7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U69" dT="2023-11-23T15:28:29.52" personId="{7807B229-714C-4AA1-8F83-E7F46ACB7D83}" id="{B9D2DF39-A8AC-42E0-ACB6-F354A1DA10B4}">
    <text>Additional Ciena 6500-7(1.1KW) into existing cab AB2-ORMT_SAP_231122_3_26168659</text>
  </threadedComment>
  <threadedComment ref="J71" dT="2022-05-26T11:31:47.35" personId="{BC55F889-AFD3-4AD4-B814-0EDFA8411758}" id="{2E2BE51E-85D0-4577-8B89-69657912AC2C}">
    <text>8kW allocation reduced due to live reading of 6.8kW</text>
  </threadedComment>
  <threadedComment ref="J71" dT="2023-07-11T09:34:24.21" personId="{F6E7EC2D-8E6E-4BA1-BCDD-6D7FECF08119}" id="{6A4BB785-F12E-4C77-BCE6-DC2F4FC74927}" parentId="{2E2BE51E-85D0-4577-8B89-69657912AC2C}">
    <text>4kW allocation reduced due to live reading of 3.6KW</text>
  </threadedComment>
  <threadedComment ref="J71" dT="2023-08-03T09:59:23.30" personId="{F6E7EC2D-8E6E-4BA1-BCDD-6D7FECF08119}" id="{67F3E5D4-763A-48F6-8250-6752A57DDB9C}" parentId="{2E2BE51E-85D0-4577-8B89-69657912AC2C}">
    <text>4kW allocation reduced due to live reading of 3.7KW</text>
  </threadedComment>
  <threadedComment ref="J71" dT="2023-09-05T14:48:42.02" personId="{F6E7EC2D-8E6E-4BA1-BCDD-6D7FECF08119}" id="{CD51D767-E72E-4FC0-A033-69905DF834A8}" parentId="{2E2BE51E-85D0-4577-8B89-69657912AC2C}">
    <text>4kW allocation reduced due to live reading of 3.7KW</text>
  </threadedComment>
  <threadedComment ref="J71" dT="2023-10-20T12:50:13.92" personId="{F6E7EC2D-8E6E-4BA1-BCDD-6D7FECF08119}" id="{4DEFCC8E-C056-485F-BB70-51454E05B656}" parentId="{2E2BE51E-85D0-4577-8B89-69657912AC2C}">
    <text>4kW allocation reduced due to live reading of 3.7KW</text>
  </threadedComment>
  <threadedComment ref="J71" dT="2023-11-09T11:01:51.00" personId="{F6E7EC2D-8E6E-4BA1-BCDD-6D7FECF08119}" id="{AD7B85AE-C0EF-4644-8C4B-D138BC602912}" parentId="{2E2BE51E-85D0-4577-8B89-69657912AC2C}">
    <text>4kW allocation reduced due to live reading of 3.7KW</text>
  </threadedComment>
  <threadedComment ref="J71" dT="2023-12-13T11:55:50.65" personId="{F6E7EC2D-8E6E-4BA1-BCDD-6D7FECF08119}" id="{82D3AB0E-304D-41C1-812A-FB31DEF79C42}" parentId="{2E2BE51E-85D0-4577-8B89-69657912AC2C}">
    <text>4kW allocation reduced due to live reading of 3.7KW</text>
  </threadedComment>
  <threadedComment ref="L71" dT="2022-05-26T11:33:03.42" personId="{BC55F889-AFD3-4AD4-B814-0EDFA8411758}" id="{F7979500-469D-4636-87F6-4B151A496335}">
    <text>5kW allocation reduced due to live reading of 2.5kW</text>
  </threadedComment>
  <threadedComment ref="L71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1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1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1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1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1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N71" dT="2022-05-26T11:35:03.84" personId="{BC55F889-AFD3-4AD4-B814-0EDFA8411758}" id="{759BE320-FF70-4FCF-83EE-4368F66D4DA3}">
    <text>4.5kW allocation reduced due to live reading of 1.5kW</text>
  </threadedComment>
  <threadedComment ref="N71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1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1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1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1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1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P71" dT="2022-05-26T11:36:00.57" personId="{BC55F889-AFD3-4AD4-B814-0EDFA8411758}" id="{B435FD41-1820-422A-8344-3302D0CF6FF0}">
    <text>4.5kW allocation reduced due to live reading of 2.6kW</text>
  </threadedComment>
  <threadedComment ref="P71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1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1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1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1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1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R71" dT="2022-05-26T11:35:03.84" personId="{BC55F889-AFD3-4AD4-B814-0EDFA8411758}" id="{7FB600CC-3DC6-478E-9646-063721E93385}">
    <text>4.5kW allocation reduced due to live reading of 1.5kW</text>
  </threadedComment>
  <threadedComment ref="R71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1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1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1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1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1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T71" dT="2023-01-12T14:34:04.06" personId="{BC55F889-AFD3-4AD4-B814-0EDFA8411758}" id="{49969A50-1347-4519-98FC-3B9C4C471BF6}">
    <text>Live reading 102A, so 6.5kW allocation reduced by 5.5kW</text>
  </threadedComment>
  <threadedComment ref="T71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1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1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1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1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1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J72" dT="2022-05-26T11:31:47.35" personId="{BC55F889-AFD3-4AD4-B814-0EDFA8411758}" id="{55FDB048-90F4-4B32-AB04-50B07D5A9B25}">
    <text>8kW allocation reduced due to live reading of 6.8kW</text>
  </threadedComment>
  <threadedComment ref="J72" dT="2023-07-11T09:34:57.58" personId="{F6E7EC2D-8E6E-4BA1-BCDD-6D7FECF08119}" id="{C42DAEC5-7C67-42AF-9096-6FD88F3C8F5A}" parentId="{55FDB048-90F4-4B32-AB04-50B07D5A9B25}">
    <text>4kW allocation reduced due to live reading of 3.4KW</text>
  </threadedComment>
  <threadedComment ref="J72" dT="2023-08-03T10:00:09.21" personId="{F6E7EC2D-8E6E-4BA1-BCDD-6D7FECF08119}" id="{88529903-EFD9-46BC-A056-67E13FF3308C}" parentId="{55FDB048-90F4-4B32-AB04-50B07D5A9B25}">
    <text>4kW allocation reduced due to live reading of 3.4KW</text>
  </threadedComment>
  <threadedComment ref="J72" dT="2023-09-05T14:48:57.49" personId="{F6E7EC2D-8E6E-4BA1-BCDD-6D7FECF08119}" id="{87A3FF36-75F4-4C96-8101-0093FB8656F9}" parentId="{55FDB048-90F4-4B32-AB04-50B07D5A9B25}">
    <text>4kW allocation reduced due to live reading of 3.4KW</text>
  </threadedComment>
  <threadedComment ref="J72" dT="2023-10-20T12:50:34.76" personId="{F6E7EC2D-8E6E-4BA1-BCDD-6D7FECF08119}" id="{83539C52-7881-401B-B214-14BDD72E7EA3}" parentId="{55FDB048-90F4-4B32-AB04-50B07D5A9B25}">
    <text>4kW allocation reduced due to live reading of 3.5KW</text>
  </threadedComment>
  <threadedComment ref="J72" dT="2023-11-09T11:02:11.25" personId="{F6E7EC2D-8E6E-4BA1-BCDD-6D7FECF08119}" id="{70E27FCE-1C86-4DBD-9B4C-CF391ED56C60}" parentId="{55FDB048-90F4-4B32-AB04-50B07D5A9B25}">
    <text>4kW allocation reduced due to live reading of 3.5KW</text>
  </threadedComment>
  <threadedComment ref="J72" dT="2023-12-13T11:56:27.63" personId="{F6E7EC2D-8E6E-4BA1-BCDD-6D7FECF08119}" id="{D5FDB03E-820D-4B0D-8B49-47B6F817BD37}" parentId="{55FDB048-90F4-4B32-AB04-50B07D5A9B25}">
    <text>4kW allocation reduced due to live reading of 3.5KW</text>
  </threadedComment>
  <threadedComment ref="L72" dT="2022-05-26T11:33:03.42" personId="{BC55F889-AFD3-4AD4-B814-0EDFA8411758}" id="{4DCC6705-B4E3-4600-8568-1AE02D770216}">
    <text>5kW allocation reduced due to live reading of 2.5kW</text>
  </threadedComment>
  <threadedComment ref="L72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2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2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2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2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2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N72" dT="2022-05-26T11:35:03.84" personId="{BC55F889-AFD3-4AD4-B814-0EDFA8411758}" id="{3844EAD8-8D70-4637-96D1-3F8D5DC28503}">
    <text>4.5kW allocation reduced due to live reading of 1.5kW</text>
  </threadedComment>
  <threadedComment ref="N72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2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2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2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2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2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P72" dT="2022-05-26T11:36:00.57" personId="{BC55F889-AFD3-4AD4-B814-0EDFA8411758}" id="{2DEFDEA6-A745-4A6A-8456-DB1342885FE4}">
    <text>4.5kW allocation reduced due to live reading of 2.6kW</text>
  </threadedComment>
  <threadedComment ref="P72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2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2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2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2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2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R72" dT="2022-05-26T11:35:03.84" personId="{BC55F889-AFD3-4AD4-B814-0EDFA8411758}" id="{77A1DE33-8375-4D93-91FA-C6B8AE1375A6}">
    <text>4.5kW allocation reduced due to live reading of 1.5kW</text>
  </threadedComment>
  <threadedComment ref="R72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2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2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2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2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2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T72" dT="2023-01-12T14:34:04.06" personId="{BC55F889-AFD3-4AD4-B814-0EDFA8411758}" id="{E4B0744D-061F-4269-94AC-D1C6256C7730}">
    <text>Live reading 102A, so 6.5kW allocation reduced by 5.5kW</text>
  </threadedComment>
  <threadedComment ref="T72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2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2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2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2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2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J73" dT="2023-10-23T10:12:59.36" personId="{F6E7EC2D-8E6E-4BA1-BCDD-6D7FECF08119}" id="{4FABE1E5-AAE7-43DF-BA20-588146DEC72A}">
    <text>6kW allocation reduced due to live reading of 0.1kW</text>
  </threadedComment>
  <threadedComment ref="J74" dT="2023-09-07T10:58:26.32" personId="{4232887B-6F74-4501-885D-8735C5662726}" id="{F1423C7C-FCD9-4294-BFEB-7D8E02BFB991}">
    <text>6kW allocation reduced due to live reading of 0.1kW</text>
  </threadedComment>
  <threadedComment ref="J74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4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4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9" dT="2023-08-03T10:44:20.83" personId="{F6E7EC2D-8E6E-4BA1-BCDD-6D7FECF08119}" id="{0E45B417-7AAB-433A-835B-5C4DB72933D8}">
    <text>6kW allocation reduced due to live reading of 0.1kW</text>
  </threadedComment>
  <threadedComment ref="J79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79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79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80" dT="2023-08-03T10:44:20.83" personId="{F6E7EC2D-8E6E-4BA1-BCDD-6D7FECF08119}" id="{CD56A13C-FD94-4CD2-87D2-5578CFFF803D}">
    <text>6kW allocation reduced due to live reading of 0.1kW</text>
  </threadedComment>
  <threadedComment ref="J80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0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2" dT="2022-03-21T09:58:05.45" personId="{ABF5BCE6-B512-42E2-8B64-A070C9ED38DE}" id="{C53CD6C6-B91D-4B8F-A9F1-3E7D588BF493}">
    <text>reduced from 5kw to 3kW estimated usage</text>
  </threadedComment>
  <threadedComment ref="J90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3" dT="2022-01-27T11:27:23.49" personId="{BC462CC0-A6C1-4CC6-998C-DC5B13C070BC}" id="{0F2B1766-1F97-4BDA-AEC2-CE0C7052B785}">
    <text>Reduced from 5kW</text>
  </threadedComment>
  <threadedComment ref="J93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3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Q93" dT="2023-11-08T13:17:17.89" personId="{A4663B00-DB85-420B-AE65-1E515148FDF2}" id="{A5E770EF-5604-40D0-8448-22AB38648D0E}">
    <text>Marconi MSPP 1684 is planned under ORMT_SAP_231103_12_y842157</text>
  </threadedComment>
  <threadedComment ref="J101" personId="{31CF382B-C4A6-482E-AE04-28CACDB6A63A}" id="{4FD97909-64FD-498F-9525-7E62D702366B}">
    <text>9th Aug - reduced to 1.5kW as now on (using figures for other nodes)</text>
  </threadedComment>
  <threadedComment ref="J101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1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1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1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1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1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L101" personId="{31CF382B-C4A6-482E-AE04-28CACDB6A63A}" id="{352DB0C1-2EAF-48A9-AFBE-938EDF9C8897}">
    <text>9th Aug reduced to 2.5kw as turn on (using figures from other live sites) originally 8kW</text>
  </threadedComment>
  <threadedComment ref="L101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1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1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1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1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1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N101" dT="2022-05-26T12:23:43.66" personId="{BC55F889-AFD3-4AD4-B814-0EDFA8411758}" id="{FF07A646-018C-4F20-8190-88B11998D8E5}">
    <text>4kW allocation reduced due to live reading of 1.3kW</text>
  </threadedComment>
  <threadedComment ref="N101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1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1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1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1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1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P101" dT="2022-05-26T12:24:45.63" personId="{BC55F889-AFD3-4AD4-B814-0EDFA8411758}" id="{584C801A-6FBA-45CE-87AD-2A8D71BDF9B1}">
    <text>4kW allocation reduced due to live reading of 1kW</text>
  </threadedComment>
  <threadedComment ref="P101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1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1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1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1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1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R101" dT="2023-09-12T08:03:53.40" personId="{4232887B-6F74-4501-885D-8735C5662726}" id="{5E485C22-40A5-4118-B7B5-1AB685C7A5A5}">
    <text>0.5kW allocation reduced due to live reading of 0.2kW</text>
  </threadedComment>
  <threadedComment ref="R101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1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1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T101" dT="2023-11-14T11:54:02.75" personId="{4232887B-6F74-4501-885D-8735C5662726}" id="{695434EB-6487-4B27-B8DA-842D6C4D1342}">
    <text>2kW allocation reduced due to live reading of 0.2kW</text>
  </threadedComment>
  <threadedComment ref="T101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V101" dT="2023-12-19T09:05:37.13" personId="{F6E7EC2D-8E6E-4BA1-BCDD-6D7FECF08119}" id="{EC65E2A1-A275-4C10-B603-7F5FFB297226}">
    <text>2kW allocation reduced due to live reading of 0.3kW</text>
  </threadedComment>
  <threadedComment ref="AF101" dT="2023-12-19T08:57:16.59" personId="{F6E7EC2D-8E6E-4BA1-BCDD-6D7FECF08119}" id="{F417CFA6-4151-4A81-B059-6E358C99E5BB}">
    <text>1.3kW allocation reduced due to live reading of 0.6kW</text>
  </threadedComment>
  <threadedComment ref="J102" dT="2022-03-31T08:57:48.48" personId="{A2EEB511-B106-4ABB-A0A9-198E22579A21}" id="{3C2C41D1-9203-405B-8803-B2247C2118C0}">
    <text>Load split across both power systems</text>
  </threadedComment>
  <threadedComment ref="J102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2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2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2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2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2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L102" dT="2022-03-31T08:58:18.42" personId="{A2EEB511-B106-4ABB-A0A9-198E22579A21}" id="{118A5E6A-00F6-452A-B948-332E1CCFC350}">
    <text>Load split across both power systems</text>
  </threadedComment>
  <threadedComment ref="L102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2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2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2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2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2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N102" dT="2022-05-26T12:23:43.66" personId="{BC55F889-AFD3-4AD4-B814-0EDFA8411758}" id="{D0B44343-49D5-409F-8E38-B6ACF162087A}">
    <text>4kW allocation reduced due to live reading of 1.3kW</text>
  </threadedComment>
  <threadedComment ref="N102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2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2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2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2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2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P102" dT="2022-05-26T12:24:45.63" personId="{BC55F889-AFD3-4AD4-B814-0EDFA8411758}" id="{179D318A-746F-4573-B3B9-990BC068B4B5}">
    <text>4kW allocation reduced due to live reading of 1kW</text>
  </threadedComment>
  <threadedComment ref="P102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2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2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2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2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2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R102" dT="2023-09-12T08:04:06.04" personId="{4232887B-6F74-4501-885D-8735C5662726}" id="{34029124-BCFA-4C66-89C5-EE19C1352913}">
    <text>0.5kW allocation reduced due to live reading of 0.2kW</text>
  </threadedComment>
  <threadedComment ref="R102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2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2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T102" dT="2023-11-14T11:54:02.75" personId="{4232887B-6F74-4501-885D-8735C5662726}" id="{3D06987C-F82C-461D-B9F9-2EA54195BFA8}">
    <text>2kW allocation reduced due to live reading of 0.2kW</text>
  </threadedComment>
  <threadedComment ref="T102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V102" dT="2023-12-19T09:06:03.54" personId="{F6E7EC2D-8E6E-4BA1-BCDD-6D7FECF08119}" id="{D429025A-2297-42AB-8400-8B774875952F}">
    <text>2kW allocation reduced due to live reading of 0.2kW</text>
  </threadedComment>
  <threadedComment ref="AF102" dT="2023-12-19T08:57:44.01" personId="{F6E7EC2D-8E6E-4BA1-BCDD-6D7FECF08119}" id="{1463F565-4FD4-402D-85D5-2EC7E7BC17A9}">
    <text>1.3kW allocation reduced due to live reading of 0.1kW</text>
  </threadedComment>
  <threadedComment ref="G103" dT="2022-02-14T17:15:59.36" personId="{BA2F53B7-A3C1-42BC-BA3B-8FB69390D064}" id="{B822A3C3-B991-4133-B407-EF36BC60A798}">
    <text>11.2 kW split across A&amp;B systems</text>
  </threadedComment>
  <threadedComment ref="T103" dT="2022-06-21T09:49:39.73" personId="{A2EEB511-B106-4ABB-A0A9-198E22579A21}" id="{7700C50F-BFBB-46A6-9FDF-36E8F7CC0404}">
    <text>1x UCS C220 – 603W</text>
  </threadedComment>
  <threadedComment ref="V103" dT="2022-06-22T11:56:21.82" personId="{A2EEB511-B106-4ABB-A0A9-198E22579A21}" id="{3B5DCA00-86B0-4DFE-9402-4AC2807C518A}">
    <text xml:space="preserve"> NCS-57C3 - 500W - 2 feeds</text>
  </threadedComment>
  <threadedComment ref="J108" dT="2023-08-03T10:57:21.99" personId="{F6E7EC2D-8E6E-4BA1-BCDD-6D7FECF08119}" id="{42D6319A-0E1C-4C1F-A905-7FCF0CBA4F71}">
    <text>6kW allocation reduced due to live reading of 0.1kW</text>
  </threadedComment>
  <threadedComment ref="J108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8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8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9" dT="2023-09-06T03:18:06.90" personId="{F6E7EC2D-8E6E-4BA1-BCDD-6D7FECF08119}" id="{33C74018-FA62-4E44-8DC6-C960CB564F32}">
    <text>6kW allocation reduced due to live reading of 0.1kW</text>
  </threadedComment>
  <threadedComment ref="J109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09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13" dT="2023-09-12T08:22:17.64" personId="{4232887B-6F74-4501-885D-8735C5662726}" id="{740C4B41-8504-4D1E-BFA0-6828B512020F}">
    <text>6kW allocation reduced due to live reading of 0.1kW</text>
  </threadedComment>
  <threadedComment ref="J113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J114" dT="2023-08-03T09:36:01.69" personId="{4232887B-6F74-4501-885D-8735C5662726}" id="{D937C33F-3041-4695-AA0C-9A09F4755728}">
    <text>6kW allocation reduced due to live reading of 0.1kW</text>
  </threadedComment>
  <threadedComment ref="J114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4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4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4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5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J116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6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6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6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6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L116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6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6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6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6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N116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6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6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6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6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P116" dT="2023-09-29T11:16:21.82" personId="{4232887B-6F74-4501-885D-8735C5662726}" id="{820519D8-8840-450F-819F-9339FCFDE16F}">
    <text>1kW allocation reduced due to live reading of 0.2kW</text>
  </threadedComment>
  <threadedComment ref="P116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6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6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R116" dT="2023-09-29T12:04:19.21" personId="{4232887B-6F74-4501-885D-8735C5662726}" id="{6DF610CB-866D-41C7-B8C8-C9F5BCFCA317}">
    <text>0.5kW allocation reduced due to live reading of 0.1kW</text>
  </threadedComment>
  <threadedComment ref="R116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6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6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J117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7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7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7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7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L117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7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7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7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7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N117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7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7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7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7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P117" dT="2023-09-29T11:16:33.92" personId="{4232887B-6F74-4501-885D-8735C5662726}" id="{C73221CF-2EB2-4856-BE0E-CC53C62CEFF6}">
    <text>1kW allocation reduced due to live reading of 0.2kW</text>
  </threadedComment>
  <threadedComment ref="P117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7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7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R117" dT="2023-09-29T12:04:45.13" personId="{4232887B-6F74-4501-885D-8735C5662726}" id="{8E521D02-ADC0-4D24-8727-449F1ED106A9}">
    <text>0.5kW allocation reduced due to live reading of 0.1kW</text>
  </threadedComment>
  <threadedComment ref="R117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7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7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J118" personId="{31CF382B-C4A6-482E-AE04-28CACDB6A63A}" id="{0FAAB219-1E32-4ABF-98E3-E49DE16E5C14}">
    <text>8kW total allocation reduced due to live reading of 6.5kW</text>
  </threadedComment>
  <threadedComment ref="L118" dT="2022-05-26T12:27:12.76" personId="{BC55F889-AFD3-4AD4-B814-0EDFA8411758}" id="{35E956FA-48D8-4358-8E34-98B5FA88AF25}">
    <text>4kW allocation reduced due to live reading of 1kW</text>
  </threadedComment>
  <threadedComment ref="L118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8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8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8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8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8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N118" dT="2022-05-26T12:27:12.76" personId="{BC55F889-AFD3-4AD4-B814-0EDFA8411758}" id="{7911CC74-CAAE-4937-912E-C9281F5AF60B}">
    <text>4kW allocation reduced due to live reading of 1kW</text>
  </threadedComment>
  <threadedComment ref="N118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8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8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8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8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8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P118" dT="2022-05-26T12:28:35.72" personId="{BC55F889-AFD3-4AD4-B814-0EDFA8411758}" id="{756FA753-23CD-4746-B3E2-10DEBEFD0E89}">
    <text>5kW allocation reduced due to live reading of 2.8kW</text>
  </threadedComment>
  <threadedComment ref="P118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8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8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8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8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8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R118" dT="2023-01-24T11:41:41.54" personId="{BC55F889-AFD3-4AD4-B814-0EDFA8411758}" id="{F6BE0A40-9282-409C-B172-AC4D18EFAD99}">
    <text>2kW total allocation reduced due to live reading of 0.3kW</text>
  </threadedComment>
  <threadedComment ref="R118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8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8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8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8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8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T118" dT="2023-01-24T11:41:41.54" personId="{BC55F889-AFD3-4AD4-B814-0EDFA8411758}" id="{0B4CF949-5792-4DBF-9E60-21A57D7C2D7D}">
    <text>2kW total allocation reduced due to live reading of 0.5kW</text>
  </threadedComment>
  <threadedComment ref="T118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8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8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8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8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8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V118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X118" dT="2023-07-10T11:38:50.09" personId="{4232887B-6F74-4501-885D-8735C5662726}" id="{024B929C-601A-454D-BDE3-C81CE03F1EEE}">
    <text>4kW allocation reduced due to live reading of 3.4kW</text>
  </threadedComment>
  <threadedComment ref="X118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8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8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8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8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Y118" dT="2023-11-07T10:34:07.97" personId="{A4663B00-DB85-420B-AE65-1E515148FDF2}" id="{D7EBAE55-905E-41EB-92D5-0FC99A7217CB}">
    <text>RLS &amp; Waveserver rack is planned under CPL removal project.</text>
  </threadedComment>
  <threadedComment ref="Y118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AA118" dT="2023-11-14T13:19:55.51" personId="{A4663B00-DB85-420B-AE65-1E515148FDF2}" id="{5694752F-3F78-431E-8BDE-85FF814714E2}">
    <text>WAVESERVER 5 Rack is planned- ORMT_SAP_231110_8_w014433</text>
  </threadedComment>
  <threadedComment ref="AA118" dT="2023-11-22T08:49:00.76" personId="{38472A79-BA69-4DE1-8653-78C711836CC1}" id="{53DF47C8-7B47-42F0-8BA0-79815902A348}" parentId="{5694752F-3F78-431E-8BDE-85FF814714E2}">
    <text>Allocation limited to 2kW, x1 Waveserver5</text>
  </threadedComment>
  <threadedComment ref="J119" personId="{31CF382B-C4A6-482E-AE04-28CACDB6A63A}" id="{D41A921C-CB2E-48D5-97C6-E6592EE4A2F4}">
    <text>8kW total allocation reduced due to live reading of 6.5kW</text>
  </threadedComment>
  <threadedComment ref="L119" dT="2022-05-26T12:27:12.76" personId="{BC55F889-AFD3-4AD4-B814-0EDFA8411758}" id="{2AD6C1EE-F498-4F28-9980-783E54A7B021}">
    <text>4kW allocation reduced due to live reading of 1kW</text>
  </threadedComment>
  <threadedComment ref="L119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19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19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19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19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19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N119" dT="2022-05-26T12:27:12.76" personId="{BC55F889-AFD3-4AD4-B814-0EDFA8411758}" id="{312CC317-34FF-4066-9910-E00D3B0F267A}">
    <text>4kW allocation reduced due to live reading of 1kW</text>
  </threadedComment>
  <threadedComment ref="N119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19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19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19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19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19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P119" dT="2022-05-26T12:28:35.72" personId="{BC55F889-AFD3-4AD4-B814-0EDFA8411758}" id="{2FE6997F-C3DE-46EF-831E-E668F19AE1C3}">
    <text>5kW allocation reduced due to live reading of 2.8kW</text>
  </threadedComment>
  <threadedComment ref="P119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19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19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19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19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19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R119" dT="2023-01-24T11:41:41.54" personId="{BC55F889-AFD3-4AD4-B814-0EDFA8411758}" id="{7A695C9E-E9D4-439F-802B-7337527C2CA2}">
    <text>2kW total allocation reduced due to live reading of 0.3kW</text>
  </threadedComment>
  <threadedComment ref="R119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19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19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19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19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19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T119" dT="2023-01-24T11:41:41.54" personId="{BC55F889-AFD3-4AD4-B814-0EDFA8411758}" id="{46F0F661-5509-47C0-9465-3C2F95B126F8}">
    <text>2kW total allocation reduced due to live reading of 0.5kW</text>
  </threadedComment>
  <threadedComment ref="T119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19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19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19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19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19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V119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X119" dT="2023-07-10T11:39:21.01" personId="{4232887B-6F74-4501-885D-8735C5662726}" id="{0235380F-B14B-4A7A-940A-6418069871DA}">
    <text>4kW allocation reduced due to live reading of 3.2kW</text>
  </threadedComment>
  <threadedComment ref="X119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19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19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19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19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Y119" dT="2023-11-07T10:34:14.06" personId="{A4663B00-DB85-420B-AE65-1E515148FDF2}" id="{A3C6AFD1-134A-49A1-A9AA-24E36E2C6E91}">
    <text>RLS &amp; Waveserver rack is planned under CPL removal project.</text>
  </threadedComment>
  <threadedComment ref="Y119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AA119" dT="2023-11-14T13:19:55.51" personId="{A4663B00-DB85-420B-AE65-1E515148FDF2}" id="{07D603F3-7145-442F-9DB8-F3FAAB6D2F2E}">
    <text>WAVESERVER 5 Rack is planned- ORMT_SAP_231110_8_w014433</text>
  </threadedComment>
  <threadedComment ref="AA119" dT="2023-11-22T08:49:09.37" personId="{38472A79-BA69-4DE1-8653-78C711836CC1}" id="{540DEA98-FA96-4EC4-9287-A042A2C48B55}" parentId="{07D603F3-7145-442F-9DB8-F3FAAB6D2F2E}">
    <text>Allocation limited to 2kW, x1 Waveserver5</text>
  </threadedComment>
  <threadedComment ref="J120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2" dT="2022-02-07T10:41:05.54" personId="{BC462CC0-A6C1-4CC6-998C-DC5B13C070BC}" id="{5BEB131F-6B38-430D-8D85-59F5D4EF5FBF}">
    <text>awaiting floorplan update</text>
  </threadedComment>
  <threadedComment ref="J128" dT="2022-03-21T10:29:00.55" personId="{ABF5BCE6-B512-42E2-8B64-A070C9ED38DE}" id="{AD36B12E-59F6-4B4E-8FFC-A8F0B42A9BC4}">
    <text>reduced from 5kW to 3kW estimated usage</text>
  </threadedComment>
  <threadedComment ref="J128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8" dT="2023-12-18T15:30:03.68" personId="{A4663B00-DB85-420B-AE65-1E515148FDF2}" id="{51473AB1-E95B-4526-9914-3D8DEDBDBCB9}">
    <text>Additional BT EAD[KA7] 0.5 kw into existing cab C03-ORMT_SAP_231218_9_Y861526</text>
  </threadedComment>
  <threadedComment ref="J130" dT="2022-03-21T10:16:04.89" personId="{ABF5BCE6-B512-42E2-8B64-A070C9ED38DE}" id="{30645FD8-6203-481F-A18B-989402619994}">
    <text>reduced from 5kw to 3kW estimated usage</text>
  </threadedComment>
  <threadedComment ref="J130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1" dT="2022-02-15T11:28:56.31" personId="{BA2F53B7-A3C1-42BC-BA3B-8FB69390D064}" id="{12509181-F116-408B-9623-D3B83DFEB41A}">
    <text>Estimated 2kW reduction as box now in service. Reduced from 5kW to 3kW</text>
  </threadedComment>
  <threadedComment ref="J131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3" dT="2023-08-15T10:20:43.96" personId="{38472A79-BA69-4DE1-8653-78C711836CC1}" id="{9CA6CCFB-28BC-447D-BD6A-824D2015E259}">
    <text>Reduced from 5 to 3kW estimated (confirmed by Rich)</text>
  </threadedComment>
  <threadedComment ref="J133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3" dT="2023-08-15T10:22:00.50" personId="{38472A79-BA69-4DE1-8653-78C711836CC1}" id="{0EFFB4B3-7B64-4149-BD65-4414DA5EDEC0}">
    <text>Reduced from 4.5 to 2kW estimated (confirmed by Rich)</text>
  </threadedComment>
  <threadedComment ref="J135" dT="2022-03-18T12:13:33.89" personId="{ABF5BCE6-B512-42E2-8B64-A070C9ED38DE}" id="{D3BA70A4-1E04-4D73-8D98-A2E89BE035DA}">
    <text>reduced from 5kW to 3kW estimated</text>
  </threadedComment>
  <threadedComment ref="J135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5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39" dT="2022-05-26T12:03:30.11" personId="{BC55F889-AFD3-4AD4-B814-0EDFA8411758}" id="{7727DB60-8375-41A0-B032-52C6B2246BCC}">
    <text>5kW allocation reduced due to live reading of 2.5kW</text>
  </threadedComment>
  <threadedComment ref="J139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39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39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39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39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39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42" personId="{31CF382B-C4A6-482E-AE04-28CACDB6A63A}" id="{7EA7E13D-EBAA-4956-9A7D-4313AECC0325}">
    <text>Jul-21 Was 5kW but confirmed currently running at 3.5kW</text>
  </threadedComment>
  <threadedComment ref="J142" dT="2023-07-10T18:06:42.07" personId="{4232887B-6F74-4501-885D-8735C5662726}" id="{018BF77E-24B3-4899-B8CB-A14566E42872}" parentId="{7EA7E13D-EBAA-4956-9A7D-4313AECC0325}">
    <text>2.5kW allocation reduced due to live reading of 1.9kW</text>
  </threadedComment>
  <threadedComment ref="J142" dT="2023-08-03T11:34:36.46" personId="{4232887B-6F74-4501-885D-8735C5662726}" id="{8D07EC7C-7734-42D4-95D1-A1522D195F92}" parentId="{7EA7E13D-EBAA-4956-9A7D-4313AECC0325}">
    <text>2.5kW allocation reduced due to live reading of 1.9kW</text>
  </threadedComment>
  <threadedComment ref="J142" dT="2023-09-13T09:53:21.03" personId="{4232887B-6F74-4501-885D-8735C5662726}" id="{C4B0099B-C699-4ABF-A7A0-4B7117F66428}" parentId="{7EA7E13D-EBAA-4956-9A7D-4313AECC0325}">
    <text>2.5kW allocation reduced due to live reading of 1.9kW</text>
  </threadedComment>
  <threadedComment ref="J142" dT="2023-10-23T10:23:12.03" personId="{F6E7EC2D-8E6E-4BA1-BCDD-6D7FECF08119}" id="{3D3F74B4-87EA-4CCB-A85E-087A8D10F298}" parentId="{7EA7E13D-EBAA-4956-9A7D-4313AECC0325}">
    <text>2.5kW allocation reduced due to live reading of 2.3kW</text>
  </threadedComment>
  <threadedComment ref="J142" dT="2023-11-22T10:07:10.29" personId="{4232887B-6F74-4501-885D-8735C5662726}" id="{D300BFF6-FBBA-4102-A820-D09480BB5EBF}" parentId="{7EA7E13D-EBAA-4956-9A7D-4313AECC0325}">
    <text>2.5kW allocation reduced due to live reading of 2.4kW</text>
  </threadedComment>
  <threadedComment ref="J142" dT="2023-12-18T13:15:04.50" personId="{F6E7EC2D-8E6E-4BA1-BCDD-6D7FECF08119}" id="{DD5B7955-A6CE-4B6B-AD82-6B20509C23EE}" parentId="{7EA7E13D-EBAA-4956-9A7D-4313AECC0325}">
    <text>2.5kW allocation reduced due to live reading of 2.4kW</text>
  </threadedComment>
  <threadedComment ref="L142" personId="{31CF382B-C4A6-482E-AE04-28CACDB6A63A}" id="{B0B8CB4E-3DA6-4AA3-8D07-810DD43B6A92}">
    <text>Jul-21 Was 8kW, confirmed currently running at 6kW</text>
  </threadedComment>
  <threadedComment ref="L142" dT="2023-07-10T18:12:37.07" personId="{4232887B-6F74-4501-885D-8735C5662726}" id="{C595CE26-277C-46C3-8270-DE4EC4CD7A3B}" parentId="{B0B8CB4E-3DA6-4AA3-8D07-810DD43B6A92}">
    <text>4kW allocation reduced due to live reading of 3.4kW</text>
  </threadedComment>
  <threadedComment ref="L142" dT="2023-08-03T11:36:44.36" personId="{4232887B-6F74-4501-885D-8735C5662726}" id="{5D522D5B-2717-488D-A9D3-9B3C6E1EBF4C}" parentId="{B0B8CB4E-3DA6-4AA3-8D07-810DD43B6A92}">
    <text>4kW allocation reduced due to live reading of 3.5kW</text>
  </threadedComment>
  <threadedComment ref="L142" dT="2023-09-13T09:56:19.18" personId="{4232887B-6F74-4501-885D-8735C5662726}" id="{28B198A5-1A76-4719-AF48-4FA9D5146D7D}" parentId="{B0B8CB4E-3DA6-4AA3-8D07-810DD43B6A92}">
    <text>4kW allocation reduced due to live reading of 3.5kW</text>
  </threadedComment>
  <threadedComment ref="L142" dT="2023-09-13T09:56:24.94" personId="{4232887B-6F74-4501-885D-8735C5662726}" id="{4438D3E6-A6A2-47D8-B95D-FF80376D183B}" parentId="{B0B8CB4E-3DA6-4AA3-8D07-810DD43B6A92}">
    <text>4kW allocation reduced due to live reading of 3.5kW</text>
  </threadedComment>
  <threadedComment ref="L142" dT="2023-10-23T10:46:42.03" personId="{F6E7EC2D-8E6E-4BA1-BCDD-6D7FECF08119}" id="{C17B7A4C-D6F8-4A91-B663-9DB3F80701EB}" parentId="{B0B8CB4E-3DA6-4AA3-8D07-810DD43B6A92}">
    <text>4kW allocation reduced due to live reading of 3.7kW</text>
  </threadedComment>
  <threadedComment ref="L142" dT="2023-11-22T10:09:45.98" personId="{4232887B-6F74-4501-885D-8735C5662726}" id="{EAF2AA53-970E-4CF3-AFFF-96D0A80EB942}" parentId="{B0B8CB4E-3DA6-4AA3-8D07-810DD43B6A92}">
    <text>4kW allocation reduced due to live reading of 3.8kW</text>
  </threadedComment>
  <threadedComment ref="L142" dT="2023-12-18T13:34:09.45" personId="{F6E7EC2D-8E6E-4BA1-BCDD-6D7FECF08119}" id="{1E6C84B5-09AE-40F1-A8E0-1BF3B0F96652}" parentId="{B0B8CB4E-3DA6-4AA3-8D07-810DD43B6A92}">
    <text>4kW allocation reduced due to live reading of 3.8kW</text>
  </threadedComment>
  <threadedComment ref="N142" dT="2023-01-12T14:41:09.76" personId="{BC55F889-AFD3-4AD4-B814-0EDFA8411758}" id="{E20022F0-85A2-47FF-8FFF-4E872759FBF6}">
    <text>Live reading 67A, so 16kW allocation reduced by 3.7kW</text>
  </threadedComment>
  <threadedComment ref="N142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2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2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2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2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2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S142" dT="2021-12-03T12:43:43.09" personId="{7807B229-714C-4AA1-8F83-E7F46ACB7D83}" id="{2B9D746C-4AF9-4178-B288-7DAFFE59C797}">
    <text>ORMT_SAP_211015_16_11135118</text>
  </threadedComment>
  <threadedComment ref="V142" dT="2022-01-28T13:38:53.59" personId="{ABF5BCE6-B512-42E2-8B64-A070C9ED38DE}" id="{EAC96642-6471-4529-B087-731946B27B4D}">
    <text>John Womersley. Provisional allocation for end of life</text>
  </threadedComment>
  <threadedComment ref="V142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2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2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2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2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AB142" dT="2022-06-21T09:47:21.17" personId="{A2EEB511-B106-4ABB-A0A9-198E22579A21}" id="{A67CE3B6-9E88-4906-806C-CBB03B113871}">
    <text>1x UCS C220 – 603W</text>
  </threadedComment>
  <threadedComment ref="AB142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D142" dT="2022-06-22T12:15:12.55" personId="{A2EEB511-B106-4ABB-A0A9-198E22579A21}" id="{3149B29A-D136-4734-A1DB-649E6B418B4D}">
    <text xml:space="preserve"> NCS-57C3 - 500W - 2 feeds</text>
  </threadedComment>
  <threadedComment ref="AJ142" dT="2023-10-17T15:00:30.00" personId="{4232887B-6F74-4501-885D-8735C5662726}" id="{40AFC5F7-AF74-4E6C-9845-6BCF224AEEE6}">
    <text>Power upgrade planned under ORMT_SAP_231017_2_Y855640</text>
  </threadedComment>
  <threadedComment ref="J143" personId="{31CF382B-C4A6-482E-AE04-28CACDB6A63A}" id="{6D908517-FF86-4611-A06A-2C94FB89B879}">
    <text>Jul-21 Was 5kW but confirmed currently running at 3.5kW</text>
  </threadedComment>
  <threadedComment ref="J143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3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3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3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3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3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L143" personId="{31CF382B-C4A6-482E-AE04-28CACDB6A63A}" id="{18651EEE-19D0-4489-A6C0-A5F0E1480D5D}">
    <text>Jul-21 Was 8kW, confirmed currently running at 6kW</text>
  </threadedComment>
  <threadedComment ref="L143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3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3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3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3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N143" dT="2023-07-10T18:00:31.73" personId="{4232887B-6F74-4501-885D-8735C5662726}" id="{AC641F5E-4A92-44F6-9008-D3C8D84D317A}">
    <text>4kW allocation reduced due to live reading of 2.8kW</text>
  </threadedComment>
  <threadedComment ref="N143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3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3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3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3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AJ143" dT="2023-10-17T15:01:18.58" personId="{4232887B-6F74-4501-885D-8735C5662726}" id="{79BB0193-F48E-460E-90DB-A9C1B7519AD5}">
    <text>Power upgrade planned under ORMT_SAP_231017_2_Y855640</text>
  </threadedComment>
  <threadedComment ref="J144" dT="2023-11-28T09:59:41.93" personId="{F6E7EC2D-8E6E-4BA1-BCDD-6D7FECF08119}" id="{6B9D0745-A894-4D93-B16E-00F31EEDEB4E}">
    <text>Planned for ORMT_SAP_231013_6_w014433</text>
  </threadedComment>
  <threadedComment ref="J145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5" dT="2023-10-13T14:19:37.93" personId="{4232887B-6F74-4501-885D-8735C5662726}" id="{3B03B372-6FC1-497E-B71C-CE467AD6DE39}">
    <text>Power upgrade given for ORMT_SAP_230607_9_Y854413</text>
  </threadedComment>
  <threadedComment ref="J147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0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0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1" dT="2023-12-06T08:51:10.64" personId="{38472A79-BA69-4DE1-8653-78C711836CC1}" id="{E39259E6-DA60-4AC9-B01B-629134560BF4}">
    <text>30kW ring fenced for WACS CoLo contract</text>
  </threadedComment>
  <threadedComment ref="T151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4" dT="2022-01-28T11:34:45.61" personId="{ABF5BCE6-B512-42E2-8B64-A070C9ED38DE}" id="{0076BA94-FC5C-408C-96C9-9AABAAF68CA5}">
    <text>provisional allocation for end of life load</text>
  </threadedComment>
  <threadedComment ref="J154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4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4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4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4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L154" dT="2022-05-26T12:17:16.16" personId="{BC55F889-AFD3-4AD4-B814-0EDFA8411758}" id="{1EAB5447-6C14-4356-80D0-C776A55246B7}">
    <text>5kW allocation reduced due to live reading of 2.5kW</text>
  </threadedComment>
  <threadedComment ref="L154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4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4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4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4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4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P154" dT="2023-01-12T14:43:38.70" personId="{BC55F889-AFD3-4AD4-B814-0EDFA8411758}" id="{E41F3D10-0294-44C6-8667-920DB0E316BB}">
    <text>Live reading 22A, so 4kW allocation reduced by 1.2kW</text>
  </threadedComment>
  <threadedComment ref="P154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4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4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4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4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4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R154" dT="2023-01-12T14:43:38.70" personId="{BC55F889-AFD3-4AD4-B814-0EDFA8411758}" id="{3FDE6019-A4B2-42FA-B13A-25F8F9FC8A87}">
    <text>Live reading 30A, so 4kW allocation reduced by 1.6kW</text>
  </threadedComment>
  <threadedComment ref="R154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4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4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4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4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4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T154" dT="2023-01-12T14:43:38.70" personId="{BC55F889-AFD3-4AD4-B814-0EDFA8411758}" id="{6936BBBA-2946-46F7-89AF-27A252984BC0}">
    <text>Live reading 14A, so 4kW allocation reduced by 800W</text>
  </threadedComment>
  <threadedComment ref="T154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4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4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4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4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4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V154" dT="2023-07-11T08:14:17.29" personId="{4232887B-6F74-4501-885D-8735C5662726}" id="{1013A39F-74FB-4BF4-A42B-F04F94F4BA6B}">
    <text>4kW allocation reduced due to live reading of 1.4kW</text>
  </threadedComment>
  <threadedComment ref="V154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4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4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4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4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X154" dT="2023-07-11T08:11:55.66" personId="{4232887B-6F74-4501-885D-8735C5662726}" id="{B371BEA3-D809-4AC2-8374-19287095534F}">
    <text>1kW allocation reduced due to live reading of 0.2kW</text>
  </threadedComment>
  <threadedComment ref="X154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4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4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4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4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Y154" dT="2023-11-06T10:31:49.87" personId="{A4663B00-DB85-420B-AE65-1E515148FDF2}" id="{484FFADE-54D1-4605-B273-EAF49729440C}">
    <text xml:space="preserve">RLS &amp; Waveserver rack is planned- CPL removal project.
</text>
  </threadedComment>
  <threadedComment ref="J158" dT="2023-01-12T14:48:36.36" personId="{BC55F889-AFD3-4AD4-B814-0EDFA8411758}" id="{95D3D00A-CD61-4B77-ADE9-D46591D2B60E}">
    <text>Live reading 84A, so 12kW allocation reduced by 4.5kW</text>
  </threadedComment>
  <threadedComment ref="J158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8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8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8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8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8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L158" personId="{31CF382B-C4A6-482E-AE04-28CACDB6A63A}" id="{C28F0CDE-A519-4253-AE78-A382838B617C}">
    <text>Jul-21 Was 5kW total but confirmed currently running at 3.5kW, so 0.75kw left per system</text>
  </threadedComment>
  <threadedComment ref="L158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8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8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8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8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8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R158" dT="2022-05-26T10:45:25.11" personId="{BC55F889-AFD3-4AD4-B814-0EDFA8411758}" id="{5297140A-306A-4E76-8D3C-06B5F061BA06}">
    <text>Total 6kW allocation reduced due to onsite reading of 3.9kW</text>
  </threadedComment>
  <threadedComment ref="R158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8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8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8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8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8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T158" dT="2023-07-10T10:28:18.01" personId="{4232887B-6F74-4501-885D-8735C5662726}" id="{A770BE8E-7FF8-483C-A8BB-069AC3AB0B57}">
    <text>2.25kW allocation reduced due to live reading of 1.4kW</text>
  </threadedComment>
  <threadedComment ref="T158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8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8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8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8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V158" dT="2023-07-10T10:30:27.71" personId="{4232887B-6F74-4501-885D-8735C5662726}" id="{BF2BA99A-C71E-4470-9768-EDC4F847CA5F}">
    <text>1.45kW allocation reduced due to live reading of 0.5kW</text>
  </threadedComment>
  <threadedComment ref="V158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8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8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8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8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8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X158" dT="2022-05-26T10:43:39.63" personId="{BC55F889-AFD3-4AD4-B814-0EDFA8411758}" id="{F4C12B35-4046-4847-81B1-8E2531E1679F}">
    <text>Totla 4.5kW allocation reduced due to live reading of 2kW</text>
  </threadedComment>
  <threadedComment ref="X158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8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8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8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8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8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Z158" dT="2023-07-10T10:31:47.60" personId="{4232887B-6F74-4501-885D-8735C5662726}" id="{8AE3600A-5FB6-44B1-83D6-911DCDD07D10}">
    <text>0.9kW allocation reduced due to live reading of 0.5kW</text>
  </threadedComment>
  <threadedComment ref="Z158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8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8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8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8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AB158" dT="2022-05-26T10:41:36.66" personId="{BC55F889-AFD3-4AD4-B814-0EDFA8411758}" id="{583BFAF3-0C1E-477D-819B-2429C4E25229}">
    <text>Total 6.5kW reduced due to 5.6kW live reading</text>
  </threadedComment>
  <threadedComment ref="AB158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8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8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8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8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8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D158" dT="2022-05-26T11:14:05.47" personId="{BC55F889-AFD3-4AD4-B814-0EDFA8411758}" id="{252922EA-283D-4134-81BE-F83ABA1DF47C}">
    <text>Total 4kW allocation reduced due to live reading of 2.2kW</text>
  </threadedComment>
  <threadedComment ref="AD158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8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8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8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8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8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F158" dT="2023-11-09T16:00:13.27" personId="{F6E7EC2D-8E6E-4BA1-BCDD-6D7FECF08119}" id="{EACCE037-0744-459A-8B38-305EAAEE05BC}">
    <text>2.1kW allocation reduced due to live reading of 0.3kW</text>
  </threadedComment>
  <threadedComment ref="AF158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J158" dT="2023-07-10T10:33:25.92" personId="{4232887B-6F74-4501-885D-8735C5662726}" id="{3A12A018-9767-484B-BE5E-1463CBF28EC4}">
    <text>2kW allocation reduced due to live reading of 0.8kW</text>
  </threadedComment>
  <threadedComment ref="AJ158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8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8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8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8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L158" dT="2023-07-10T11:15:04.50" personId="{F6E7EC2D-8E6E-4BA1-BCDD-6D7FECF08119}" id="{6B7E69A9-675A-49C8-8B7B-D32EC1CE591A}">
    <text>1kW allocation reduced due to live reading of 0.2kW</text>
  </threadedComment>
  <threadedComment ref="AL158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8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8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8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8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N158" dT="2023-07-10T11:16:01.29" personId="{F6E7EC2D-8E6E-4BA1-BCDD-6D7FECF08119}" id="{DA813F0C-A1A0-4FBB-89A3-C6332DBE77A8}">
    <text>1kW allocation reduced due to live reading of 0.2kW</text>
  </threadedComment>
  <threadedComment ref="AN158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8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8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8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8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P158" dT="2023-07-10T11:16:46.65" personId="{F6E7EC2D-8E6E-4BA1-BCDD-6D7FECF08119}" id="{890F15D8-A69B-4378-B072-AE0FC1712FC1}">
    <text>1kW allocation reduced due to live reading of 0.2kW</text>
  </threadedComment>
  <threadedComment ref="AP158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8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8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8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8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R158" dT="2023-07-10T10:34:16.50" personId="{4232887B-6F74-4501-885D-8735C5662726}" id="{7521DA11-DED6-4917-9B4B-FBB42E48A0E9}">
    <text>2kW allocation reduced due to live reading of 0.5kW</text>
  </threadedComment>
  <threadedComment ref="AR158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8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8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8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8" dT="2023-12-15T10:48:43.44" personId="{F6E7EC2D-8E6E-4BA1-BCDD-6D7FECF08119}" id="{AD71DFAB-D8C7-44A9-B6ED-40C284985A46}" parentId="{7521DA11-DED6-4917-9B4B-FBB42E48A0E9}">
    <text>6kW allocation reduced due to live reading of 4.3kW</text>
  </threadedComment>
  <threadedComment ref="AT158" dT="2023-07-10T10:35:20.75" personId="{4232887B-6F74-4501-885D-8735C5662726}" id="{3D2379B6-B9AA-4540-9A47-042883B64CF7}">
    <text>2.25kW allocation reduced due to live reading of 1.3kW</text>
  </threadedComment>
  <threadedComment ref="AT158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8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8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8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8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J159" dT="2023-01-12T14:48:36.36" personId="{BC55F889-AFD3-4AD4-B814-0EDFA8411758}" id="{C0CE6C97-4F34-4056-9CA9-7CCCD9DF5746}">
    <text>Live reading 84A, so 12kW allocation reduced by 4.5kW</text>
  </threadedComment>
  <threadedComment ref="J159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59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59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59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59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59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L159" personId="{31CF382B-C4A6-482E-AE04-28CACDB6A63A}" id="{DFD3C8F5-5E4C-43C2-838F-251E04361D29}">
    <text>Jul-21 Was 5kW total but confirmed currently running at 3.5kW, so 0.75kw left per system</text>
  </threadedComment>
  <threadedComment ref="L159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59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59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59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59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59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R159" dT="2022-05-26T10:45:25.11" personId="{BC55F889-AFD3-4AD4-B814-0EDFA8411758}" id="{9094F797-B709-4F15-914E-4CEB5E535EBC}">
    <text>Total 6kW allocation reduced due to onsite reading of 3.9kW</text>
  </threadedComment>
  <threadedComment ref="R159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59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59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59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59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59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59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T159" dT="2023-07-10T10:29:50.88" personId="{4232887B-6F74-4501-885D-8735C5662726}" id="{C19ED06B-3C47-4BDB-848F-B600DAF7523A}">
    <text>2.25kW allocation reduced due to live reading of 1.4kW</text>
  </threadedComment>
  <threadedComment ref="T159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59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59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59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59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V159" dT="2023-07-10T10:30:50.38" personId="{4232887B-6F74-4501-885D-8735C5662726}" id="{3BC4137D-C096-4233-ABD6-52FFD82811CA}">
    <text>1.45kW allocation reduced due to live reading of 0.5kW</text>
  </threadedComment>
  <threadedComment ref="V159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59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59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59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X159" dT="2022-05-26T10:43:39.63" personId="{BC55F889-AFD3-4AD4-B814-0EDFA8411758}" id="{07BAF235-FBDE-4538-9CC8-385995F0BD80}">
    <text>Totla 4.5kW allocation reduced due to live reading of 2kW</text>
  </threadedComment>
  <threadedComment ref="X159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59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59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59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59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59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Z159" dT="2023-07-10T10:31:47.60" personId="{4232887B-6F74-4501-885D-8735C5662726}" id="{C57814D6-E338-42A2-95E4-5DC7575FDB2E}">
    <text>0.9kW allocation reduced due to live reading of 0.5kW</text>
  </threadedComment>
  <threadedComment ref="Z159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59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59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59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59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AB159" dT="2022-05-26T10:41:36.66" personId="{BC55F889-AFD3-4AD4-B814-0EDFA8411758}" id="{5EC7CCC9-797D-49F4-855B-AA05904210A0}">
    <text>Total 6.5kW reduced due to 5.6kW live reading</text>
  </threadedComment>
  <threadedComment ref="AB159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59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59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59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59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59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D159" dT="2022-05-26T11:14:05.47" personId="{BC55F889-AFD3-4AD4-B814-0EDFA8411758}" id="{BC3502CB-48B3-4093-BF35-2974894C942A}">
    <text>Total 4kW allocation reduced due to live reading of 2.2kW</text>
  </threadedComment>
  <threadedComment ref="AD159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59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59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59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59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59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F159" dT="2023-11-09T16:00:13.27" personId="{F6E7EC2D-8E6E-4BA1-BCDD-6D7FECF08119}" id="{54F13D00-417B-42AB-9706-B0CBF542A0DC}">
    <text>2.1kW allocation reduced due to live reading of 0.3kW</text>
  </threadedComment>
  <threadedComment ref="AF159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J159" dT="2023-07-10T10:33:25.92" personId="{4232887B-6F74-4501-885D-8735C5662726}" id="{ABD4042A-410F-4ABB-8C2F-0BF10C5D9B68}">
    <text>2kW allocation reduced due to live reading of 0.8kW</text>
  </threadedComment>
  <threadedComment ref="AJ159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59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59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59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59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L159" dT="2023-07-10T11:15:29.85" personId="{F6E7EC2D-8E6E-4BA1-BCDD-6D7FECF08119}" id="{D00D10DD-A1A1-4798-B053-2EBA5F23714C}">
    <text>1kW allocation reduced due to live reading of 0.2kW</text>
  </threadedComment>
  <threadedComment ref="AL159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59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59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59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59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N159" dT="2023-07-10T11:16:01.29" personId="{F6E7EC2D-8E6E-4BA1-BCDD-6D7FECF08119}" id="{4255C8D4-58EF-433F-BD16-105491E73B73}">
    <text>1kW allocation reduced due to live reading of 0.2kW</text>
  </threadedComment>
  <threadedComment ref="AN159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59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59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59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59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P159" dT="2023-07-10T11:16:46.65" personId="{F6E7EC2D-8E6E-4BA1-BCDD-6D7FECF08119}" id="{ACB0F551-3943-42F1-B6D5-C260226122EB}">
    <text>1kW allocation reduced due to live reading of 0.2kW</text>
  </threadedComment>
  <threadedComment ref="AP159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59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59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59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59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R159" dT="2023-07-10T10:34:16.50" personId="{4232887B-6F74-4501-885D-8735C5662726}" id="{FE344764-C392-4008-88B4-4FED49439600}">
    <text>2kW allocation reduced due to live reading of 0.5kW</text>
  </threadedComment>
  <threadedComment ref="AR159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59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59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59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59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T159" dT="2023-07-10T10:35:20.75" personId="{4232887B-6F74-4501-885D-8735C5662726}" id="{F48E0F16-928E-4F94-B30C-1A7D81825C61}">
    <text>2.25kW allocation reduced due to live reading of 1.3kW</text>
  </threadedComment>
  <threadedComment ref="AT159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59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59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59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59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J168" dT="2022-03-18T12:18:07.10" personId="{ABF5BCE6-B512-42E2-8B64-A070C9ED38DE}" id="{913A52A0-1214-4904-A32C-AC1A9545BE2A}">
    <text>reduced from 5kW to 3kW estimated usage</text>
  </threadedComment>
  <threadedComment ref="J168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0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0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1" dT="2022-05-26T12:14:05.77" personId="{BC55F889-AFD3-4AD4-B814-0EDFA8411758}" id="{A592035E-72A3-4FC7-8666-C397C4798F90}">
    <text>5kW allocation reduced due to live reading of 2.5kW</text>
  </threadedComment>
  <threadedComment ref="J171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1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1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1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1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1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L171" dT="2022-05-26T12:15:02.86" personId="{BC55F889-AFD3-4AD4-B814-0EDFA8411758}" id="{64B57CBA-68A7-4BEC-B6C5-DF54244443E4}">
    <text>12kW allocation reduced due to live reading of 1.7kW</text>
  </threadedComment>
  <threadedComment ref="L171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1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1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1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1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1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N171" dT="2023-08-03T14:27:15.67" personId="{F6E7EC2D-8E6E-4BA1-BCDD-6D7FECF08119}" id="{54B92F99-AAE3-4F4D-98AC-D8E29708EC2A}">
    <text>2kW allocation reduced due to live reading of 0.3kW</text>
  </threadedComment>
  <threadedComment ref="N171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1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1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1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Q171" dT="2023-09-26T13:50:18.29" personId="{1E6DD3F2-E860-47E0-8C0E-4DFC2954E528}" id="{22D99612-71FE-4752-86BE-FEA969AB8EF6}">
    <text>ORMT_SAP_230809_13_Y854576 - Given for power upgrade</text>
  </threadedComment>
  <threadedComment ref="J176" dT="2022-05-26T12:32:19.60" personId="{BC55F889-AFD3-4AD4-B814-0EDFA8411758}" id="{C9C11970-FD79-472E-BF7F-AF6EFB5EEBFF}">
    <text>5kW allocation reduced due to live reading of 2.5kW</text>
  </threadedComment>
  <threadedComment ref="J176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6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6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6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6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7" dT="2022-05-26T12:32:19.60" personId="{BC55F889-AFD3-4AD4-B814-0EDFA8411758}" id="{75C686FC-4E1E-4702-90C5-C8D0A2AECFBE}">
    <text>5kW allocation reduced due to live reading of 2.5kW</text>
  </threadedComment>
  <threadedComment ref="J177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7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7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7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7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7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7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L177" dT="2023-10-19T11:15:39.34" personId="{F6E7EC2D-8E6E-4BA1-BCDD-6D7FECF08119}" id="{7E2810B3-4E2E-40C7-B20F-0D2F21E8FD8D}">
    <text>6 kW allocation reduced due to live reading of 0.1 kW</text>
  </threadedComment>
  <threadedComment ref="L177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7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J182" dT="2023-01-12T14:52:34.20" personId="{BC55F889-AFD3-4AD4-B814-0EDFA8411758}" id="{C1F30253-AA19-4D8E-8179-5142F3863F05}">
    <text>Live reading 45A, so 5kW allocation reduced by 2.5kW</text>
  </threadedComment>
  <threadedComment ref="J182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2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2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2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L182" dT="2023-07-11T10:01:35.26" personId="{4232887B-6F74-4501-885D-8735C5662726}" id="{7A3EEF28-E41B-47FB-9D37-78E9253508FC}">
    <text>6kW allocation reduced due to live reading of 3.8kW</text>
  </threadedComment>
  <threadedComment ref="L182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2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2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N182" dT="2023-07-11T09:57:50.36" personId="{4232887B-6F74-4501-885D-8735C5662726}" id="{18F0FFC2-7128-4ACC-A2DE-9DEA7A884300}">
    <text>2kW allocation reduced due to live reading of 0.2kW</text>
  </threadedComment>
  <threadedComment ref="N182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2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2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2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2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J183" dT="2023-01-12T14:52:34.20" personId="{BC55F889-AFD3-4AD4-B814-0EDFA8411758}" id="{DA807511-86E3-438D-9847-9397099C8982}">
    <text>Live reading 45A, so 5kW allocation reduced by 2.5kW</text>
  </threadedComment>
  <threadedComment ref="J185" dT="2023-01-12T14:52:34.20" personId="{BC55F889-AFD3-4AD4-B814-0EDFA8411758}" id="{FB60A2D1-972F-4B52-855D-21B0E18949F0}">
    <text>Live reading 45A, so 5kW allocation reduced by 2.5kW</text>
  </threadedComment>
  <threadedComment ref="L185" dT="2023-07-11T10:51:19.39" personId="{4232887B-6F74-4501-885D-8735C5662726}" id="{E2CA077F-D5F3-4FA3-9B2D-5314D1F0E450}">
    <text>6kW allocation reduced due to live reading of 0.1kW</text>
  </threadedComment>
  <threadedComment ref="L185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5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5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5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5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P185" dT="2023-08-07T12:59:32.12" personId="{4232887B-6F74-4501-885D-8735C5662726}" id="{D309FA9E-99CF-4CE7-9DF1-F311A23A0853}">
    <text>2.5kW allocation reduced due to live reading of 1.2kW</text>
  </threadedComment>
  <threadedComment ref="R185" dT="2023-08-07T12:55:59.86" personId="{4232887B-6F74-4501-885D-8735C5662726}" id="{F9486AA7-1773-4A55-9EA9-ECC60C475D75}">
    <text>1kW allocation reduced due to live reading of 0.1kW</text>
  </threadedComment>
  <threadedComment ref="R185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5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5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5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J186" dT="2023-01-12T14:52:34.20" personId="{BC55F889-AFD3-4AD4-B814-0EDFA8411758}" id="{A804BA05-8176-439D-B29D-BC7B428A8250}">
    <text>Live reading 45A, so 5kW allocation reduced by 2.5kW</text>
  </threadedComment>
  <threadedComment ref="P186" dT="2023-08-07T12:59:32.12" personId="{4232887B-6F74-4501-885D-8735C5662726}" id="{9BE858F5-D6ED-4133-9181-2F46EBBEA77C}">
    <text>2.5kW allocation reduced due to live reading of 1.2kW</text>
  </threadedComment>
  <threadedComment ref="R186" dT="2023-08-07T12:55:59.86" personId="{4232887B-6F74-4501-885D-8735C5662726}" id="{5DCCB260-FD64-4D67-8BCE-8B64FBEFE58C}">
    <text>1kW allocation reduced due to live reading of 0.1kW</text>
  </threadedComment>
  <threadedComment ref="R186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6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6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6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J192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2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J195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5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J202" personId="{31CF382B-C4A6-482E-AE04-28CACDB6A63A}" id="{8BDA47D1-B0B7-4985-87FC-A460DA1F26AE}">
    <text>Jul-21 Was 5kW but confirmed currently running at 3.5kW</text>
  </threadedComment>
  <threadedComment ref="J202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2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2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2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2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2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L202" personId="{31CF382B-C4A6-482E-AE04-28CACDB6A63A}" id="{B34DDDE6-8CAD-44C2-A6E8-3EB0FAC26883}">
    <text>Jul-21 Was 8kW, confirmed currently running at 6kW</text>
  </threadedComment>
  <threadedComment ref="L202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2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2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2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2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N202" dT="2023-01-12T14:56:28.24" personId="{BC55F889-AFD3-4AD4-B814-0EDFA8411758}" id="{0F353884-057C-4ADF-8927-A892BBEB37CD}">
    <text>Live reading 34.4A, so 4kW allocation reduced by 1.8kW</text>
  </threadedComment>
  <threadedComment ref="N202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2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2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2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2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P202" dT="2023-01-12T14:56:28.24" personId="{BC55F889-AFD3-4AD4-B814-0EDFA8411758}" id="{B05A4223-9DC1-4D9D-A96E-0A75B4BEBFEF}">
    <text>Live reading 14.4A, so 4kW allocation reduced by 800W</text>
  </threadedComment>
  <threadedComment ref="P202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2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2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2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2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R202" dT="2023-01-12T14:56:28.24" personId="{BC55F889-AFD3-4AD4-B814-0EDFA8411758}" id="{84E237A5-F7A8-4277-9F96-AA1CC1F6CFBB}">
    <text>Live reading 34A, so 4kW allocation reduced by 1.8kW</text>
  </threadedComment>
  <threadedComment ref="R202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2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2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2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2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T202" dT="2023-09-15T15:35:07.64" personId="{F6E7EC2D-8E6E-4BA1-BCDD-6D7FECF08119}" id="{481A1F65-609C-4C57-81D6-A60ACE829103}">
    <text>4.2kW allocation reduced due to live reading of 0.6kW</text>
  </threadedComment>
  <threadedComment ref="T202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2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2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N204" dT="2022-06-22T11:57:35.36" personId="{A2EEB511-B106-4ABB-A0A9-198E22579A21}" id="{FB55A77D-9C90-46F8-9916-A5BFAF4F52BE}">
    <text xml:space="preserve"> NCS-57C3 - 500W - 2 feeds</text>
  </threadedComment>
  <threadedComment ref="J206" dT="2023-11-02T14:20:48.57" personId="{ABF5BCE6-B512-42E2-8B64-A070C9ED38DE}" id="{C8FE9965-61B1-4A86-B381-FD825181C994}">
    <text xml:space="preserve">estimated 2kW reduction from 5kW to 3kW. </text>
  </threadedComment>
  <threadedComment ref="J206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6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7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7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J217" personId="{31CF382B-C4A6-482E-AE04-28CACDB6A63A}" id="{1197F7EC-BA21-4198-90D5-68161D0899A1}">
    <text>Jul-21 Was 5kW but confirmed currently running at 2.5kW</text>
  </threadedComment>
  <threadedComment ref="J217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7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7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7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7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7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L217" personId="{31CF382B-C4A6-482E-AE04-28CACDB6A63A}" id="{370B7484-CCEF-491F-923C-1C9AFE376895}">
    <text>Jul-21 Was 8kW, confirmed currently running at 6.7kW</text>
  </threadedComment>
  <threadedComment ref="L217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7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7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7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7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7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N217" personId="{31CF382B-C4A6-482E-AE04-28CACDB6A63A}" id="{9F5531C8-59E5-4093-9429-48ADA3DABFFD}">
    <text>Reduced from 4 due to live reading of 700w</text>
  </threadedComment>
  <threadedComment ref="N217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7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7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7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7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7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P217" dT="2023-10-20T14:10:08.42" personId="{F6E7EC2D-8E6E-4BA1-BCDD-6D7FECF08119}" id="{77E5D431-3337-4F57-8592-0F3F16D21C8F}">
    <text>2kW allocation reduced due to live reading of 0.7kW</text>
  </threadedComment>
  <threadedComment ref="P217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7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R217" dT="2023-01-12T15:02:24.46" personId="{BC55F889-AFD3-4AD4-B814-0EDFA8411758}" id="{2A0299F2-4D4B-4B9F-A190-D1F74D2A2C9E}">
    <text>Live reading 23A, so 4kW allocation reduced by 1.2kW</text>
  </threadedComment>
  <threadedComment ref="R217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7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7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7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7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7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T217" dT="2023-01-12T15:02:24.46" personId="{BC55F889-AFD3-4AD4-B814-0EDFA8411758}" id="{9A26D48E-0A5F-4701-8146-B66C9B3CD828}">
    <text>Live reading 23A, so 4kW allocation reduced by 1.2kW</text>
  </threadedComment>
  <threadedComment ref="T217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7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7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7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7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7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V217" dT="2022-05-26T11:47:22.96" personId="{BC55F889-AFD3-4AD4-B814-0EDFA8411758}" id="{2C29ECDB-25B9-4F2B-A81B-0C55C9B0E0EC}">
    <text>6kW allocation reduced due to live redaing of 4kW</text>
  </threadedComment>
  <threadedComment ref="V217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7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7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7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7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7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Z217" dT="2023-12-19T11:05:04.45" personId="{F6E7EC2D-8E6E-4BA1-BCDD-6D7FECF08119}" id="{996FBB2B-9D64-4735-8C64-78A3B0987BEF}">
    <text>2kW allocation reduced due to live reading of 0.7kW</text>
  </threadedComment>
  <threadedComment ref="AD217" dT="2023-07-12T08:27:10.91" personId="{4232887B-6F74-4501-885D-8735C5662726}" id="{88B3D8F4-72EB-49CF-9D72-1CE65AA33270}">
    <text>2kW allocation reduced due to live reading of 0.3kW</text>
  </threadedComment>
  <threadedComment ref="AD217" dT="2023-08-07T15:07:12.23" personId="{4232887B-6F74-4501-885D-8735C5662726}" id="{11F84476-5F1D-4184-80E2-D80659ECAA83}" parentId="{88B3D8F4-72EB-49CF-9D72-1CE65AA33270}">
    <text>2kW allocation reduced due to live reading of 0.3kW</text>
  </threadedComment>
  <threadedComment ref="AD217" dT="2023-09-11T14:40:55.49" personId="{F6E7EC2D-8E6E-4BA1-BCDD-6D7FECF08119}" id="{7B710D19-57D5-4DBB-9330-90CF86BA977D}" parentId="{88B3D8F4-72EB-49CF-9D72-1CE65AA33270}">
    <text>2kW allocation reduced due to live reading of 0.3kW</text>
  </threadedComment>
  <threadedComment ref="AD217" dT="2023-10-20T15:29:07.58" personId="{F6E7EC2D-8E6E-4BA1-BCDD-6D7FECF08119}" id="{45594A80-185F-48C0-A7BD-89C44B03036C}" parentId="{88B3D8F4-72EB-49CF-9D72-1CE65AA33270}">
    <text>2kW allocation reduced due to live reading of 0.3kW</text>
  </threadedComment>
  <threadedComment ref="AD217" dT="2023-11-10T11:24:54.80" personId="{F6E7EC2D-8E6E-4BA1-BCDD-6D7FECF08119}" id="{C26B8248-ACF3-4F0F-9402-410F310AE229}" parentId="{88B3D8F4-72EB-49CF-9D72-1CE65AA33270}">
    <text>2kW allocation reduced due to live reading of 0.4kW</text>
  </threadedComment>
  <threadedComment ref="AD217" dT="2023-12-15T11:43:33.87" personId="{F6E7EC2D-8E6E-4BA1-BCDD-6D7FECF08119}" id="{B6EE420C-0610-4F54-9D81-71E7B6879869}" parentId="{88B3D8F4-72EB-49CF-9D72-1CE65AA33270}">
    <text>2kW allocation reduced due to live reading of 0.4kW</text>
  </threadedComment>
  <threadedComment ref="J218" personId="{31CF382B-C4A6-482E-AE04-28CACDB6A63A}" id="{C8E1599F-66F7-40C5-BF93-84A7CE7FBFE2}">
    <text>Jul-21 Was 5kW but confirmed currently running at 2.5kW</text>
  </threadedComment>
  <threadedComment ref="J218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18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18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18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18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18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L218" personId="{31CF382B-C4A6-482E-AE04-28CACDB6A63A}" id="{1826BC06-946E-4ED4-A14F-F88838856F90}">
    <text>Jul-21 Was 8kW, confirmed currently running at 6.7kW</text>
  </threadedComment>
  <threadedComment ref="L218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18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18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18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18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18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N218" personId="{31CF382B-C4A6-482E-AE04-28CACDB6A63A}" id="{AA4EF74C-9B03-4D6F-AC64-F6AF0B4EAE92}">
    <text>Reduced from 4 due to live reading of 700w</text>
  </threadedComment>
  <threadedComment ref="N218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18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18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18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18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18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P218" dT="2023-10-20T14:10:32.89" personId="{F6E7EC2D-8E6E-4BA1-BCDD-6D7FECF08119}" id="{E96C5570-72F3-46E1-8799-23E0A8C28F8B}">
    <text>2kW allocation reduced due to live reading of 0.7kW</text>
  </threadedComment>
  <threadedComment ref="P218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18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R218" dT="2023-01-12T15:02:24.46" personId="{BC55F889-AFD3-4AD4-B814-0EDFA8411758}" id="{C47ED076-CB18-4087-BC66-0D5F4361FF98}">
    <text>Live reading 23A, so 4kW allocation reduced by 1.2kW</text>
  </threadedComment>
  <threadedComment ref="R218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18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18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18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18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18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T218" dT="2023-01-12T15:02:24.46" personId="{BC55F889-AFD3-4AD4-B814-0EDFA8411758}" id="{164877FD-514B-4A5A-9C77-7EBAC3A7CBC1}">
    <text>Live reading 23A, so 4kW allocation reduced by 1.2kW</text>
  </threadedComment>
  <threadedComment ref="T218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18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18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18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18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18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V218" dT="2022-05-26T11:47:22.96" personId="{BC55F889-AFD3-4AD4-B814-0EDFA8411758}" id="{1F2EBBC0-5358-4B4E-9512-7B17EFD37283}">
    <text>6kW allocation reduced due to live redaing of 4kW</text>
  </threadedComment>
  <threadedComment ref="V218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18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18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18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18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18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Z218" dT="2023-12-19T11:05:26.25" personId="{F6E7EC2D-8E6E-4BA1-BCDD-6D7FECF08119}" id="{9C4EAA34-DF34-4A20-947F-CB32D2DF395B}">
    <text>2kW allocation reduced due to live reading of 0.7kW</text>
  </threadedComment>
  <threadedComment ref="AD218" dT="2023-07-12T08:27:10.91" personId="{4232887B-6F74-4501-885D-8735C5662726}" id="{760A5B33-2111-40D2-8FC5-742A7AE7F862}">
    <text>2kW allocation reduced due to live reading of 0.3kW</text>
  </threadedComment>
  <threadedComment ref="AD218" dT="2023-08-07T15:07:12.23" personId="{4232887B-6F74-4501-885D-8735C5662726}" id="{071E9767-4553-44A7-A9F5-BF8D7892C68F}" parentId="{760A5B33-2111-40D2-8FC5-742A7AE7F862}">
    <text>2kW allocation reduced due to live reading of 0.3kW</text>
  </threadedComment>
  <threadedComment ref="AD218" dT="2023-09-11T14:40:55.49" personId="{F6E7EC2D-8E6E-4BA1-BCDD-6D7FECF08119}" id="{8E6943D1-EADC-4E83-A12C-8C333CA613C4}" parentId="{760A5B33-2111-40D2-8FC5-742A7AE7F862}">
    <text>2kW allocation reduced due to live reading of 0.3kW</text>
  </threadedComment>
  <threadedComment ref="AD218" dT="2023-10-20T15:29:07.58" personId="{F6E7EC2D-8E6E-4BA1-BCDD-6D7FECF08119}" id="{9ADC29FD-7320-4920-85B7-79DC046DE860}" parentId="{760A5B33-2111-40D2-8FC5-742A7AE7F862}">
    <text>2kW allocation reduced due to live reading of 0.3kW</text>
  </threadedComment>
  <threadedComment ref="AD218" dT="2023-11-10T11:24:54.80" personId="{F6E7EC2D-8E6E-4BA1-BCDD-6D7FECF08119}" id="{2F25757F-A087-4CB8-BE6A-21AB99A0141D}" parentId="{760A5B33-2111-40D2-8FC5-742A7AE7F862}">
    <text>2kW allocation reduced due to live reading of 0.4kW</text>
  </threadedComment>
  <threadedComment ref="AD218" dT="2023-12-15T11:43:39.28" personId="{F6E7EC2D-8E6E-4BA1-BCDD-6D7FECF08119}" id="{F4D83B1B-7653-41DB-B41C-889F4A452FA1}" parentId="{760A5B33-2111-40D2-8FC5-742A7AE7F862}">
    <text>2kW allocation reduced due to live reading of 0.4kW</text>
  </threadedComment>
  <threadedComment ref="J223" dT="2023-01-25T15:54:58.69" personId="{BC55F889-AFD3-4AD4-B814-0EDFA8411758}" id="{EC3D2C5D-4179-4E0C-8E6D-46CF334A6FE5}">
    <text>5kW allocation reduced by 2.5kW as per other live RA readings</text>
  </threadedComment>
  <threadedComment ref="J223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5" dT="2023-11-22T08:27:15.22" personId="{7807B229-714C-4AA1-8F83-E7F46ACB7D83}" id="{329DB174-5196-4BFC-BE62-B67F505D3BA4}">
    <text>2*Juniper QFX5110 planned - 
ORMT_SAP_231020_19_26168659</text>
  </threadedComment>
  <threadedComment ref="J230" dT="2023-03-07T09:13:11.03" personId="{BC55F889-AFD3-4AD4-B814-0EDFA8411758}" id="{D21AD224-2334-4BA0-9E9F-662DB40F0DB4}">
    <text>8kW allocation reduced to 1.8kW after live reading of 6.2kW</text>
  </threadedComment>
  <threadedComment ref="L230" dT="2023-03-07T09:18:48.49" personId="{BC55F889-AFD3-4AD4-B814-0EDFA8411758}" id="{3FBAA932-0963-4611-8B52-FAE86E6C1F0A}">
    <text>4.5kW allocation reduced to 3.71kW after 790w live reading</text>
  </threadedComment>
  <threadedComment ref="N230" dT="2023-03-07T09:19:41.12" personId="{BC55F889-AFD3-4AD4-B814-0EDFA8411758}" id="{F95E2C37-85DA-40DC-A729-F23F00854223}">
    <text>4.5kW allocation reduced to 2.9kW after live reading of 1.6kW</text>
  </threadedComment>
  <threadedComment ref="P230" dT="2023-03-07T09:22:35.72" personId="{BC55F889-AFD3-4AD4-B814-0EDFA8411758}" id="{279AC31C-001A-4919-A605-043FFF77BF8D}">
    <text>4.5kW allocation reduced to 3.8kW after live reading of 692w</text>
  </threadedComment>
  <threadedComment ref="J231" dT="2023-03-07T09:13:11.03" personId="{BC55F889-AFD3-4AD4-B814-0EDFA8411758}" id="{08C910EE-4864-42AD-B42A-8484F006F427}">
    <text>8kW allocation reduced to 1.8kW after live reading of 6.2kW</text>
  </threadedComment>
  <threadedComment ref="L231" dT="2023-03-07T09:18:48.49" personId="{BC55F889-AFD3-4AD4-B814-0EDFA8411758}" id="{87E3AB10-7D66-48A1-8D1C-8E5C79674B87}">
    <text>4.5kW allocation reduced to 3.71kW after 790w live reading</text>
  </threadedComment>
  <threadedComment ref="N231" dT="2023-03-07T09:19:41.12" personId="{BC55F889-AFD3-4AD4-B814-0EDFA8411758}" id="{885DADD2-EAFD-44C7-97C5-CF9F823D502B}">
    <text>4.5kW allocation reduced to 2.9kW after live reading of 1.6kW</text>
  </threadedComment>
  <threadedComment ref="P231" dT="2023-03-07T09:22:35.72" personId="{BC55F889-AFD3-4AD4-B814-0EDFA8411758}" id="{F358DBC7-A75A-4E81-B022-2D0309BEE771}">
    <text>4.5kW allocation reduced to 3.8kW after live reading of 692w</text>
  </threadedComment>
  <threadedComment ref="J233" dT="2023-08-03T13:34:10.15" personId="{F6E7EC2D-8E6E-4BA1-BCDD-6D7FECF08119}" id="{A10F08C6-F101-4021-96F3-8DEFFC1D39E4}">
    <text>6kW allocation reduced due to live reading of 0.1kW</text>
  </threadedComment>
  <threadedComment ref="J233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3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3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L233" dT="2023-07-11T11:52:54.89" personId="{4232887B-6F74-4501-885D-8735C5662726}" id="{95ACE76A-E797-4F28-8DDD-72A92ABB189A}">
    <text>2kW allocation reduced due to live reading of 0.3kW</text>
  </threadedComment>
  <threadedComment ref="L233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3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3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3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J234" dT="2023-12-15T11:17:45.31" personId="{F6E7EC2D-8E6E-4BA1-BCDD-6D7FECF08119}" id="{C7D86FFB-CDFB-4D28-AE33-2F509CBC7DE4}">
    <text>6kW allocation reduced due to live reading of 0.1kW</text>
  </threadedComment>
  <threadedComment ref="L234" dT="2023-07-11T11:53:26.68" personId="{4232887B-6F74-4501-885D-8735C5662726}" id="{BB3AC4F5-BCFF-41EC-AF83-83E08C0DA33F}">
    <text xml:space="preserve">2kW allocation reduced due to live reading of 0.2kW
</text>
  </threadedComment>
  <threadedComment ref="L234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4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4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4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J236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38" dT="2022-05-26T11:51:15.63" personId="{BC55F889-AFD3-4AD4-B814-0EDFA8411758}" id="{58B6B1E8-C0FE-4A01-8757-0C7B340004C4}">
    <text>5kW allocation reduced due to live reading of 3.1kW</text>
  </threadedComment>
  <threadedComment ref="J238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38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38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38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38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38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L238" dT="2021-08-13T11:49:06.83" personId="{BC55F889-AFD3-4AD4-B814-0EDFA8411758}" id="{2AAFC728-D9A1-4B29-B91B-43619878E04F}">
    <text>5kW allocated, live so halved to 2.5kw</text>
  </threadedComment>
  <threadedComment ref="N238" dT="2023-01-12T15:07:21.06" personId="{BC55F889-AFD3-4AD4-B814-0EDFA8411758}" id="{BC8621D1-19E1-4AF9-A453-98D9236790A0}">
    <text>Live reading 79A, so 13.5kW allocation reduced by 4.3kW</text>
  </threadedComment>
  <threadedComment ref="N238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38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38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38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38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38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38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P238" dT="2023-01-12T15:07:21.06" personId="{BC55F889-AFD3-4AD4-B814-0EDFA8411758}" id="{8D36F5AE-F835-4677-BF2D-25DFEB679EE5}">
    <text>Live reading 32.8A, so 4.5kW allocation reduced by 1.8kW</text>
  </threadedComment>
  <threadedComment ref="P238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38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38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38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38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38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R238" dT="2022-05-26T11:54:57.07" personId="{BC55F889-AFD3-4AD4-B814-0EDFA8411758}" id="{FAAF3ED6-91BD-4156-BC53-29578C78D363}">
    <text>Total 8kW allocation reduced due to live reading of 6.6kW</text>
  </threadedComment>
  <threadedComment ref="R238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38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38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38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38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38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X238" dT="2023-07-11T14:03:44.59" personId="{4232887B-6F74-4501-885D-8735C5662726}" id="{BE020B42-63E7-4EC1-BDD1-C55464624009}">
    <text>2kW allocation reduced due to live reading of 1.1kW</text>
  </threadedComment>
  <threadedComment ref="X238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38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38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38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38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38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Z238" dT="2023-07-11T14:12:13.38" personId="{4232887B-6F74-4501-885D-8735C5662726}" id="{9B6D549E-1B1D-4467-8C56-01628225A0B2}">
    <text>2kW allocation reduced due to live reading of 1.3kW</text>
  </threadedComment>
  <threadedComment ref="Z238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38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38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38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38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38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J239" dT="2022-05-26T11:51:15.63" personId="{BC55F889-AFD3-4AD4-B814-0EDFA8411758}" id="{437CBC84-8D5B-45AC-B17F-0B347DE60BA9}">
    <text>5kW allocation reduced due to live reading of 3.1kW</text>
  </threadedComment>
  <threadedComment ref="J239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39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39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39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39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39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L239" dT="2021-08-13T11:49:06.83" personId="{BC55F889-AFD3-4AD4-B814-0EDFA8411758}" id="{BF446FA7-7CA3-46A8-ABB5-CA7176F60701}">
    <text>5kW allocated, live so halved to 2.5kw</text>
  </threadedComment>
  <threadedComment ref="N239" dT="2023-01-12T15:07:21.06" personId="{BC55F889-AFD3-4AD4-B814-0EDFA8411758}" id="{9795C785-B881-4C90-8EE5-C351A7B2BF31}">
    <text>Live reading 79A, so 13.5kW allocation reduced by 4.3kW</text>
  </threadedComment>
  <threadedComment ref="N239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39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39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39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39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39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39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P239" dT="2023-01-12T15:07:21.06" personId="{BC55F889-AFD3-4AD4-B814-0EDFA8411758}" id="{2EBA1A03-A7F6-4F13-AFED-840F105FE065}">
    <text>Live reading 32.8A, so 4.5kW allocation reduced by 1.8kW</text>
  </threadedComment>
  <threadedComment ref="P239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39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39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39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39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39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R239" dT="2022-05-26T11:54:57.07" personId="{BC55F889-AFD3-4AD4-B814-0EDFA8411758}" id="{94523894-28A2-44CA-86C5-89EE0A65CECB}">
    <text>Total 8kW allocation reduced due to live reading of 6.6kW</text>
  </threadedComment>
  <threadedComment ref="R239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39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39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39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39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39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X239" dT="2023-07-11T14:04:20.98" personId="{4232887B-6F74-4501-885D-8735C5662726}" id="{85FF7AF6-1096-4C66-887B-AFADA79B27D3}">
    <text>2kW allocation reduced due to live reading of 1.2kW</text>
  </threadedComment>
  <threadedComment ref="X239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39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39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39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39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39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Z239" dT="2023-07-11T14:12:36.13" personId="{4232887B-6F74-4501-885D-8735C5662726}" id="{2F56CB73-C981-458E-9FCF-DC0DD126711C}">
    <text>2kW allocation reduced due to live reading of 1.2kW</text>
  </threadedComment>
  <threadedComment ref="Z239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39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39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39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39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39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N240" dT="2023-01-12T13:18:29.45" personId="{BC55F889-AFD3-4AD4-B814-0EDFA8411758}" id="{BA67A799-EAA7-417D-BC23-CF95FD0995A2}">
    <text>1x N9K - 337W - 2 feeds
1x ISR4331 - 42W - 1 feed
2x QB500 - 1207W - 4 feeds</text>
  </threadedComment>
  <threadedComment ref="N241" dT="2023-01-12T13:18:33.58" personId="{BC55F889-AFD3-4AD4-B814-0EDFA8411758}" id="{ED0A3A25-69B5-45C0-80B1-64C55D44CB7A}">
    <text>1x N9K - 337W - 2 feeds
1x ISR4331 - 42W - 1 feed
2x QB500 - 1207W - 4 feeds</text>
  </threadedComment>
  <threadedComment ref="J246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J248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48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J250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AB30" dT="2022-05-26T11:28:26.53" personId="{BC55F889-AFD3-4AD4-B814-0EDFA8411758}" id="{457CDDEF-556A-4883-B9BC-19ADD8C743A8}">
    <text>3.7kW allocation reduced due to live reading of 1.5kW</text>
  </threadedComment>
  <threadedComment ref="AB30" dT="2023-04-05T13:02:39.30" personId="{BFC1E846-99FF-44B5-92AE-66A4D353BDC7}" id="{4B36CB31-6FAC-4A3E-B4F5-723C61ACF20E}" parentId="{457CDDEF-556A-4883-B9BC-19ADD8C743A8}">
    <text xml:space="preserve">3.7kW allocation reduced due to Live reading of 1.7kW </text>
  </threadedComment>
  <threadedComment ref="AB30" dT="2023-04-13T08:54:05.54" personId="{BFC1E846-99FF-44B5-92AE-66A4D353BDC7}" id="{E5A278CE-D939-4411-9378-AFF08B9A75EE}" parentId="{457CDDEF-556A-4883-B9BC-19ADD8C743A8}">
    <text>1kW added, taken from QWILT as now 10x server 4.25kW requirement</text>
  </threadedComment>
  <threadedComment ref="AB30" dT="2023-07-11T10:58:04.00" personId="{F6E7EC2D-8E6E-4BA1-BCDD-6D7FECF08119}" id="{6FEDEFCA-D92F-447D-B262-B84B06F109C0}" parentId="{457CDDEF-556A-4883-B9BC-19ADD8C743A8}">
    <text>4.25kW allocation reduced due to live reading of 1.6KW</text>
  </threadedComment>
  <threadedComment ref="AB30" dT="2023-08-02T09:13:21.29" personId="{F6E7EC2D-8E6E-4BA1-BCDD-6D7FECF08119}" id="{5D61B7A5-B9CF-4656-9FA2-32A9421D5F33}" parentId="{457CDDEF-556A-4883-B9BC-19ADD8C743A8}">
    <text>4.25kW allocation reduced due to live reading of 1.7KW</text>
  </threadedComment>
  <threadedComment ref="AB30" dT="2023-09-05T13:05:49.87" personId="{F6E7EC2D-8E6E-4BA1-BCDD-6D7FECF08119}" id="{114568A0-A601-41C9-B062-97BBF123CFDE}" parentId="{457CDDEF-556A-4883-B9BC-19ADD8C743A8}">
    <text>4.25kW allocation reduced due to live reading of 1.7KW</text>
  </threadedComment>
  <threadedComment ref="AB30" dT="2023-10-20T12:15:08.33" personId="{F6E7EC2D-8E6E-4BA1-BCDD-6D7FECF08119}" id="{87175405-B3E1-41DB-9A8F-9FCBB69CB09A}" parentId="{457CDDEF-556A-4883-B9BC-19ADD8C743A8}">
    <text>4.25kW allocation reduced due to live reading of 1.7KW</text>
  </threadedComment>
  <threadedComment ref="AB30" dT="2023-11-22T13:09:43.95" personId="{4232887B-6F74-4501-885D-8735C5662726}" id="{EE84EA72-7CF9-474D-B162-05DAD60FF36C}" parentId="{457CDDEF-556A-4883-B9BC-19ADD8C743A8}">
    <text>4.25kW allocation reduced due to live reading of 1.7KW</text>
  </threadedComment>
  <threadedComment ref="AB30" dT="2023-12-13T11:42:18.67" personId="{F6E7EC2D-8E6E-4BA1-BCDD-6D7FECF08119}" id="{4B4E2F7A-F4AF-44F9-9244-66718EA5174B}" parentId="{457CDDEF-556A-4883-B9BC-19ADD8C743A8}">
    <text>4.25kW allocation reduced due to live reading of 1.6KW</text>
  </threadedComment>
  <threadedComment ref="AD30" dT="2023-01-12T14:27:33.75" personId="{BC55F889-AFD3-4AD4-B814-0EDFA8411758}" id="{798A672D-617D-489D-A26B-59608FFACB2C}">
    <text>Live reading 33A, so 2.6kW allocation reduced by 1.8kW</text>
  </threadedComment>
  <threadedComment ref="AD30" dT="2023-07-11T10:53:37.28" personId="{F6E7EC2D-8E6E-4BA1-BCDD-6D7FECF08119}" id="{88C684BD-4FBD-4D4E-95A5-38938BACC063}" parentId="{798A672D-617D-489D-A26B-59608FFACB2C}">
    <text>2.6kW allocation reduced due to live reading of 2.1KW</text>
  </threadedComment>
  <threadedComment ref="AD30" dT="2023-08-02T08:57:17.50" personId="{F6E7EC2D-8E6E-4BA1-BCDD-6D7FECF08119}" id="{B6D0D85E-3F5C-4AEF-BE8B-9221571BBBA6}" parentId="{798A672D-617D-489D-A26B-59608FFACB2C}">
    <text>2.6kW allocation reduced due to live reading of 1.9KW</text>
  </threadedComment>
  <threadedComment ref="AD30" dT="2023-09-05T13:03:20.19" personId="{F6E7EC2D-8E6E-4BA1-BCDD-6D7FECF08119}" id="{2CBE7127-BB18-4F0D-B459-213C307C62B9}" parentId="{798A672D-617D-489D-A26B-59608FFACB2C}">
    <text>2.6kW allocation reduced due to live reading of 1.9KW</text>
  </threadedComment>
  <threadedComment ref="AD30" dT="2023-10-20T10:46:36.34" personId="{F6E7EC2D-8E6E-4BA1-BCDD-6D7FECF08119}" id="{3ACEC91D-2E61-4792-B45F-013831C89F19}" parentId="{798A672D-617D-489D-A26B-59608FFACB2C}">
    <text>2.6kW allocation reduced due to live reading of 2KW</text>
  </threadedComment>
  <threadedComment ref="AD30" dT="2023-11-22T13:09:31.81" personId="{4232887B-6F74-4501-885D-8735C5662726}" id="{EAEB2292-4829-4ED8-9192-8C087F046526}" parentId="{798A672D-617D-489D-A26B-59608FFACB2C}">
    <text>2.6kW allocation reduced due to live reading of 2KW</text>
  </threadedComment>
  <threadedComment ref="AD30" dT="2023-12-13T11:35:59.94" personId="{F6E7EC2D-8E6E-4BA1-BCDD-6D7FECF08119}" id="{A4E56EC3-266C-4FDE-843A-BCCA01F6CF08}" parentId="{798A672D-617D-489D-A26B-59608FFACB2C}">
    <text>2.6kW allocation reduced due to live reading of 1.8KW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R44" dT="2022-05-26T11:31:47.35" personId="{BC55F889-AFD3-4AD4-B814-0EDFA8411758}" id="{72C55169-7B56-494D-8F68-777133E9F283}">
    <text>8kW allocation reduced due to live reading of 6.8kW</text>
  </threadedComment>
  <threadedComment ref="R44" dT="2023-07-11T09:35:39.23" personId="{F6E7EC2D-8E6E-4BA1-BCDD-6D7FECF08119}" id="{F291BB99-454F-4E00-AE63-B63491C4B220}" parentId="{72C55169-7B56-494D-8F68-777133E9F283}">
    <text>8kW allocation reduced due to live reading of 7.1KW</text>
  </threadedComment>
  <threadedComment ref="R44" dT="2023-08-03T10:00:56.39" personId="{F6E7EC2D-8E6E-4BA1-BCDD-6D7FECF08119}" id="{571BB611-06E9-4D5F-B1FD-245B6C0067CA}" parentId="{72C55169-7B56-494D-8F68-777133E9F283}">
    <text>8kW allocation reduced due to live reading of 7.1KW</text>
  </threadedComment>
  <threadedComment ref="R44" dT="2023-09-05T14:49:56.90" personId="{F6E7EC2D-8E6E-4BA1-BCDD-6D7FECF08119}" id="{39163412-05C5-45E7-9B9D-49BC69DDDBE8}" parentId="{72C55169-7B56-494D-8F68-777133E9F283}">
    <text>8kW allocation reduced due to live reading of 7.1KW</text>
  </threadedComment>
  <threadedComment ref="R44" dT="2023-10-20T12:51:05.33" personId="{F6E7EC2D-8E6E-4BA1-BCDD-6D7FECF08119}" id="{711448DC-7DAE-4A32-BBF9-DB93B5CB7DED}" parentId="{72C55169-7B56-494D-8F68-777133E9F283}">
    <text>8kW allocation reduced due to live reading of 7.2KW</text>
  </threadedComment>
  <threadedComment ref="R44" dT="2023-11-09T11:08:36.14" personId="{F6E7EC2D-8E6E-4BA1-BCDD-6D7FECF08119}" id="{E324EFCD-DCAB-4CCD-9161-E2C9D8560590}" parentId="{72C55169-7B56-494D-8F68-777133E9F283}">
    <text>8kW allocation reduced due to live reading of 7.2KW</text>
  </threadedComment>
  <threadedComment ref="R44" dT="2023-12-13T11:56:47.82" personId="{F6E7EC2D-8E6E-4BA1-BCDD-6D7FECF08119}" id="{201E406B-3554-420B-8217-CD28F4BB74AA}" parentId="{72C55169-7B56-494D-8F68-777133E9F283}">
    <text>8kW allocation reduced due to live reading of 7.2KW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Q100" dT="2023-11-22T08:27:15.22" personId="{7807B229-714C-4AA1-8F83-E7F46ACB7D83}" id="{EF9F1197-11DF-4CC9-B07D-988E301D62B4}">
    <text>2*Juniper QFX5110 planned - 
ORMT_SAP_231020_19_26168659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J176" dT="2023-09-29T04:30:49.83" personId="{F6E7EC2D-8E6E-4BA1-BCDD-6D7FECF08119}" id="{8779149F-0232-4034-9D12-6BEC808DF6D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176" dT="2023-11-13T11:14:56.68" personId="{4232887B-6F74-4501-885D-8735C5662726}" id="{4629600D-94C2-46B1-BDAF-4590F1EFA15E}" parentId="{8779149F-0232-4034-9D12-6BEC808DF6D7}">
    <text>4kW allocation reduced due to live reading of 1.4kW</text>
  </threadedComment>
  <threadedComment ref="AJ176" dT="2023-12-18T12:04:15.14" personId="{4232887B-6F74-4501-885D-8735C5662726}" id="{2A9DEEF1-5354-4EC1-8696-B6EE4876C72B}" parentId="{8779149F-0232-4034-9D12-6BEC808DF6D7}">
    <text>4kW allocation reduced due to live reading of 2.8kW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F359" dT="2022-05-26T10:28:59.52" personId="{BC55F889-AFD3-4AD4-B814-0EDFA8411758}" id="{D4283106-9471-4689-9C79-ECEE2015389B}">
    <text>Reduced from 3.7kW due to live reading of 1.1kW</text>
  </threadedComment>
  <threadedComment ref="AF359" dT="2023-07-11T10:14:49.18" personId="{F6E7EC2D-8E6E-4BA1-BCDD-6D7FECF08119}" id="{6A40D7B3-C55C-4DFC-B0C4-0175C7D1BAED}" parentId="{D4283106-9471-4689-9C79-ECEE2015389B}">
    <text>3.7kW allocation reduced due to live reading of 1.3KW</text>
  </threadedComment>
  <threadedComment ref="AF359" dT="2023-08-02T11:42:13.84" personId="{4232887B-6F74-4501-885D-8735C5662726}" id="{117B2FF9-590F-45BF-84C7-6D3077DFBCCD}" parentId="{D4283106-9471-4689-9C79-ECEE2015389B}">
    <text>3.7kW allocation reduced due to live reading of 1.4KW</text>
  </threadedComment>
  <threadedComment ref="AF359" dT="2023-09-07T10:04:47.98" personId="{4232887B-6F74-4501-885D-8735C5662726}" id="{2FC33B94-185B-4103-9E5C-DF4989491141}" parentId="{D4283106-9471-4689-9C79-ECEE2015389B}">
    <text>3.7kW allocation reduced due to live reading of 1.4KW</text>
  </threadedComment>
  <threadedComment ref="AF359" dT="2023-10-23T11:18:49.13" personId="{F6E7EC2D-8E6E-4BA1-BCDD-6D7FECF08119}" id="{709BFE6C-5035-4783-8CE5-B5800C067BCB}" parentId="{D4283106-9471-4689-9C79-ECEE2015389B}">
    <text>3.7kW allocation reduced due to live reading of 1.6KW</text>
  </threadedComment>
  <threadedComment ref="AF359" dT="2023-11-14T10:17:48.74" personId="{4232887B-6F74-4501-885D-8735C5662726}" id="{8DCFB92D-6526-4480-996F-CB0D8E9F39E0}" parentId="{D4283106-9471-4689-9C79-ECEE2015389B}">
    <text>3.7kW allocation reduced due to live reading of 1.4KW</text>
  </threadedComment>
  <threadedComment ref="AF359" dT="2023-12-19T12:51:14.48" personId="{4232887B-6F74-4501-885D-8735C5662726}" id="{13656EFB-8004-4D97-BC94-A3A899781E90}" parentId="{D4283106-9471-4689-9C79-ECEE2015389B}">
    <text>3.7kW allocation reduced due to live reading of 1.5KW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2.5kW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2.5kW allocation reduced due to live reading of 0.2kW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2kW allocation reduced due to live reading of 0.2kW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R436" dT="2023-11-13T12:55:34.76" personId="{F6E7EC2D-8E6E-4BA1-BCDD-6D7FECF08119}" id="{A1C07965-5D53-45C7-980A-D0F051F5CB0D}">
    <text>Allocated under ORMT_SAP_231109_20_10335416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V441" dT="2023-07-13T14:20:38.74" personId="{4232887B-6F74-4501-885D-8735C5662726}" id="{D3AABDFD-423F-43B7-8C4F-E65EE1DADE75}">
    <text>4kW allocation reduced due to live reading of 1.6kW</text>
  </threadedComment>
  <threadedComment ref="V441" dT="2023-11-02T13:37:21.24" personId="{F6E7EC2D-8E6E-4BA1-BCDD-6D7FECF08119}" id="{B00A8147-5F35-4027-B9FB-D3D678F688E8}" parentId="{D3AABDFD-423F-43B7-8C4F-E65EE1DADE75}">
    <text>4kW allocation reduced due to live reading of 1.2kW</text>
  </threadedComment>
  <threadedComment ref="V441" dT="2023-12-12T12:32:40.24" personId="{F6E7EC2D-8E6E-4BA1-BCDD-6D7FECF08119}" id="{A1C4AA39-6D2C-49B6-AB59-F17EB65EE39E}" parentId="{D3AABDFD-423F-43B7-8C4F-E65EE1DADE75}">
    <text>4kW allocation reduced due to live reading of 1.2kW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U468" dT="2023-12-06T13:03:55.78" personId="{4232887B-6F74-4501-885D-8735C5662726}" id="{37A7FD83-75CC-4518-B4A8-B2F2EEC8A1BD}">
    <text>Waveserver_5(2.0KW)into B22-ORMT_SAP_231123_10_w014433 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S269"/>
  <sheetViews>
    <sheetView zoomScaleNormal="100" workbookViewId="0">
      <pane xSplit="1" ySplit="7" topLeftCell="C17" activePane="bottomRight" state="frozen"/>
      <selection pane="bottomRight" activeCell="G2" sqref="G2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10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4">
        <v>45275</v>
      </c>
    </row>
    <row r="2" spans="1:19">
      <c r="A2" s="27" t="s">
        <v>3</v>
      </c>
      <c r="C2" s="70">
        <f ca="1">All!B2</f>
        <v>245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 hidden="1">
      <c r="A8" s="35" t="s">
        <v>24</v>
      </c>
      <c r="B8" s="41" t="str">
        <f>VLOOKUP(A8,All!A:AM,2,0)</f>
        <v>ANGLIA</v>
      </c>
      <c r="C8" s="42">
        <f>VLOOKUP(A8,All!A:AM,11,0)</f>
        <v>45264</v>
      </c>
      <c r="D8" s="5"/>
      <c r="E8" s="17">
        <f>VLOOKUP(A8,All!A:AM,30,0)</f>
        <v>70.969945355191243</v>
      </c>
      <c r="F8" s="17">
        <f>VLOOKUP(A8,All!A:AM,28,0)</f>
        <v>4.5300399999999996</v>
      </c>
      <c r="G8" s="17">
        <f>VLOOKUP(A8,All!A:AM,31,0)</f>
        <v>-14.24731182795699</v>
      </c>
      <c r="H8" s="17">
        <f>VLOOKUP(A8,All!A:AM,29,0)</f>
        <v>-0.23108000000000001</v>
      </c>
      <c r="I8" s="6">
        <f>VLOOKUP(A8,All!A:AM,33,0)</f>
        <v>85.913458614608032</v>
      </c>
      <c r="J8" s="6">
        <f>VLOOKUP(A8,All!A:AM,32,0)</f>
        <v>11.301399999999999</v>
      </c>
      <c r="K8" s="20">
        <f>VLOOKUP(A8,All!A:AM,39,0)</f>
        <v>75.293333333333337</v>
      </c>
      <c r="L8" s="20">
        <f>VLOOKUP(A8,All!A:AM,38,0)</f>
        <v>5.6470000000000002</v>
      </c>
      <c r="M8" s="264">
        <f>VLOOKUP(A8,'SYS Allocations'!A:G,2,0)</f>
        <v>0</v>
      </c>
      <c r="N8" s="97">
        <f>VLOOKUP(A8,'SYS Allocations'!A:G,3,0)</f>
        <v>0</v>
      </c>
      <c r="O8" s="97">
        <f>VLOOKUP(A8,'SYS Allocations'!A:G,4,0)</f>
        <v>0</v>
      </c>
      <c r="P8" s="97">
        <f>VLOOKUP(A8,'SYS Allocations'!A:G,5,0)</f>
        <v>0</v>
      </c>
      <c r="Q8" s="97">
        <f>VLOOKUP(A8,'SYS Allocations'!A:G,6,0)</f>
        <v>0</v>
      </c>
      <c r="R8" s="12">
        <f>VLOOKUP(A8,'SYS Allocations'!A:G,7,0)</f>
        <v>0</v>
      </c>
    </row>
    <row r="9" spans="1:19" hidden="1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7">
        <f>VLOOKUP(A9,'SYS Allocations'!A:G,2,0)</f>
        <v>0</v>
      </c>
      <c r="N9" s="97">
        <f>VLOOKUP(A9,'SYS Allocations'!A:G,3,0)</f>
        <v>0</v>
      </c>
      <c r="O9" s="97">
        <f>VLOOKUP(A9,'SYS Allocations'!A:G,4,0)</f>
        <v>0</v>
      </c>
      <c r="P9" s="97">
        <f>VLOOKUP(A9,'SYS Allocations'!A:G,5,0)</f>
        <v>0</v>
      </c>
      <c r="Q9" s="97">
        <f>VLOOKUP(A9,'SYS Allocations'!A:G,6,0)</f>
        <v>0</v>
      </c>
      <c r="R9" s="12">
        <f>VLOOKUP(A9,'SYS Allocations'!A:G,7,0)</f>
        <v>6.5</v>
      </c>
    </row>
    <row r="10" spans="1:19" hidden="1">
      <c r="A10" s="35" t="s">
        <v>26</v>
      </c>
      <c r="B10" s="41" t="str">
        <f>VLOOKUP(A10,All!A:AM,2,0)</f>
        <v>SCOTLAND</v>
      </c>
      <c r="C10" s="42">
        <f>VLOOKUP(A10,All!A:AM,11,0)</f>
        <v>45264</v>
      </c>
      <c r="D10" s="5"/>
      <c r="E10" s="17">
        <f>VLOOKUP(A10,All!A:AM,30,0)</f>
        <v>41.287838751955348</v>
      </c>
      <c r="F10" s="17">
        <f>VLOOKUP(A10,All!A:AM,28,0)</f>
        <v>15.625299999999999</v>
      </c>
      <c r="G10" s="17">
        <f>VLOOKUP(A10,All!A:AM,31,0)</f>
        <v>19.744636278263382</v>
      </c>
      <c r="H10" s="17">
        <f>VLOOKUP(A10,All!A:AM,29,0)</f>
        <v>5.4664999999999999</v>
      </c>
      <c r="I10" s="6">
        <f>VLOOKUP(A10,All!A:AM,33,0)</f>
        <v>29.878626069832617</v>
      </c>
      <c r="J10" s="6">
        <f>VLOOKUP(A10,All!A:AM,32,0)</f>
        <v>9.4677000000000007</v>
      </c>
      <c r="K10" s="20">
        <f>VLOOKUP(A10,All!A:AM,39,0)</f>
        <v>34.164444444444442</v>
      </c>
      <c r="L10" s="20">
        <f>VLOOKUP(A10,All!A:AM,38,0)</f>
        <v>11.5305</v>
      </c>
      <c r="M10" s="97">
        <f>VLOOKUP(A10,'SYS Allocations'!A:G,2,0)</f>
        <v>0</v>
      </c>
      <c r="N10" s="97">
        <f>VLOOKUP(A10,'SYS Allocations'!A:G,3,0)</f>
        <v>0</v>
      </c>
      <c r="O10" s="97">
        <f>VLOOKUP(A10,'SYS Allocations'!A:G,4,0)</f>
        <v>0</v>
      </c>
      <c r="P10" s="97">
        <f>VLOOKUP(A10,'SYS Allocations'!A:G,5,0)</f>
        <v>0</v>
      </c>
      <c r="Q10" s="97">
        <f>VLOOKUP(A10,'SYS Allocations'!A:G,6,0)</f>
        <v>0</v>
      </c>
      <c r="R10" s="12">
        <f>VLOOKUP(A10,'SYS Allocations'!A:G,7,0)</f>
        <v>2</v>
      </c>
    </row>
    <row r="11" spans="1:19" hidden="1">
      <c r="A11" s="35" t="s">
        <v>27</v>
      </c>
      <c r="B11" s="41" t="str">
        <f>VLOOKUP(A11,All!A:AM,2,0)</f>
        <v>SCOTLAND</v>
      </c>
      <c r="C11" s="42">
        <f>VLOOKUP(A11,All!A:AM,11,0)</f>
        <v>45264</v>
      </c>
      <c r="D11" s="5"/>
      <c r="E11" s="17">
        <f>VLOOKUP(A11,All!A:AM,30,0)</f>
        <v>32.000605175142695</v>
      </c>
      <c r="F11" s="17">
        <f>VLOOKUP(A11,All!A:AM,28,0)</f>
        <v>7.1491399999999992</v>
      </c>
      <c r="G11" s="17">
        <f>VLOOKUP(A11,All!A:AM,31,0)</f>
        <v>-10.437052007153346</v>
      </c>
      <c r="H11" s="17">
        <f>VLOOKUP(A11,All!A:AM,29,0)</f>
        <v>-1.4357000000000002</v>
      </c>
      <c r="I11" s="6">
        <f>VLOOKUP(A11,All!A:AM,33,0)</f>
        <v>33.524557165861516</v>
      </c>
      <c r="J11" s="6">
        <f>VLOOKUP(A11,All!A:AM,32,0)</f>
        <v>7.6613000000000007</v>
      </c>
      <c r="K11" s="20">
        <f>VLOOKUP(A11,All!A:AM,39,0)</f>
        <v>66.24111111111111</v>
      </c>
      <c r="L11" s="20">
        <f>VLOOKUP(A11,All!A:AM,38,0)</f>
        <v>29.808500000000002</v>
      </c>
      <c r="M11" s="97">
        <f>VLOOKUP(A11,'SYS Allocations'!A:G,2,0)</f>
        <v>0</v>
      </c>
      <c r="N11" s="97">
        <f>VLOOKUP(A11,'SYS Allocations'!A:G,3,0)</f>
        <v>0</v>
      </c>
      <c r="O11" s="97">
        <f>VLOOKUP(A11,'SYS Allocations'!A:G,4,0)</f>
        <v>0</v>
      </c>
      <c r="P11" s="97">
        <f>VLOOKUP(A11,'SYS Allocations'!A:G,5,0)</f>
        <v>0</v>
      </c>
      <c r="Q11" s="97">
        <f>VLOOKUP(A11,'SYS Allocations'!A:G,6,0)</f>
        <v>0</v>
      </c>
      <c r="R11" s="12">
        <f>VLOOKUP(A11,'SYS Allocations'!A:G,7,0)</f>
        <v>5</v>
      </c>
    </row>
    <row r="12" spans="1:19" hidden="1">
      <c r="A12" s="35" t="s">
        <v>28</v>
      </c>
      <c r="B12" s="41" t="str">
        <f>VLOOKUP(A12,All!A:AM,2,0)</f>
        <v>LONDON</v>
      </c>
      <c r="C12" s="42">
        <f>VLOOKUP(A12,All!A:AM,11,0)</f>
        <v>45232</v>
      </c>
      <c r="D12" s="5"/>
      <c r="E12" s="17">
        <f>VLOOKUP(A12,All!A:AM,30,0)</f>
        <v>33.163473091332484</v>
      </c>
      <c r="F12" s="17">
        <f>VLOOKUP(A12,All!A:AM,28,0)</f>
        <v>47.099640000000001</v>
      </c>
      <c r="G12" s="17">
        <f>VLOOKUP(A12,All!A:AM,31,0)</f>
        <v>-5.0866671906811041</v>
      </c>
      <c r="H12" s="17">
        <f>VLOOKUP(A12,All!A:AM,29,0)</f>
        <v>-4.5946999999999996</v>
      </c>
      <c r="I12" s="6">
        <f>VLOOKUP(A12,All!A:AM,33,0)</f>
        <v>33.253594572701431</v>
      </c>
      <c r="J12" s="6">
        <f>VLOOKUP(A12,All!A:AM,32,0)</f>
        <v>47.291399999999904</v>
      </c>
      <c r="K12" s="20">
        <f>VLOOKUP(A12,All!A:AM,39,0)</f>
        <v>83.0570281124498</v>
      </c>
      <c r="L12" s="20">
        <f>VLOOKUP(A12,All!A:AM,38,0)</f>
        <v>465.327</v>
      </c>
      <c r="M12" s="97">
        <f>VLOOKUP(A12,'SYS Allocations'!A:G,2,0)</f>
        <v>0</v>
      </c>
      <c r="N12" s="97" t="str">
        <f>VLOOKUP(A12,'SYS Allocations'!A:G,3,0)</f>
        <v>RA</v>
      </c>
      <c r="O12" s="97">
        <f>VLOOKUP(A12,'SYS Allocations'!A:G,4,0)</f>
        <v>0</v>
      </c>
      <c r="P12" s="97">
        <f>VLOOKUP(A12,'SYS Allocations'!A:G,5,0)</f>
        <v>0</v>
      </c>
      <c r="Q12" s="97" t="str">
        <f>VLOOKUP(A12,'SYS Allocations'!A:G,6,0)</f>
        <v>OPEX</v>
      </c>
      <c r="R12" s="12">
        <f>VLOOKUP(A12,'SYS Allocations'!A:G,7,0)</f>
        <v>13.5</v>
      </c>
    </row>
    <row r="13" spans="1:19" hidden="1">
      <c r="A13" s="35" t="s">
        <v>29</v>
      </c>
      <c r="B13" s="41" t="str">
        <f>VLOOKUP(A13,All!A:AM,2,0)</f>
        <v xml:space="preserve">SCOTTISH HIGHLANDS &amp; ISLANDS </v>
      </c>
      <c r="C13" s="42">
        <f>VLOOKUP(A13,All!A:AM,11,0)</f>
        <v>44483.506944444402</v>
      </c>
      <c r="D13" s="5"/>
      <c r="E13" s="17">
        <f>VLOOKUP(A13,All!A:AM,30,0)</f>
        <v>75.568181818181813</v>
      </c>
      <c r="F13" s="17">
        <f>VLOOKUP(A13,All!A:AM,28,0)</f>
        <v>2.17455</v>
      </c>
      <c r="G13" s="17">
        <f>VLOOKUP(A13,All!A:AM,31,0)</f>
        <v>79.523809523809518</v>
      </c>
      <c r="H13" s="17">
        <f>VLOOKUP(A13,All!A:AM,29,0)</f>
        <v>2.7304499999999998</v>
      </c>
      <c r="I13" s="6">
        <f>VLOOKUP(A13,All!A:AM,33,0)</f>
        <v>72.876157407407405</v>
      </c>
      <c r="J13" s="6">
        <f>VLOOKUP(A13,All!A:AM,32,0)</f>
        <v>1.8889499999999999</v>
      </c>
      <c r="K13" s="20">
        <f>VLOOKUP(A13,All!A:AM,39,0)</f>
        <v>86.008955223880591</v>
      </c>
      <c r="L13" s="20">
        <f>VLOOKUP(A13,All!A:AM,38,0)</f>
        <v>4.3219500000000002</v>
      </c>
      <c r="M13" s="97">
        <f>VLOOKUP(A13,'SYS Allocations'!A:G,2,0)</f>
        <v>0</v>
      </c>
      <c r="N13" s="97">
        <f>VLOOKUP(A13,'SYS Allocations'!A:G,3,0)</f>
        <v>0</v>
      </c>
      <c r="O13" s="97">
        <f>VLOOKUP(A13,'SYS Allocations'!A:G,4,0)</f>
        <v>0</v>
      </c>
      <c r="P13" s="97">
        <f>VLOOKUP(A13,'SYS Allocations'!A:G,5,0)</f>
        <v>0</v>
      </c>
      <c r="Q13" s="97">
        <f>VLOOKUP(A13,'SYS Allocations'!A:G,6,0)</f>
        <v>0</v>
      </c>
      <c r="R13" s="12">
        <f>VLOOKUP(A13,'SYS Allocations'!A:G,7,0)</f>
        <v>0</v>
      </c>
    </row>
    <row r="14" spans="1:19" hidden="1">
      <c r="A14" s="35" t="s">
        <v>30</v>
      </c>
      <c r="B14" s="41" t="str">
        <f>VLOOKUP(A14,All!A:AM,2,0)</f>
        <v>SOUTH EAST</v>
      </c>
      <c r="C14" s="42">
        <f>VLOOKUP(A14,All!A:AM,11,0)</f>
        <v>44691.5</v>
      </c>
      <c r="D14" s="5"/>
      <c r="E14" s="17">
        <f>VLOOKUP(A14,All!A:AM,30,0)</f>
        <v>50.268780450010709</v>
      </c>
      <c r="F14" s="17">
        <f>VLOOKUP(A14,All!A:AM,28,0)</f>
        <v>8.8238599999999998</v>
      </c>
      <c r="G14" s="17">
        <f>VLOOKUP(A14,All!A:AM,31,0)</f>
        <v>44.092734045982745</v>
      </c>
      <c r="H14" s="17">
        <f>VLOOKUP(A14,All!A:AM,29,0)</f>
        <v>6.8847495094999998</v>
      </c>
      <c r="I14" s="6">
        <f>VLOOKUP(A14,All!A:AM,33,0)</f>
        <v>30.915637860082146</v>
      </c>
      <c r="J14" s="6">
        <f>VLOOKUP(A14,All!A:AM,32,0)</f>
        <v>3.9064999999999799</v>
      </c>
      <c r="K14" s="20">
        <f>VLOOKUP(A14,All!A:AM,39,0)</f>
        <v>10.466666666666669</v>
      </c>
      <c r="L14" s="20">
        <f>VLOOKUP(A14,All!A:AM,38,0)</f>
        <v>1.0205000000000002</v>
      </c>
      <c r="M14" s="97">
        <f>VLOOKUP(A14,'SYS Allocations'!A:G,2,0)</f>
        <v>0</v>
      </c>
      <c r="N14" s="97">
        <f>VLOOKUP(A14,'SYS Allocations'!A:G,3,0)</f>
        <v>0</v>
      </c>
      <c r="O14" s="97">
        <f>VLOOKUP(A14,'SYS Allocations'!A:G,4,0)</f>
        <v>0</v>
      </c>
      <c r="P14" s="97">
        <f>VLOOKUP(A14,'SYS Allocations'!A:G,5,0)</f>
        <v>0</v>
      </c>
      <c r="Q14" s="97">
        <f>VLOOKUP(A14,'SYS Allocations'!A:G,6,0)</f>
        <v>0</v>
      </c>
      <c r="R14" s="12">
        <f>VLOOKUP(A14,'SYS Allocations'!A:G,7,0)</f>
        <v>0.5</v>
      </c>
    </row>
    <row r="15" spans="1:19" hidden="1">
      <c r="A15" s="35" t="s">
        <v>31</v>
      </c>
      <c r="B15" s="41" t="str">
        <f>VLOOKUP(A15,All!A:AM,2,0)</f>
        <v>THAMES VALLEY</v>
      </c>
      <c r="C15" s="42">
        <f>VLOOKUP(A15,All!A:AM,11,0)</f>
        <v>44579.625</v>
      </c>
      <c r="D15" s="5"/>
      <c r="E15" s="17">
        <f>VLOOKUP(A15,All!A:AM,30,0)</f>
        <v>66.666666666666671</v>
      </c>
      <c r="F15" s="17">
        <f>VLOOKUP(A15,All!A:AM,28,0)</f>
        <v>10.9</v>
      </c>
      <c r="G15" s="17">
        <f>VLOOKUP(A15,All!A:AM,31,0)</f>
        <v>60.9375</v>
      </c>
      <c r="H15" s="17">
        <f>VLOOKUP(A15,All!A:AM,29,0)</f>
        <v>8.5020000000000007</v>
      </c>
      <c r="I15" s="6">
        <f>VLOOKUP(A15,All!A:AM,33,0)</f>
        <v>46.08657803102227</v>
      </c>
      <c r="J15" s="6">
        <f>VLOOKUP(A15,All!A:AM,32,0)</f>
        <v>4.6587999999999798</v>
      </c>
      <c r="K15" s="20">
        <f>VLOOKUP(A15,All!A:AM,39,0)</f>
        <v>95.155555555555551</v>
      </c>
      <c r="L15" s="20">
        <f>VLOOKUP(A15,All!A:AM,38,0)</f>
        <v>107.05</v>
      </c>
      <c r="M15" s="97">
        <f>VLOOKUP(A15,'SYS Allocations'!A:G,2,0)</f>
        <v>0</v>
      </c>
      <c r="N15" s="97">
        <f>VLOOKUP(A15,'SYS Allocations'!A:G,3,0)</f>
        <v>0</v>
      </c>
      <c r="O15" s="97">
        <f>VLOOKUP(A15,'SYS Allocations'!A:G,4,0)</f>
        <v>0</v>
      </c>
      <c r="P15" s="97">
        <f>VLOOKUP(A15,'SYS Allocations'!A:G,5,0)</f>
        <v>0</v>
      </c>
      <c r="Q15" s="97">
        <f>VLOOKUP(A15,'SYS Allocations'!A:G,6,0)</f>
        <v>0</v>
      </c>
      <c r="R15" s="12">
        <f>VLOOKUP(A15,'SYS Allocations'!A:G,7,0)</f>
        <v>0</v>
      </c>
    </row>
    <row r="16" spans="1:19" hidden="1">
      <c r="A16" s="35" t="s">
        <v>32</v>
      </c>
      <c r="B16" s="41" t="str">
        <f>VLOOKUP(A16,All!A:AM,2,0)</f>
        <v>SCOTLAND</v>
      </c>
      <c r="C16" s="42">
        <f>VLOOKUP(A16,All!A:AM,11,0)</f>
        <v>41585</v>
      </c>
      <c r="D16" s="5"/>
      <c r="E16" s="17">
        <f>VLOOKUP(A16,All!A:AM,30,0)</f>
        <v>86.413043478260889</v>
      </c>
      <c r="F16" s="17">
        <f>VLOOKUP(A16,All!A:AM,28,0)</f>
        <v>3.4662000000000002</v>
      </c>
      <c r="G16" s="17">
        <f>VLOOKUP(A16,All!A:AM,31,0)</f>
        <v>88.63636363636364</v>
      </c>
      <c r="H16" s="17">
        <f>VLOOKUP(A16,All!A:AM,29,0)</f>
        <v>4.2510000000000003</v>
      </c>
      <c r="I16" s="6">
        <f>VLOOKUP(A16,All!A:AM,33,0)</f>
        <v>84.230324074074076</v>
      </c>
      <c r="J16" s="6">
        <f>VLOOKUP(A16,All!A:AM,32,0)</f>
        <v>2.911</v>
      </c>
      <c r="K16" s="20">
        <f>VLOOKUP(A16,All!A:AM,39,0)</f>
        <v>96.366666666666674</v>
      </c>
      <c r="L16" s="20">
        <f>VLOOKUP(A16,All!A:AM,38,0)</f>
        <v>14.455</v>
      </c>
      <c r="M16" s="97">
        <f>VLOOKUP(A16,'SYS Allocations'!A:G,2,0)</f>
        <v>0</v>
      </c>
      <c r="N16" s="97">
        <f>VLOOKUP(A16,'SYS Allocations'!A:G,3,0)</f>
        <v>0</v>
      </c>
      <c r="O16" s="97">
        <f>VLOOKUP(A16,'SYS Allocations'!A:G,4,0)</f>
        <v>0</v>
      </c>
      <c r="P16" s="97">
        <f>VLOOKUP(A16,'SYS Allocations'!A:G,5,0)</f>
        <v>0</v>
      </c>
      <c r="Q16" s="97">
        <f>VLOOKUP(A16,'SYS Allocations'!A:G,6,0)</f>
        <v>0</v>
      </c>
      <c r="R16" s="12">
        <f>VLOOKUP(A16,'SYS Allocations'!A:G,7,0)</f>
        <v>0</v>
      </c>
    </row>
    <row r="17" spans="1:18" hidden="1">
      <c r="A17" s="35" t="s">
        <v>33</v>
      </c>
      <c r="B17" s="41" t="str">
        <f>VLOOKUP(A17,All!A:AM,2,0)</f>
        <v>SOUTH WEST</v>
      </c>
      <c r="C17" s="42">
        <f>VLOOKUP(A17,All!A:AM,11,0)</f>
        <v>44972</v>
      </c>
      <c r="D17" s="5"/>
      <c r="E17" s="17">
        <f>VLOOKUP(A17,All!A:AM,30,0)</f>
        <v>42.946796298326156</v>
      </c>
      <c r="F17" s="17">
        <f>VLOOKUP(A17,All!A:AM,28,0)</f>
        <v>40.434339999999999</v>
      </c>
      <c r="G17" s="17">
        <f>VLOOKUP(A17,All!A:AM,31,0)</f>
        <v>-2.7314472156718748</v>
      </c>
      <c r="H17" s="17">
        <f>VLOOKUP(A17,All!A:AM,29,0)</f>
        <v>-1.4282000000000004</v>
      </c>
      <c r="I17" s="6">
        <f>VLOOKUP(A17,All!A:AM,33,0)</f>
        <v>49.63894889218917</v>
      </c>
      <c r="J17" s="6">
        <f>VLOOKUP(A17,All!A:AM,32,0)</f>
        <v>52.945300000000103</v>
      </c>
      <c r="K17" s="20">
        <f>VLOOKUP(A17,All!A:AM,39,0)</f>
        <v>53.793118279569889</v>
      </c>
      <c r="L17" s="20">
        <f>VLOOKUP(A17,All!A:AM,38,0)</f>
        <v>62.534500000000001</v>
      </c>
      <c r="M17" s="97">
        <f>VLOOKUP(A17,'SYS Allocations'!A:G,2,0)</f>
        <v>0</v>
      </c>
      <c r="N17" s="97" t="str">
        <f>VLOOKUP(A17,'SYS Allocations'!A:G,3,0)</f>
        <v>RA</v>
      </c>
      <c r="O17" s="97">
        <f>VLOOKUP(A17,'SYS Allocations'!A:G,4,0)</f>
        <v>0</v>
      </c>
      <c r="P17" s="97">
        <f>VLOOKUP(A17,'SYS Allocations'!A:G,5,0)</f>
        <v>0</v>
      </c>
      <c r="Q17" s="97">
        <f>VLOOKUP(A17,'SYS Allocations'!A:G,6,0)</f>
        <v>0</v>
      </c>
      <c r="R17" s="12">
        <f>VLOOKUP(A17,'SYS Allocations'!A:G,7,0)</f>
        <v>6.9</v>
      </c>
    </row>
    <row r="18" spans="1:18" hidden="1">
      <c r="A18" s="35" t="s">
        <v>34</v>
      </c>
      <c r="B18" s="41" t="str">
        <f>VLOOKUP(A18,All!A:AM,2,0)</f>
        <v>MIDLANDS</v>
      </c>
      <c r="C18" s="42">
        <f>VLOOKUP(A18,All!A:AM,11,0)</f>
        <v>45211</v>
      </c>
      <c r="D18" s="5"/>
      <c r="E18" s="17">
        <f>VLOOKUP(A18,All!A:AM,30,0)</f>
        <v>34.811625808392229</v>
      </c>
      <c r="F18" s="17">
        <f>VLOOKUP(A18,All!A:AM,28,0)</f>
        <v>4.4440799999999996</v>
      </c>
      <c r="G18" s="17">
        <f>VLOOKUP(A18,All!A:AM,31,0)</f>
        <v>-33.593392569048135</v>
      </c>
      <c r="H18" s="17">
        <f>VLOOKUP(A18,All!A:AM,29,0)</f>
        <v>-2.0926499999999999</v>
      </c>
      <c r="I18" s="6">
        <f>VLOOKUP(A18,All!A:AM,33,0)</f>
        <v>45.117125672681162</v>
      </c>
      <c r="J18" s="6">
        <f>VLOOKUP(A18,All!A:AM,32,0)</f>
        <v>6.84119999999999</v>
      </c>
      <c r="K18" s="20">
        <f>VLOOKUP(A18,All!A:AM,39,0)</f>
        <v>69.177777777777777</v>
      </c>
      <c r="L18" s="20">
        <f>VLOOKUP(A18,All!A:AM,38,0)</f>
        <v>18.678000000000001</v>
      </c>
      <c r="M18" s="97">
        <f>VLOOKUP(A18,'SYS Allocations'!A:G,2,0)</f>
        <v>0</v>
      </c>
      <c r="N18" s="97">
        <f>VLOOKUP(A18,'SYS Allocations'!A:G,3,0)</f>
        <v>0</v>
      </c>
      <c r="O18" s="97">
        <f>VLOOKUP(A18,'SYS Allocations'!A:G,4,0)</f>
        <v>0</v>
      </c>
      <c r="P18" s="97">
        <f>VLOOKUP(A18,'SYS Allocations'!A:G,5,0)</f>
        <v>0</v>
      </c>
      <c r="Q18" s="97">
        <f>VLOOKUP(A18,'SYS Allocations'!A:G,6,0)</f>
        <v>0</v>
      </c>
      <c r="R18" s="12">
        <f>VLOOKUP(A18,'SYS Allocations'!A:G,7,0)</f>
        <v>2</v>
      </c>
    </row>
    <row r="19" spans="1:18" hidden="1">
      <c r="A19" s="35" t="s">
        <v>35</v>
      </c>
      <c r="B19" s="41" t="str">
        <f>VLOOKUP(A19,All!A:AM,2,0)</f>
        <v>SOUTH WEST</v>
      </c>
      <c r="C19" s="42">
        <f>VLOOKUP(A19,All!A:AM,11,0)</f>
        <v>44987</v>
      </c>
      <c r="D19" s="5"/>
      <c r="E19" s="17">
        <f>VLOOKUP(A19,All!A:AM,30,0)</f>
        <v>36.93181818181818</v>
      </c>
      <c r="F19" s="17">
        <f>VLOOKUP(A19,All!A:AM,28,0)</f>
        <v>3.5425</v>
      </c>
      <c r="G19" s="17">
        <f>VLOOKUP(A19,All!A:AM,31,0)</f>
        <v>-7.3916408668730647</v>
      </c>
      <c r="H19" s="17">
        <f>VLOOKUP(A19,All!A:AM,29,0)</f>
        <v>-0.41637999999999997</v>
      </c>
      <c r="I19" s="6">
        <f>VLOOKUP(A19,All!A:AM,33,0)</f>
        <v>54.011585477102798</v>
      </c>
      <c r="J19" s="6">
        <f>VLOOKUP(A19,All!A:AM,32,0)</f>
        <v>7.1049000000000104</v>
      </c>
      <c r="K19" s="20">
        <f>VLOOKUP(A19,All!A:AM,39,0)</f>
        <v>73.11333333333333</v>
      </c>
      <c r="L19" s="20">
        <f>VLOOKUP(A19,All!A:AM,38,0)</f>
        <v>16.450499999999998</v>
      </c>
      <c r="M19" s="97">
        <f>VLOOKUP(A19,'SYS Allocations'!A:G,2,0)</f>
        <v>0</v>
      </c>
      <c r="N19" s="97">
        <f>VLOOKUP(A19,'SYS Allocations'!A:G,3,0)</f>
        <v>0</v>
      </c>
      <c r="O19" s="97">
        <f>VLOOKUP(A19,'SYS Allocations'!A:G,4,0)</f>
        <v>0</v>
      </c>
      <c r="P19" s="97">
        <f>VLOOKUP(A19,'SYS Allocations'!A:G,5,0)</f>
        <v>0</v>
      </c>
      <c r="Q19" s="97">
        <f>VLOOKUP(A19,'SYS Allocations'!A:G,6,0)</f>
        <v>0</v>
      </c>
      <c r="R19" s="12">
        <f>VLOOKUP(A19,'SYS Allocations'!A:G,7,0)</f>
        <v>0</v>
      </c>
    </row>
    <row r="20" spans="1:18" hidden="1">
      <c r="A20" s="35" t="s">
        <v>36</v>
      </c>
      <c r="B20" s="41" t="str">
        <f>VLOOKUP(A20,All!A:AM,2,0)</f>
        <v>SOUTH WEST</v>
      </c>
      <c r="C20" s="42">
        <f>VLOOKUP(A20,All!A:AM,11,0)</f>
        <v>45048</v>
      </c>
      <c r="D20" s="5"/>
      <c r="E20" s="17">
        <f>VLOOKUP(A20,All!A:AM,30,0)</f>
        <v>16.539245667686036</v>
      </c>
      <c r="F20" s="17">
        <f>VLOOKUP(A20,All!A:AM,28,0)</f>
        <v>6.49</v>
      </c>
      <c r="G20" s="17">
        <f>VLOOKUP(A20,All!A:AM,31,0)</f>
        <v>7.6506176129306072</v>
      </c>
      <c r="H20" s="17">
        <f>VLOOKUP(A20,All!A:AM,29,0)</f>
        <v>2.7131500000000006</v>
      </c>
      <c r="I20" s="6">
        <f>VLOOKUP(A20,All!A:AM,33,0)</f>
        <v>-17.809145586923471</v>
      </c>
      <c r="J20" s="6">
        <f>VLOOKUP(A20,All!A:AM,32,0)</f>
        <v>-4.9508000000000294</v>
      </c>
      <c r="K20" s="20">
        <f>VLOOKUP(A20,All!A:AM,39,0)</f>
        <v>61.836508768863254</v>
      </c>
      <c r="L20" s="20">
        <f>VLOOKUP(A20,All!A:AM,38,0)</f>
        <v>53.064999999999998</v>
      </c>
      <c r="M20" s="97">
        <f>VLOOKUP(A20,'SYS Allocations'!A:G,2,0)</f>
        <v>0</v>
      </c>
      <c r="N20" s="97">
        <f>VLOOKUP(A20,'SYS Allocations'!A:G,3,0)</f>
        <v>0</v>
      </c>
      <c r="O20" s="97">
        <f>VLOOKUP(A20,'SYS Allocations'!A:G,4,0)</f>
        <v>0</v>
      </c>
      <c r="P20" s="97">
        <f>VLOOKUP(A20,'SYS Allocations'!A:G,5,0)</f>
        <v>0</v>
      </c>
      <c r="Q20" s="97">
        <f>VLOOKUP(A20,'SYS Allocations'!A:G,6,0)</f>
        <v>0</v>
      </c>
      <c r="R20" s="12">
        <f>VLOOKUP(A20,'SYS Allocations'!A:G,7,0)</f>
        <v>5.5</v>
      </c>
    </row>
    <row r="21" spans="1:18" hidden="1">
      <c r="A21" s="38" t="s">
        <v>37</v>
      </c>
      <c r="B21" s="41" t="str">
        <f>VLOOKUP(A21,All!A:AM,2,0)</f>
        <v>NORTHERN HOME COUNTIES</v>
      </c>
      <c r="C21" s="42">
        <f>VLOOKUP(A21,All!A:AM,11,0)</f>
        <v>45264</v>
      </c>
      <c r="D21" s="5"/>
      <c r="E21" s="17">
        <f>VLOOKUP(A21,All!A:AM,30,0)</f>
        <v>41.601011912336929</v>
      </c>
      <c r="F21" s="17">
        <f>VLOOKUP(A21,All!A:AM,28,0)</f>
        <v>43.150400000000005</v>
      </c>
      <c r="G21" s="17">
        <f>VLOOKUP(A21,All!A:AM,31,0)</f>
        <v>25.215345089193669</v>
      </c>
      <c r="H21" s="17">
        <f>VLOOKUP(A21,All!A:AM,29,0)</f>
        <v>20.4239</v>
      </c>
      <c r="I21" s="6">
        <f>VLOOKUP(A21,All!A:AM,33,0)</f>
        <v>39.456998017015586</v>
      </c>
      <c r="J21" s="6">
        <f>VLOOKUP(A21,All!A:AM,32,0)</f>
        <v>39.477200000000295</v>
      </c>
      <c r="K21" s="330">
        <f>VLOOKUP(A21,All!A:AM,39,0)</f>
        <v>16.656744186046517</v>
      </c>
      <c r="L21" s="330">
        <f>VLOOKUP(A21,All!A:AM,38,0)</f>
        <v>26.859000000000009</v>
      </c>
      <c r="M21" s="97" t="str">
        <f>VLOOKUP(A21,'SYS Allocations'!A:G,2,0)</f>
        <v>P-Core</v>
      </c>
      <c r="N21" s="97" t="str">
        <f>VLOOKUP(A21,'SYS Allocations'!A:G,3,0)</f>
        <v>RA</v>
      </c>
      <c r="O21" s="97" t="str">
        <f>VLOOKUP(A21,'SYS Allocations'!A:G,4,0)</f>
        <v>PX</v>
      </c>
      <c r="P21" s="97">
        <f>VLOOKUP(A21,'SYS Allocations'!A:G,5,0)</f>
        <v>0</v>
      </c>
      <c r="Q21" s="97" t="str">
        <f>VLOOKUP(A21,'SYS Allocations'!A:G,6,0)</f>
        <v>OPEX</v>
      </c>
      <c r="R21" s="12">
        <f>VLOOKUP(A21,'SYS Allocations'!A:G,7,0)</f>
        <v>13.05</v>
      </c>
    </row>
    <row r="22" spans="1:18" hidden="1">
      <c r="A22" s="38" t="s">
        <v>38</v>
      </c>
      <c r="B22" s="41" t="str">
        <f>VLOOKUP(A22,All!A:AM,2,0)</f>
        <v>NORTHERN HOME COUNTIES</v>
      </c>
      <c r="C22" s="42">
        <f>VLOOKUP(A22,All!A:AM,11,0)</f>
        <v>45264</v>
      </c>
      <c r="D22" s="5"/>
      <c r="E22" s="17">
        <f>VLOOKUP(A22,All!A:AM,30,0)</f>
        <v>22.902984575792516</v>
      </c>
      <c r="F22" s="17">
        <f>VLOOKUP(A22,All!A:AM,28,0)</f>
        <v>21.928599999999999</v>
      </c>
      <c r="G22" s="17">
        <f>VLOOKUP(A22,All!A:AM,31,0)</f>
        <v>-13.247522322113465</v>
      </c>
      <c r="H22" s="17">
        <f>VLOOKUP(A22,All!A:AM,29,0)</f>
        <v>-8.6349999999999998</v>
      </c>
      <c r="I22" s="6">
        <f>VLOOKUP(A22,All!A:AM,33,0)</f>
        <v>48.023517814392477</v>
      </c>
      <c r="J22" s="6">
        <f>VLOOKUP(A22,All!A:AM,32,0)</f>
        <v>68.203000000000202</v>
      </c>
      <c r="K22" s="331"/>
      <c r="L22" s="331"/>
      <c r="M22" s="97">
        <f>VLOOKUP(A22,'SYS Allocations'!A:G,2,0)</f>
        <v>0</v>
      </c>
      <c r="N22" s="97">
        <f>VLOOKUP(A22,'SYS Allocations'!A:G,3,0)</f>
        <v>0</v>
      </c>
      <c r="O22" s="97">
        <f>VLOOKUP(A22,'SYS Allocations'!A:G,4,0)</f>
        <v>0</v>
      </c>
      <c r="P22" s="97">
        <f>VLOOKUP(A22,'SYS Allocations'!A:G,5,0)</f>
        <v>0</v>
      </c>
      <c r="Q22" s="97">
        <f>VLOOKUP(A22,'SYS Allocations'!A:G,6,0)</f>
        <v>0</v>
      </c>
      <c r="R22" s="12">
        <f>VLOOKUP(A22,'SYS Allocations'!A:G,7,0)</f>
        <v>12.45</v>
      </c>
    </row>
    <row r="23" spans="1:18" hidden="1">
      <c r="A23" s="35" t="s">
        <v>39</v>
      </c>
      <c r="B23" s="41" t="str">
        <f>VLOOKUP(A23,All!A:AM,2,0)</f>
        <v>NORTH EAST</v>
      </c>
      <c r="C23" s="42">
        <f>VLOOKUP(A23,All!A:AM,11,0)</f>
        <v>44600.604166666701</v>
      </c>
      <c r="D23" s="5"/>
      <c r="E23" s="17">
        <f>VLOOKUP(A23,All!A:AM,30,0)</f>
        <v>54</v>
      </c>
      <c r="F23" s="17">
        <f>VLOOKUP(A23,All!A:AM,28,0)</f>
        <v>4.7088000000000001</v>
      </c>
      <c r="G23" s="17">
        <f>VLOOKUP(A23,All!A:AM,31,0)</f>
        <v>47.428571428571431</v>
      </c>
      <c r="H23" s="17">
        <f>VLOOKUP(A23,All!A:AM,29,0)</f>
        <v>3.6187999999999998</v>
      </c>
      <c r="I23" s="6">
        <f>VLOOKUP(A23,All!A:AM,33,0)</f>
        <v>23.262932353841446</v>
      </c>
      <c r="J23" s="6">
        <f>VLOOKUP(A23,All!A:AM,32,0)</f>
        <v>1.216</v>
      </c>
      <c r="K23" s="20">
        <f>VLOOKUP(A23,All!A:AM,39,0)</f>
        <v>89.303466666666665</v>
      </c>
      <c r="L23" s="20">
        <f>VLOOKUP(A23,All!A:AM,38,0)</f>
        <v>33.488799999999998</v>
      </c>
      <c r="M23" s="97">
        <f>VLOOKUP(A23,'SYS Allocations'!A:G,2,0)</f>
        <v>0</v>
      </c>
      <c r="N23" s="97">
        <f>VLOOKUP(A23,'SYS Allocations'!A:G,3,0)</f>
        <v>0</v>
      </c>
      <c r="O23" s="97">
        <f>VLOOKUP(A23,'SYS Allocations'!A:G,4,0)</f>
        <v>0</v>
      </c>
      <c r="P23" s="97">
        <f>VLOOKUP(A23,'SYS Allocations'!A:G,5,0)</f>
        <v>0</v>
      </c>
      <c r="Q23" s="97">
        <f>VLOOKUP(A23,'SYS Allocations'!A:G,6,0)</f>
        <v>0</v>
      </c>
      <c r="R23" s="12">
        <f>VLOOKUP(A23,'SYS Allocations'!A:G,7,0)</f>
        <v>0</v>
      </c>
    </row>
    <row r="24" spans="1:18" hidden="1">
      <c r="A24" s="35" t="s">
        <v>40</v>
      </c>
      <c r="B24" s="41" t="str">
        <f>VLOOKUP(A24,All!A:AM,2,0)</f>
        <v>NORTHERN IRELAND</v>
      </c>
      <c r="C24" s="42">
        <f>VLOOKUP(A24,All!A:AM,11,0)</f>
        <v>45000</v>
      </c>
      <c r="D24" s="5"/>
      <c r="E24" s="17">
        <f>VLOOKUP(A24,All!A:AM,30,0)</f>
        <v>17.538978292475061</v>
      </c>
      <c r="F24" s="17">
        <f>VLOOKUP(A24,All!A:AM,28,0)</f>
        <v>6.9969999999999999</v>
      </c>
      <c r="G24" s="17">
        <f>VLOOKUP(A24,All!A:AM,31,0)</f>
        <v>-1.4478451931231207</v>
      </c>
      <c r="H24" s="17">
        <f>VLOOKUP(A24,All!A:AM,29,0)</f>
        <v>-0.46950000000000003</v>
      </c>
      <c r="I24" s="6">
        <f>VLOOKUP(A24,All!A:AM,33,0)</f>
        <v>-16.974597485350166</v>
      </c>
      <c r="J24" s="6">
        <f>VLOOKUP(A24,All!A:AM,32,0)</f>
        <v>-4.7737999999999978</v>
      </c>
      <c r="K24" s="20">
        <f>VLOOKUP(A24,All!A:AM,39,0)</f>
        <v>39.079629629629629</v>
      </c>
      <c r="L24" s="20">
        <f>VLOOKUP(A24,All!A:AM,38,0)</f>
        <v>21.103000000000002</v>
      </c>
      <c r="M24" s="97">
        <f>VLOOKUP(A24,'SYS Allocations'!A:G,2,0)</f>
        <v>0</v>
      </c>
      <c r="N24" s="97" t="str">
        <f>VLOOKUP(A24,'SYS Allocations'!A:G,3,0)</f>
        <v>RA</v>
      </c>
      <c r="O24" s="97">
        <f>VLOOKUP(A24,'SYS Allocations'!A:G,4,0)</f>
        <v>0</v>
      </c>
      <c r="P24" s="97">
        <f>VLOOKUP(A24,'SYS Allocations'!A:G,5,0)</f>
        <v>0</v>
      </c>
      <c r="Q24" s="97">
        <f>VLOOKUP(A24,'SYS Allocations'!A:G,6,0)</f>
        <v>0</v>
      </c>
      <c r="R24" s="12">
        <f>VLOOKUP(A24,'SYS Allocations'!A:G,7,0)</f>
        <v>18.399999999999999</v>
      </c>
    </row>
    <row r="25" spans="1:18" hidden="1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-3.5334783008305313</v>
      </c>
      <c r="F25" s="17">
        <f>VLOOKUP(A25,All!A:AM,28,0)</f>
        <v>-1.3532599999999988</v>
      </c>
      <c r="G25" s="17">
        <f>VLOOKUP(A25,All!A:AM,31,0)</f>
        <v>-82.618087027007107</v>
      </c>
      <c r="H25" s="17">
        <f>VLOOKUP(A25,All!A:AM,29,0)</f>
        <v>-17.938700000000001</v>
      </c>
      <c r="I25" s="6">
        <f>VLOOKUP(A25,All!A:AM,33,0)</f>
        <v>6.0052435948493308</v>
      </c>
      <c r="J25" s="6">
        <f>VLOOKUP(A25,All!A:AM,32,0)</f>
        <v>2.5333000000000006</v>
      </c>
      <c r="K25" s="20">
        <f>VLOOKUP(A25,All!A:AM,39,0)</f>
        <v>43.151971326164883</v>
      </c>
      <c r="L25" s="20">
        <f>VLOOKUP(A25,All!A:AM,38,0)</f>
        <v>30.098500000000005</v>
      </c>
      <c r="M25" s="97">
        <f>VLOOKUP(A25,'SYS Allocations'!A:G,2,0)</f>
        <v>0</v>
      </c>
      <c r="N25" s="97" t="str">
        <f>VLOOKUP(A25,'SYS Allocations'!A:G,3,0)</f>
        <v>RA</v>
      </c>
      <c r="O25" s="97">
        <f>VLOOKUP(A25,'SYS Allocations'!A:G,4,0)</f>
        <v>0</v>
      </c>
      <c r="P25" s="97">
        <f>VLOOKUP(A25,'SYS Allocations'!A:G,5,0)</f>
        <v>0</v>
      </c>
      <c r="Q25" s="97">
        <f>VLOOKUP(A25,'SYS Allocations'!A:G,6,0)</f>
        <v>0</v>
      </c>
      <c r="R25" s="12">
        <f>VLOOKUP(A25,'SYS Allocations'!A:G,7,0)</f>
        <v>14.2</v>
      </c>
    </row>
    <row r="26" spans="1:18" hidden="1">
      <c r="A26" s="35" t="s">
        <v>42</v>
      </c>
      <c r="B26" s="41" t="str">
        <f>VLOOKUP(A26,All!A:AM,2,0)</f>
        <v>MIDLANDS</v>
      </c>
      <c r="C26" s="42">
        <f>VLOOKUP(A26,All!A:AM,11,0)</f>
        <v>44964</v>
      </c>
      <c r="D26" s="5"/>
      <c r="E26" s="17">
        <f>VLOOKUP(A26,All!A:AM,30,0)</f>
        <v>53.893442622950822</v>
      </c>
      <c r="F26" s="17">
        <f>VLOOKUP(A26,All!A:AM,28,0)</f>
        <v>25.8003</v>
      </c>
      <c r="G26" s="17">
        <f>VLOOKUP(A26,All!A:AM,31,0)</f>
        <v>41.977077363896854</v>
      </c>
      <c r="H26" s="17">
        <f>VLOOKUP(A26,All!A:AM,29,0)</f>
        <v>15.968500000000001</v>
      </c>
      <c r="I26" s="6">
        <f>VLOOKUP(A26,All!A:AM,33,0)</f>
        <v>37.917679222357229</v>
      </c>
      <c r="J26" s="6">
        <f>VLOOKUP(A26,All!A:AM,32,0)</f>
        <v>13.4811</v>
      </c>
      <c r="K26" s="20">
        <f>VLOOKUP(A26,All!A:AM,39,0)</f>
        <v>-133.57142857142861</v>
      </c>
      <c r="L26" s="20">
        <f>VLOOKUP(A26,All!A:AM,38,0)</f>
        <v>-12.622500000000002</v>
      </c>
      <c r="M26" s="97" t="str">
        <f>VLOOKUP(A26,'SYS Allocations'!A:G,2,0)</f>
        <v>P-Core</v>
      </c>
      <c r="N26" s="97">
        <f>VLOOKUP(A26,'SYS Allocations'!A:G,3,0)</f>
        <v>0</v>
      </c>
      <c r="O26" s="97">
        <f>VLOOKUP(A26,'SYS Allocations'!A:G,4,0)</f>
        <v>0</v>
      </c>
      <c r="P26" s="97">
        <f>VLOOKUP(A26,'SYS Allocations'!A:G,5,0)</f>
        <v>0</v>
      </c>
      <c r="Q26" s="97">
        <f>VLOOKUP(A26,'SYS Allocations'!A:G,6,0)</f>
        <v>0</v>
      </c>
      <c r="R26" s="12">
        <f>VLOOKUP(A26,'SYS Allocations'!A:G,7,0)</f>
        <v>0</v>
      </c>
    </row>
    <row r="27" spans="1:18" hidden="1">
      <c r="A27" s="38" t="s">
        <v>43</v>
      </c>
      <c r="B27" s="41" t="str">
        <f>VLOOKUP(A27,All!A:AM,2,0)</f>
        <v>MIDLANDS</v>
      </c>
      <c r="C27" s="42">
        <f>VLOOKUP(A27,All!A:AM,11,0)</f>
        <v>45264</v>
      </c>
      <c r="D27" s="5"/>
      <c r="E27" s="17">
        <f>VLOOKUP(A27,All!A:AM,30,0)</f>
        <v>63.412201817575195</v>
      </c>
      <c r="F27" s="17">
        <f>VLOOKUP(A27,All!A:AM,28,0)</f>
        <v>58.690579999999997</v>
      </c>
      <c r="G27" s="17">
        <f>VLOOKUP(A27,All!A:AM,31,0)</f>
        <v>59.985276670967863</v>
      </c>
      <c r="H27" s="17">
        <f>VLOOKUP(A27,All!A:AM,29,0)</f>
        <v>50.764099999999999</v>
      </c>
      <c r="I27" s="6">
        <f>VLOOKUP(A27,All!A:AM,33,0)</f>
        <v>29.551782617523607</v>
      </c>
      <c r="J27" s="6">
        <f>VLOOKUP(A27,All!A:AM,32,0)</f>
        <v>14.20514</v>
      </c>
      <c r="K27" s="20">
        <f>VLOOKUP(A27,All!A:AM,39,0)</f>
        <v>49.831851851851845</v>
      </c>
      <c r="L27" s="20">
        <f>VLOOKUP(A27,All!A:AM,38,0)</f>
        <v>33.636499999999998</v>
      </c>
      <c r="M27" s="97">
        <f>VLOOKUP(A27,'SYS Allocations'!A:G,2,0)</f>
        <v>0</v>
      </c>
      <c r="N27" s="97">
        <f>VLOOKUP(A27,'SYS Allocations'!A:G,3,0)</f>
        <v>0</v>
      </c>
      <c r="O27" s="97">
        <f>VLOOKUP(A27,'SYS Allocations'!A:G,4,0)</f>
        <v>0</v>
      </c>
      <c r="P27" s="97">
        <f>VLOOKUP(A27,'SYS Allocations'!A:G,5,0)</f>
        <v>0</v>
      </c>
      <c r="Q27" s="97">
        <f>VLOOKUP(A27,'SYS Allocations'!A:G,6,0)</f>
        <v>0</v>
      </c>
      <c r="R27" s="12">
        <f>VLOOKUP(A27,'SYS Allocations'!A:G,7,0)</f>
        <v>1</v>
      </c>
    </row>
    <row r="28" spans="1:18" hidden="1">
      <c r="A28" s="38" t="s">
        <v>44</v>
      </c>
      <c r="B28" s="41" t="str">
        <f>VLOOKUP(A28,All!A:AM,2,0)</f>
        <v>MIDLANDS</v>
      </c>
      <c r="C28" s="42">
        <f>VLOOKUP(A28,All!A:AM,11,0)</f>
        <v>45264</v>
      </c>
      <c r="D28" s="5"/>
      <c r="E28" s="17">
        <f>VLOOKUP(A28,All!A:AM,30,0)</f>
        <v>60.997937638189484</v>
      </c>
      <c r="F28" s="17">
        <f>VLOOKUP(A28,All!A:AM,28,0)</f>
        <v>56.45608</v>
      </c>
      <c r="G28" s="17">
        <f>VLOOKUP(A28,All!A:AM,31,0)</f>
        <v>56.504555827868991</v>
      </c>
      <c r="H28" s="17">
        <f>VLOOKUP(A28,All!A:AM,29,0)</f>
        <v>46.894599999999997</v>
      </c>
      <c r="I28" s="6">
        <f>VLOOKUP(A28,All!A:AM,33,0)</f>
        <v>32.312527188995389</v>
      </c>
      <c r="J28" s="6">
        <f>VLOOKUP(A28,All!A:AM,32,0)</f>
        <v>17.232399999999998</v>
      </c>
      <c r="K28" s="20">
        <f>VLOOKUP(A28,All!A:AM,39,0)</f>
        <v>46.52148148148148</v>
      </c>
      <c r="L28" s="20">
        <f>VLOOKUP(A28,All!A:AM,38,0)</f>
        <v>31.402000000000001</v>
      </c>
      <c r="M28" s="97">
        <f>VLOOKUP(A28,'SYS Allocations'!A:G,2,0)</f>
        <v>0</v>
      </c>
      <c r="N28" s="97">
        <f>VLOOKUP(A28,'SYS Allocations'!A:G,3,0)</f>
        <v>0</v>
      </c>
      <c r="O28" s="97">
        <f>VLOOKUP(A28,'SYS Allocations'!A:G,4,0)</f>
        <v>0</v>
      </c>
      <c r="P28" s="97">
        <f>VLOOKUP(A28,'SYS Allocations'!A:G,5,0)</f>
        <v>0</v>
      </c>
      <c r="Q28" s="97">
        <f>VLOOKUP(A28,'SYS Allocations'!A:G,6,0)</f>
        <v>0</v>
      </c>
      <c r="R28" s="12">
        <f>VLOOKUP(A28,'SYS Allocations'!A:G,7,0)</f>
        <v>1</v>
      </c>
    </row>
    <row r="29" spans="1:18" hidden="1">
      <c r="A29" s="37" t="s">
        <v>45</v>
      </c>
      <c r="B29" s="41" t="str">
        <f>VLOOKUP(A29,All!A:AM,2,0)</f>
        <v>MIDLANDS</v>
      </c>
      <c r="C29" s="42">
        <f>VLOOKUP(A29,All!A:AM,11,0)</f>
        <v>44754</v>
      </c>
      <c r="D29" s="5"/>
      <c r="E29" s="17">
        <f>VLOOKUP(A29,All!A:AM,30,0)</f>
        <v>60.952513744756942</v>
      </c>
      <c r="F29" s="17">
        <f>VLOOKUP(A29,All!A:AM,28,0)</f>
        <v>23.34374</v>
      </c>
      <c r="G29" s="17">
        <f>VLOOKUP(A29,All!A:AM,31,0)</f>
        <v>42.643291092632936</v>
      </c>
      <c r="H29" s="17">
        <f>VLOOKUP(A29,All!A:AM,29,0)</f>
        <v>11.118300000000001</v>
      </c>
      <c r="I29" s="6">
        <f>VLOOKUP(A29,All!A:AM,33,0)</f>
        <v>57.938155348544164</v>
      </c>
      <c r="J29" s="6">
        <f>VLOOKUP(A29,All!A:AM,32,0)</f>
        <v>20.5991</v>
      </c>
      <c r="K29" s="20">
        <f>VLOOKUP(A29,All!A:AM,39,0)</f>
        <v>66.767777777777781</v>
      </c>
      <c r="L29" s="20">
        <f>VLOOKUP(A29,All!A:AM,38,0)</f>
        <v>30.045500000000001</v>
      </c>
      <c r="M29" s="97">
        <f>VLOOKUP(A29,'SYS Allocations'!A:G,2,0)</f>
        <v>0</v>
      </c>
      <c r="N29" s="97" t="str">
        <f>VLOOKUP(A29,'SYS Allocations'!A:G,3,0)</f>
        <v>RA</v>
      </c>
      <c r="O29" s="97" t="str">
        <f>VLOOKUP(A29,'SYS Allocations'!A:G,4,0)</f>
        <v>PX</v>
      </c>
      <c r="P29" s="97">
        <f>VLOOKUP(A29,'SYS Allocations'!A:G,5,0)</f>
        <v>0</v>
      </c>
      <c r="Q29" s="97" t="str">
        <f>VLOOKUP(A29,'SYS Allocations'!A:G,6,0)</f>
        <v>OPEX</v>
      </c>
      <c r="R29" s="12">
        <f>VLOOKUP(A29,'SYS Allocations'!A:G,7,0)</f>
        <v>9.4499999999999993</v>
      </c>
    </row>
    <row r="30" spans="1:18" hidden="1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60.831098243679079</v>
      </c>
      <c r="F30" s="17">
        <f>VLOOKUP(A30,All!A:AM,28,0)</f>
        <v>23.297239999999999</v>
      </c>
      <c r="G30" s="17">
        <f>VLOOKUP(A30,All!A:AM,31,0)</f>
        <v>42.464944309778772</v>
      </c>
      <c r="H30" s="17">
        <f>VLOOKUP(A30,All!A:AM,29,0)</f>
        <v>11.0718</v>
      </c>
      <c r="I30" s="6">
        <f>VLOOKUP(A30,All!A:AM,33,0)</f>
        <v>57.807366905179776</v>
      </c>
      <c r="J30" s="6">
        <f>VLOOKUP(A30,All!A:AM,32,0)</f>
        <v>20.552599999999998</v>
      </c>
      <c r="K30" s="20">
        <f>VLOOKUP(A30,All!A:AM,39,0)</f>
        <v>66.664444444444442</v>
      </c>
      <c r="L30" s="20">
        <f>VLOOKUP(A30,All!A:AM,38,0)</f>
        <v>29.998999999999999</v>
      </c>
      <c r="M30" s="97">
        <f>VLOOKUP(A30,'SYS Allocations'!A:G,2,0)</f>
        <v>0</v>
      </c>
      <c r="N30" s="97">
        <f>VLOOKUP(A30,'SYS Allocations'!A:G,3,0)</f>
        <v>0</v>
      </c>
      <c r="O30" s="97">
        <f>VLOOKUP(A30,'SYS Allocations'!A:G,4,0)</f>
        <v>0</v>
      </c>
      <c r="P30" s="97">
        <f>VLOOKUP(A30,'SYS Allocations'!A:G,5,0)</f>
        <v>0</v>
      </c>
      <c r="Q30" s="97">
        <f>VLOOKUP(A30,'SYS Allocations'!A:G,6,0)</f>
        <v>0</v>
      </c>
      <c r="R30" s="12">
        <f>VLOOKUP(A30,'SYS Allocations'!A:G,7,0)</f>
        <v>7.48</v>
      </c>
    </row>
    <row r="31" spans="1:18" hidden="1">
      <c r="A31" s="38" t="s">
        <v>47</v>
      </c>
      <c r="B31" s="41" t="str">
        <f>VLOOKUP(A31,All!A:AM,2,0)</f>
        <v>MIDLANDS</v>
      </c>
      <c r="C31" s="42">
        <f>VLOOKUP(A31,All!A:AM,11,0)</f>
        <v>45264</v>
      </c>
      <c r="D31" s="5"/>
      <c r="E31" s="17">
        <f>VLOOKUP(A31,All!A:AM,30,0)</f>
        <v>75.81465884594175</v>
      </c>
      <c r="F31" s="17">
        <f>VLOOKUP(A31,All!A:AM,28,0)</f>
        <v>30.2455</v>
      </c>
      <c r="G31" s="17">
        <f>VLOOKUP(A31,All!A:AM,31,0)</f>
        <v>65.623942281998751</v>
      </c>
      <c r="H31" s="17">
        <f>VLOOKUP(A31,All!A:AM,29,0)</f>
        <v>18.419</v>
      </c>
      <c r="I31" s="6">
        <f>VLOOKUP(A31,All!A:AM,33,0)</f>
        <v>72.862101165564098</v>
      </c>
      <c r="J31" s="6">
        <f>VLOOKUP(A31,All!A:AM,32,0)</f>
        <v>25.905100000000001</v>
      </c>
      <c r="K31" s="20">
        <f>VLOOKUP(A31,All!A:AM,39,0)</f>
        <v>89.279444444444422</v>
      </c>
      <c r="L31" s="20">
        <f>VLOOKUP(A31,All!A:AM,38,0)</f>
        <v>80.351499999999987</v>
      </c>
      <c r="M31" s="97">
        <f>VLOOKUP(A31,'SYS Allocations'!A:G,2,0)</f>
        <v>0</v>
      </c>
      <c r="N31" s="97" t="str">
        <f>VLOOKUP(A31,'SYS Allocations'!A:G,3,0)</f>
        <v>RA</v>
      </c>
      <c r="O31" s="97">
        <f>VLOOKUP(A31,'SYS Allocations'!A:G,4,0)</f>
        <v>0</v>
      </c>
      <c r="P31" s="97">
        <f>VLOOKUP(A31,'SYS Allocations'!A:G,5,0)</f>
        <v>0</v>
      </c>
      <c r="Q31" s="97">
        <f>VLOOKUP(A31,'SYS Allocations'!A:G,6,0)</f>
        <v>0</v>
      </c>
      <c r="R31" s="12">
        <f>VLOOKUP(A31,'SYS Allocations'!A:G,7,0)</f>
        <v>2.4</v>
      </c>
    </row>
    <row r="32" spans="1:18" hidden="1">
      <c r="A32" s="38" t="s">
        <v>48</v>
      </c>
      <c r="B32" s="41" t="str">
        <f>VLOOKUP(A32,All!A:AM,2,0)</f>
        <v>MIDLANDS</v>
      </c>
      <c r="C32" s="42">
        <f>VLOOKUP(A32,All!A:AM,11,0)</f>
        <v>45264</v>
      </c>
      <c r="D32" s="5"/>
      <c r="E32" s="17">
        <f>VLOOKUP(A32,All!A:AM,30,0)</f>
        <v>70.703614578633378</v>
      </c>
      <c r="F32" s="17">
        <f>VLOOKUP(A32,All!A:AM,28,0)</f>
        <v>27.078240000000001</v>
      </c>
      <c r="G32" s="17">
        <f>VLOOKUP(A32,All!A:AM,31,0)</f>
        <v>56.966647233898918</v>
      </c>
      <c r="H32" s="17">
        <f>VLOOKUP(A32,All!A:AM,29,0)</f>
        <v>14.852799999999998</v>
      </c>
      <c r="I32" s="6">
        <f>VLOOKUP(A32,All!A:AM,33,0)</f>
        <v>68.442014310787087</v>
      </c>
      <c r="J32" s="6">
        <f>VLOOKUP(A32,All!A:AM,32,0)</f>
        <v>24.333600000000001</v>
      </c>
      <c r="K32" s="20">
        <f>VLOOKUP(A32,All!A:AM,39,0)</f>
        <v>87.533333333333331</v>
      </c>
      <c r="L32" s="20">
        <f>VLOOKUP(A32,All!A:AM,38,0)</f>
        <v>78.78</v>
      </c>
      <c r="M32" s="97">
        <f>VLOOKUP(A32,'SYS Allocations'!A:G,2,0)</f>
        <v>0</v>
      </c>
      <c r="N32" s="97">
        <f>VLOOKUP(A32,'SYS Allocations'!A:G,3,0)</f>
        <v>0</v>
      </c>
      <c r="O32" s="97">
        <f>VLOOKUP(A32,'SYS Allocations'!A:G,4,0)</f>
        <v>0</v>
      </c>
      <c r="P32" s="97">
        <f>VLOOKUP(A32,'SYS Allocations'!A:G,5,0)</f>
        <v>0</v>
      </c>
      <c r="Q32" s="97">
        <f>VLOOKUP(A32,'SYS Allocations'!A:G,6,0)</f>
        <v>0</v>
      </c>
      <c r="R32" s="12">
        <f>VLOOKUP(A32,'SYS Allocations'!A:G,7,0)</f>
        <v>2.5</v>
      </c>
    </row>
    <row r="33" spans="1:18" hidden="1">
      <c r="A33" s="35" t="s">
        <v>49</v>
      </c>
      <c r="B33" s="41" t="str">
        <f>VLOOKUP(A33,All!A:AM,2,0)</f>
        <v>LONDON</v>
      </c>
      <c r="C33" s="42">
        <f>VLOOKUP(A33,All!A:AM,11,0)</f>
        <v>44433.5625</v>
      </c>
      <c r="D33" s="5"/>
      <c r="E33" s="17">
        <f>VLOOKUP(A33,All!A:AM,30,0)</f>
        <v>39.673686405337783</v>
      </c>
      <c r="F33" s="17">
        <f>VLOOKUP(A33,All!A:AM,28,0)</f>
        <v>7.6110000000000007</v>
      </c>
      <c r="G33" s="17">
        <f>VLOOKUP(A33,All!A:AM,31,0)</f>
        <v>18.795937341028296</v>
      </c>
      <c r="H33" s="17">
        <f>VLOOKUP(A33,All!A:AM,29,0)</f>
        <v>2.67875</v>
      </c>
      <c r="I33" s="6">
        <f>VLOOKUP(A33,All!A:AM,33,0)</f>
        <v>23.677060251134257</v>
      </c>
      <c r="J33" s="6">
        <f>VLOOKUP(A33,All!A:AM,32,0)</f>
        <v>3.5901999999999896</v>
      </c>
      <c r="K33" s="20">
        <f>VLOOKUP(A33,All!A:AM,39,0)</f>
        <v>22.846666666666664</v>
      </c>
      <c r="L33" s="20">
        <f>VLOOKUP(A33,All!A:AM,38,0)</f>
        <v>3.4269999999999996</v>
      </c>
      <c r="M33" s="97">
        <f>VLOOKUP(A33,'SYS Allocations'!A:G,2,0)</f>
        <v>0</v>
      </c>
      <c r="N33" s="97">
        <f>VLOOKUP(A33,'SYS Allocations'!A:G,3,0)</f>
        <v>0</v>
      </c>
      <c r="O33" s="97">
        <f>VLOOKUP(A33,'SYS Allocations'!A:G,4,0)</f>
        <v>0</v>
      </c>
      <c r="P33" s="97">
        <f>VLOOKUP(A33,'SYS Allocations'!A:G,5,0)</f>
        <v>0</v>
      </c>
      <c r="Q33" s="97">
        <f>VLOOKUP(A33,'SYS Allocations'!A:G,6,0)</f>
        <v>0</v>
      </c>
      <c r="R33" s="12">
        <f>VLOOKUP(A33,'SYS Allocations'!A:G,7,0)</f>
        <v>1</v>
      </c>
    </row>
    <row r="34" spans="1:18" hidden="1">
      <c r="A34" s="35" t="s">
        <v>50</v>
      </c>
      <c r="B34" s="41" t="str">
        <f>VLOOKUP(A34,All!A:AM,2,0)</f>
        <v>NORTH WEST</v>
      </c>
      <c r="C34" s="42">
        <f>VLOOKUP(A34,All!A:AM,11,0)</f>
        <v>45264</v>
      </c>
      <c r="D34" s="5"/>
      <c r="E34" s="17">
        <f>VLOOKUP(A34,All!A:AM,30,0)</f>
        <v>57.608695652173907</v>
      </c>
      <c r="F34" s="17">
        <f>VLOOKUP(A34,All!A:AM,28,0)</f>
        <v>2.8885000000000001</v>
      </c>
      <c r="G34" s="17">
        <f>VLOOKUP(A34,All!A:AM,31,0)</f>
        <v>64.545454545454547</v>
      </c>
      <c r="H34" s="17">
        <f>VLOOKUP(A34,All!A:AM,29,0)</f>
        <v>3.8694999999999999</v>
      </c>
      <c r="I34" s="6">
        <f>VLOOKUP(A34,All!A:AM,33,0)</f>
        <v>50.798611111111114</v>
      </c>
      <c r="J34" s="6">
        <f>VLOOKUP(A34,All!A:AM,32,0)</f>
        <v>2.1945000000000001</v>
      </c>
      <c r="K34" s="20">
        <f>VLOOKUP(A34,All!A:AM,39,0)</f>
        <v>43.32</v>
      </c>
      <c r="L34" s="20">
        <f>VLOOKUP(A34,All!A:AM,38,0)</f>
        <v>1.6244999999999998</v>
      </c>
      <c r="M34" s="97">
        <f>VLOOKUP(A34,'SYS Allocations'!A:G,2,0)</f>
        <v>0</v>
      </c>
      <c r="N34" s="97">
        <f>VLOOKUP(A34,'SYS Allocations'!A:G,3,0)</f>
        <v>0</v>
      </c>
      <c r="O34" s="97">
        <f>VLOOKUP(A34,'SYS Allocations'!A:G,4,0)</f>
        <v>0</v>
      </c>
      <c r="P34" s="97">
        <f>VLOOKUP(A34,'SYS Allocations'!A:G,5,0)</f>
        <v>0</v>
      </c>
      <c r="Q34" s="97">
        <f>VLOOKUP(A34,'SYS Allocations'!A:G,6,0)</f>
        <v>0</v>
      </c>
      <c r="R34" s="12">
        <f>VLOOKUP(A34,'SYS Allocations'!A:G,7,0)</f>
        <v>0</v>
      </c>
    </row>
    <row r="35" spans="1:18" hidden="1">
      <c r="A35" s="35" t="s">
        <v>51</v>
      </c>
      <c r="B35" s="41" t="str">
        <f>VLOOKUP(A35,All!A:AM,2,0)</f>
        <v>NORTH WEST</v>
      </c>
      <c r="C35" s="42">
        <f>VLOOKUP(A35,All!A:AM,11,0)</f>
        <v>45264</v>
      </c>
      <c r="D35" s="5"/>
      <c r="E35" s="17">
        <f>VLOOKUP(A35,All!A:AM,30,0)</f>
        <v>53.873859477615675</v>
      </c>
      <c r="F35" s="17">
        <f>VLOOKUP(A35,All!A:AM,28,0)</f>
        <v>6.87758</v>
      </c>
      <c r="G35" s="17">
        <f>VLOOKUP(A35,All!A:AM,31,0)</f>
        <v>37.833215443249117</v>
      </c>
      <c r="H35" s="17">
        <f>VLOOKUP(A35,All!A:AM,29,0)</f>
        <v>3.5835999999999997</v>
      </c>
      <c r="I35" s="6">
        <f>VLOOKUP(A35,All!A:AM,33,0)</f>
        <v>41.748773345995367</v>
      </c>
      <c r="J35" s="6">
        <f>VLOOKUP(A35,All!A:AM,32,0)</f>
        <v>4.2202999999999804</v>
      </c>
      <c r="K35" s="20">
        <f>VLOOKUP(A35,All!A:AM,39,0)</f>
        <v>73.828888888888883</v>
      </c>
      <c r="L35" s="20">
        <f>VLOOKUP(A35,All!A:AM,38,0)</f>
        <v>16.611499999999999</v>
      </c>
      <c r="M35" s="97">
        <f>VLOOKUP(A35,'SYS Allocations'!A:G,2,0)</f>
        <v>0</v>
      </c>
      <c r="N35" s="97">
        <f>VLOOKUP(A35,'SYS Allocations'!A:G,3,0)</f>
        <v>0</v>
      </c>
      <c r="O35" s="97">
        <f>VLOOKUP(A35,'SYS Allocations'!A:G,4,0)</f>
        <v>0</v>
      </c>
      <c r="P35" s="97">
        <f>VLOOKUP(A35,'SYS Allocations'!A:G,5,0)</f>
        <v>0</v>
      </c>
      <c r="Q35" s="97">
        <f>VLOOKUP(A35,'SYS Allocations'!A:G,6,0)</f>
        <v>0</v>
      </c>
      <c r="R35" s="12">
        <f>VLOOKUP(A35,'SYS Allocations'!A:G,7,0)</f>
        <v>3</v>
      </c>
    </row>
    <row r="36" spans="1:18" hidden="1">
      <c r="A36" s="40" t="s">
        <v>52</v>
      </c>
      <c r="B36" s="41" t="str">
        <f>VLOOKUP(A36,All!A:AM,2,0)</f>
        <v>THAMES VALLEY</v>
      </c>
      <c r="C36" s="42">
        <f>VLOOKUP(A36,All!A:AM,11,0)</f>
        <v>45264</v>
      </c>
      <c r="D36" s="19"/>
      <c r="E36" s="17">
        <f>VLOOKUP(A36,All!A:AM,30,0)</f>
        <v>14.498420815160181</v>
      </c>
      <c r="F36" s="17">
        <f>VLOOKUP(A36,All!A:AM,28,0)</f>
        <v>13.881600000000006</v>
      </c>
      <c r="G36" s="17">
        <f>VLOOKUP(A36,All!A:AM,31,0)</f>
        <v>5.8839759950334569</v>
      </c>
      <c r="H36" s="17">
        <f>VLOOKUP(A36,All!A:AM,29,0)</f>
        <v>5.1180000000000021</v>
      </c>
      <c r="I36" s="6">
        <f>VLOOKUP(A36,All!A:AM,33,0)</f>
        <v>-53.503442689347942</v>
      </c>
      <c r="J36" s="6">
        <f>VLOOKUP(A36,All!A:AM,32,0)</f>
        <v>-28.533600000000014</v>
      </c>
      <c r="K36" s="332">
        <f>VLOOKUP(A36,All!A:AM,39,0)</f>
        <v>20.297373737373739</v>
      </c>
      <c r="L36" s="332">
        <f>VLOOKUP(A36,All!A:AM,38,0)</f>
        <v>75.353999999999999</v>
      </c>
      <c r="M36" s="97" t="str">
        <f>VLOOKUP(A36,'SYS Allocations'!A:G,2,0)</f>
        <v>P-Core</v>
      </c>
      <c r="N36" s="97">
        <f>VLOOKUP(A36,'SYS Allocations'!A:G,3,0)</f>
        <v>0</v>
      </c>
      <c r="O36" s="97">
        <f>VLOOKUP(A36,'SYS Allocations'!A:G,4,0)</f>
        <v>0</v>
      </c>
      <c r="P36" s="97">
        <f>VLOOKUP(A36,'SYS Allocations'!A:G,5,0)</f>
        <v>0</v>
      </c>
      <c r="Q36" s="97">
        <f>VLOOKUP(A36,'SYS Allocations'!A:G,6,0)</f>
        <v>0</v>
      </c>
      <c r="R36" s="12">
        <f>VLOOKUP(A36,'SYS Allocations'!A:G,7,0)</f>
        <v>27.799999999999997</v>
      </c>
    </row>
    <row r="37" spans="1:18" hidden="1">
      <c r="A37" s="40" t="s">
        <v>53</v>
      </c>
      <c r="B37" s="41" t="str">
        <f>VLOOKUP(A37,All!A:AM,2,0)</f>
        <v>THAMES VALLEY</v>
      </c>
      <c r="C37" s="42">
        <f>VLOOKUP(A37,All!A:AM,11,0)</f>
        <v>45264</v>
      </c>
      <c r="D37" s="19"/>
      <c r="E37" s="17">
        <f>VLOOKUP(A37,All!A:AM,30,0)</f>
        <v>-5.0585390570726716</v>
      </c>
      <c r="F37" s="17">
        <f>VLOOKUP(A37,All!A:AM,28,0)</f>
        <v>-4.5204400000000007</v>
      </c>
      <c r="G37" s="17">
        <f>VLOOKUP(A37,All!A:AM,31,0)</f>
        <v>-102.75704486946907</v>
      </c>
      <c r="H37" s="17">
        <f>VLOOKUP(A37,All!A:AM,29,0)</f>
        <v>-47.579799999999999</v>
      </c>
      <c r="I37" s="6">
        <f>VLOOKUP(A37,All!A:AM,33,0)</f>
        <v>11.979846391551629</v>
      </c>
      <c r="J37" s="6">
        <f>VLOOKUP(A37,All!A:AM,32,0)</f>
        <v>12.777800000000099</v>
      </c>
      <c r="K37" s="332"/>
      <c r="L37" s="332"/>
      <c r="M37" s="97" t="str">
        <f>VLOOKUP(A37,'SYS Allocations'!A:G,2,0)</f>
        <v>P-Core</v>
      </c>
      <c r="N37" s="97">
        <f>VLOOKUP(A37,'SYS Allocations'!A:G,3,0)</f>
        <v>0</v>
      </c>
      <c r="O37" s="97">
        <f>VLOOKUP(A37,'SYS Allocations'!A:G,4,0)</f>
        <v>0</v>
      </c>
      <c r="P37" s="97">
        <f>VLOOKUP(A37,'SYS Allocations'!A:G,5,0)</f>
        <v>0</v>
      </c>
      <c r="Q37" s="97">
        <f>VLOOKUP(A37,'SYS Allocations'!A:G,6,0)</f>
        <v>0</v>
      </c>
      <c r="R37" s="12">
        <f>VLOOKUP(A37,'SYS Allocations'!A:G,7,0)</f>
        <v>19</v>
      </c>
    </row>
    <row r="38" spans="1:18" hidden="1">
      <c r="A38" s="40" t="s">
        <v>54</v>
      </c>
      <c r="B38" s="41" t="str">
        <f>VLOOKUP(A38,All!A:AM,2,0)</f>
        <v>THAMES VALLEY</v>
      </c>
      <c r="C38" s="42">
        <f>VLOOKUP(A38,All!A:AM,11,0)</f>
        <v>45264</v>
      </c>
      <c r="D38" s="19"/>
      <c r="E38" s="17">
        <f>VLOOKUP(A38,All!A:AM,30,0)</f>
        <v>50.392241058968281</v>
      </c>
      <c r="F38" s="17">
        <f>VLOOKUP(A38,All!A:AM,28,0)</f>
        <v>122.04900000000001</v>
      </c>
      <c r="G38" s="17">
        <f>VLOOKUP(A38,All!A:AM,31,0)</f>
        <v>30.124601986071344</v>
      </c>
      <c r="H38" s="17">
        <f>VLOOKUP(A38,All!A:AM,29,0)</f>
        <v>51.798500000000018</v>
      </c>
      <c r="I38" s="6">
        <f>VLOOKUP(A38,All!A:AM,33,0)</f>
        <v>43.677058488216858</v>
      </c>
      <c r="J38" s="6">
        <f>VLOOKUP(A38,All!A:AM,32,0)</f>
        <v>93.172600000000017</v>
      </c>
      <c r="K38" s="331"/>
      <c r="L38" s="331"/>
      <c r="M38" s="97" t="str">
        <f>VLOOKUP(A38,'SYS Allocations'!A:G,2,0)</f>
        <v>P-Core</v>
      </c>
      <c r="N38" s="97" t="str">
        <f>VLOOKUP(A38,'SYS Allocations'!A:G,3,0)</f>
        <v>RA</v>
      </c>
      <c r="O38" s="97" t="str">
        <f>VLOOKUP(A38,'SYS Allocations'!A:G,4,0)</f>
        <v>PX</v>
      </c>
      <c r="P38" s="97"/>
      <c r="Q38" s="97" t="str">
        <f>VLOOKUP(A38,'SYS Allocations'!A:G,6,0)</f>
        <v>OPEX</v>
      </c>
      <c r="R38" s="12">
        <f>VLOOKUP(A38,'SYS Allocations'!A:G,7,0)</f>
        <v>64.449999999999989</v>
      </c>
    </row>
    <row r="39" spans="1:18" hidden="1">
      <c r="A39" s="40" t="s">
        <v>55</v>
      </c>
      <c r="B39" s="41" t="str">
        <f>VLOOKUP(A39,All!A:AM,2,0)</f>
        <v>THAMES VALLEY</v>
      </c>
      <c r="C39" s="42">
        <f>VLOOKUP(A39,All!A:AM,11,0)</f>
        <v>45264</v>
      </c>
      <c r="D39" s="19"/>
      <c r="E39" s="17">
        <f>VLOOKUP(A39,All!A:AM,30,0)</f>
        <v>44.879189753837778</v>
      </c>
      <c r="F39" s="17">
        <f>VLOOKUP(A39,All!A:AM,28,0)</f>
        <v>108.69650000000001</v>
      </c>
      <c r="G39" s="17">
        <f>VLOOKUP(A39,All!A:AM,31,0)</f>
        <v>22.359150322045981</v>
      </c>
      <c r="H39" s="17">
        <f>VLOOKUP(A39,All!A:AM,29,0)</f>
        <v>38.446000000000012</v>
      </c>
      <c r="I39" s="6">
        <f>VLOOKUP(A39,All!A:AM,33,0)</f>
        <v>37.417729850141768</v>
      </c>
      <c r="J39" s="6">
        <f>VLOOKUP(A39,All!A:AM,32,0)</f>
        <v>79.820100000000025</v>
      </c>
      <c r="K39" s="20">
        <f>VLOOKUP(A39,All!A:AM,39,0)</f>
        <v>73.192469879518057</v>
      </c>
      <c r="L39" s="20">
        <f>VLOOKUP(A39,All!A:AM,38,0)</f>
        <v>364.49849999999998</v>
      </c>
      <c r="M39" s="97">
        <f>VLOOKUP(A39,'SYS Allocations'!A:G,2,0)</f>
        <v>0</v>
      </c>
      <c r="N39" s="97">
        <f>VLOOKUP(A39,'SYS Allocations'!A:G,3,0)</f>
        <v>0</v>
      </c>
      <c r="O39" s="97">
        <f>VLOOKUP(A39,'SYS Allocations'!A:G,4,0)</f>
        <v>0</v>
      </c>
      <c r="P39" s="97">
        <f>VLOOKUP(A39,'SYS Allocations'!A:G,5,0)</f>
        <v>0</v>
      </c>
      <c r="Q39" s="97">
        <f>VLOOKUP(A39,'SYS Allocations'!A:G,6,0)</f>
        <v>0</v>
      </c>
      <c r="R39" s="12">
        <f>VLOOKUP(A39,'SYS Allocations'!A:G,7,0)</f>
        <v>64.449999999999989</v>
      </c>
    </row>
    <row r="40" spans="1:18" hidden="1">
      <c r="A40" s="37" t="s">
        <v>56</v>
      </c>
      <c r="B40" s="41" t="str">
        <f>VLOOKUP(A40,All!A:AM,2,0)</f>
        <v>MIDLANDS</v>
      </c>
      <c r="C40" s="42">
        <f>VLOOKUP(A40,All!A:AM,11,0)</f>
        <v>44498.416666666701</v>
      </c>
      <c r="D40" s="19"/>
      <c r="E40" s="17">
        <f>VLOOKUP(A40,All!A:AM,30,0)</f>
        <v>82.03125</v>
      </c>
      <c r="F40" s="17">
        <f>VLOOKUP(A40,All!A:AM,28,0)</f>
        <v>28.612500000000001</v>
      </c>
      <c r="G40" s="17">
        <f>VLOOKUP(A40,All!A:AM,31,0)</f>
        <v>76.041666666666657</v>
      </c>
      <c r="H40" s="17">
        <f>VLOOKUP(A40,All!A:AM,29,0)</f>
        <v>19.892499999999998</v>
      </c>
      <c r="I40" s="6">
        <f>VLOOKUP(A40,All!A:AM,33,0)</f>
        <v>77.714129259828184</v>
      </c>
      <c r="J40" s="6">
        <f>VLOOKUP(A40,All!A:AM,32,0)</f>
        <v>21.855699999999999</v>
      </c>
      <c r="K40" s="330">
        <f>VLOOKUP(A40,All!A:AM,39,0)</f>
        <v>71.014074074074074</v>
      </c>
      <c r="L40" s="330">
        <f>VLOOKUP(A40,All!A:AM,38,0)</f>
        <v>47.9345</v>
      </c>
      <c r="M40" s="97">
        <f>VLOOKUP(A40,'SYS Allocations'!A:G,2,0)</f>
        <v>0</v>
      </c>
      <c r="N40" s="97">
        <f>VLOOKUP(A40,'SYS Allocations'!A:G,3,0)</f>
        <v>0</v>
      </c>
      <c r="O40" s="97">
        <f>VLOOKUP(A40,'SYS Allocations'!A:G,4,0)</f>
        <v>0</v>
      </c>
      <c r="P40" s="97">
        <f>VLOOKUP(A40,'SYS Allocations'!A:G,5,0)</f>
        <v>0</v>
      </c>
      <c r="Q40" s="97">
        <f>VLOOKUP(A40,'SYS Allocations'!A:G,6,0)</f>
        <v>0</v>
      </c>
      <c r="R40" s="12">
        <f>VLOOKUP(A40,'SYS Allocations'!A:G,7,0)</f>
        <v>0</v>
      </c>
    </row>
    <row r="41" spans="1:18" hidden="1">
      <c r="A41" s="37" t="s">
        <v>57</v>
      </c>
      <c r="B41" s="41" t="str">
        <f>VLOOKUP(A41,All!A:AM,2,0)</f>
        <v>MIDLANDS</v>
      </c>
      <c r="C41" s="42">
        <f>VLOOKUP(A41,All!A:AM,11,0)</f>
        <v>44498.5</v>
      </c>
      <c r="D41" s="19"/>
      <c r="E41" s="17">
        <f>VLOOKUP(A41,All!A:AM,30,0)</f>
        <v>61.875</v>
      </c>
      <c r="F41" s="17">
        <f>VLOOKUP(A41,All!A:AM,28,0)</f>
        <v>21.582000000000001</v>
      </c>
      <c r="G41" s="17">
        <f>VLOOKUP(A41,All!A:AM,31,0)</f>
        <v>49.166666666666664</v>
      </c>
      <c r="H41" s="17">
        <f>VLOOKUP(A41,All!A:AM,29,0)</f>
        <v>12.862</v>
      </c>
      <c r="I41" s="6">
        <f>VLOOKUP(A41,All!A:AM,33,0)</f>
        <v>52.715195994765892</v>
      </c>
      <c r="J41" s="6">
        <f>VLOOKUP(A41,All!A:AM,32,0)</f>
        <v>14.825200000000001</v>
      </c>
      <c r="K41" s="331"/>
      <c r="L41" s="331"/>
      <c r="M41" s="97">
        <f>VLOOKUP(A41,'SYS Allocations'!A:G,2,0)</f>
        <v>0</v>
      </c>
      <c r="N41" s="97">
        <f>VLOOKUP(A41,'SYS Allocations'!A:G,3,0)</f>
        <v>0</v>
      </c>
      <c r="O41" s="97">
        <f>VLOOKUP(A41,'SYS Allocations'!A:G,4,0)</f>
        <v>0</v>
      </c>
      <c r="P41" s="97">
        <f>VLOOKUP(A41,'SYS Allocations'!A:G,5,0)</f>
        <v>0</v>
      </c>
      <c r="Q41" s="97">
        <f>VLOOKUP(A41,'SYS Allocations'!A:G,6,0)</f>
        <v>0</v>
      </c>
      <c r="R41" s="12">
        <f>VLOOKUP(A41,'SYS Allocations'!A:G,7,0)</f>
        <v>0</v>
      </c>
    </row>
    <row r="42" spans="1:18" hidden="1">
      <c r="A42" s="35" t="s">
        <v>58</v>
      </c>
      <c r="B42" s="41" t="str">
        <f>VLOOKUP(A42,All!A:AM,2,0)</f>
        <v>SOUTH</v>
      </c>
      <c r="C42" s="42">
        <f>VLOOKUP(A42,All!A:AM,11,0)</f>
        <v>44879</v>
      </c>
      <c r="D42" s="5"/>
      <c r="E42" s="17">
        <f>VLOOKUP(A42,All!A:AM,30,0)</f>
        <v>26.660899327719996</v>
      </c>
      <c r="F42" s="17">
        <f>VLOOKUP(A42,All!A:AM,28,0)</f>
        <v>2.26206</v>
      </c>
      <c r="G42" s="17">
        <f>VLOOKUP(A42,All!A:AM,31,0)</f>
        <v>32.313070144448602</v>
      </c>
      <c r="H42" s="17">
        <f>VLOOKUP(A42,All!A:AM,29,0)</f>
        <v>2.9705598910000002</v>
      </c>
      <c r="I42" s="6">
        <f>VLOOKUP(A42,All!A:AM,33,0)</f>
        <v>-113.39163237311386</v>
      </c>
      <c r="J42" s="6">
        <f>VLOOKUP(A42,All!A:AM,32,0)</f>
        <v>-3.3065000000000002</v>
      </c>
      <c r="K42" s="20">
        <f>VLOOKUP(A42,All!A:AM,39,0)</f>
        <v>44.68888888888889</v>
      </c>
      <c r="L42" s="20">
        <f>VLOOKUP(A42,All!A:AM,38,0)</f>
        <v>5.0274999999999999</v>
      </c>
      <c r="M42" s="97">
        <f>VLOOKUP(A42,'SYS Allocations'!A:G,2,0)</f>
        <v>0</v>
      </c>
      <c r="N42" s="97">
        <f>VLOOKUP(A42,'SYS Allocations'!A:G,3,0)</f>
        <v>0</v>
      </c>
      <c r="O42" s="97">
        <f>VLOOKUP(A42,'SYS Allocations'!A:G,4,0)</f>
        <v>0</v>
      </c>
      <c r="P42" s="97">
        <f>VLOOKUP(A42,'SYS Allocations'!A:G,5,0)</f>
        <v>0</v>
      </c>
      <c r="Q42" s="97">
        <f>VLOOKUP(A42,'SYS Allocations'!A:G,6,0)</f>
        <v>0</v>
      </c>
      <c r="R42" s="12">
        <f>VLOOKUP(A42,'SYS Allocations'!A:G,7,0)</f>
        <v>0.5</v>
      </c>
    </row>
    <row r="43" spans="1:18" hidden="1">
      <c r="A43" s="35" t="s">
        <v>59</v>
      </c>
      <c r="B43" s="41" t="str">
        <f>VLOOKUP(A43,All!A:AM,2,0)</f>
        <v>NORTH WEST</v>
      </c>
      <c r="C43" s="42">
        <f>VLOOKUP(A43,All!A:AM,11,0)</f>
        <v>45264</v>
      </c>
      <c r="D43" s="5"/>
      <c r="E43" s="17">
        <f>VLOOKUP(A43,All!A:AM,30,0)</f>
        <v>58.095202286058054</v>
      </c>
      <c r="F43" s="17">
        <f>VLOOKUP(A43,All!A:AM,28,0)</f>
        <v>4.6353</v>
      </c>
      <c r="G43" s="17">
        <f>VLOOKUP(A43,All!A:AM,31,0)</f>
        <v>45.709182430786718</v>
      </c>
      <c r="H43" s="17">
        <f>VLOOKUP(A43,All!A:AM,29,0)</f>
        <v>2.8149999999999999</v>
      </c>
      <c r="I43" s="6">
        <f>VLOOKUP(A43,All!A:AM,33,0)</f>
        <v>46.715433161216119</v>
      </c>
      <c r="J43" s="6">
        <f>VLOOKUP(A43,All!A:AM,32,0)</f>
        <v>2.9312999999999798</v>
      </c>
      <c r="K43" s="20">
        <f>VLOOKUP(A43,All!A:AM,39,0)</f>
        <v>44.274999999999999</v>
      </c>
      <c r="L43" s="20">
        <f>VLOOKUP(A43,All!A:AM,38,0)</f>
        <v>2.6564999999999999</v>
      </c>
      <c r="M43" s="97">
        <f>VLOOKUP(A43,'SYS Allocations'!A:G,2,0)</f>
        <v>0</v>
      </c>
      <c r="N43" s="97">
        <f>VLOOKUP(A43,'SYS Allocations'!A:G,3,0)</f>
        <v>0</v>
      </c>
      <c r="O43" s="97">
        <f>VLOOKUP(A43,'SYS Allocations'!A:G,4,0)</f>
        <v>0</v>
      </c>
      <c r="P43" s="97">
        <f>VLOOKUP(A43,'SYS Allocations'!A:G,5,0)</f>
        <v>0</v>
      </c>
      <c r="Q43" s="97">
        <f>VLOOKUP(A43,'SYS Allocations'!A:G,6,0)</f>
        <v>0</v>
      </c>
      <c r="R43" s="12">
        <f>VLOOKUP(A43,'SYS Allocations'!A:G,7,0)</f>
        <v>1</v>
      </c>
    </row>
    <row r="44" spans="1:18" hidden="1">
      <c r="A44" s="35" t="s">
        <v>60</v>
      </c>
      <c r="B44" s="41" t="str">
        <f>VLOOKUP(A44,All!A:AM,2,0)</f>
        <v>SCOTLAND</v>
      </c>
      <c r="C44" s="42">
        <f>VLOOKUP(A44,All!A:AM,11,0)</f>
        <v>44538.548611111102</v>
      </c>
      <c r="D44" s="5"/>
      <c r="E44" s="17">
        <f>VLOOKUP(A44,All!A:AM,30,0)</f>
        <v>76.720183486238525</v>
      </c>
      <c r="F44" s="17">
        <f>VLOOKUP(A44,All!A:AM,28,0)</f>
        <v>2.0070000000000001</v>
      </c>
      <c r="G44" s="17">
        <f>VLOOKUP(A44,All!A:AM,31,0)</f>
        <v>74.603836530442038</v>
      </c>
      <c r="H44" s="17">
        <f>VLOOKUP(A44,All!A:AM,29,0)</f>
        <v>1.7890000000000001</v>
      </c>
      <c r="I44" s="6">
        <f>VLOOKUP(A44,All!A:AM,33,0)</f>
        <v>68.811455260570298</v>
      </c>
      <c r="J44" s="6">
        <f>VLOOKUP(A44,All!A:AM,32,0)</f>
        <v>1.3436399999999999</v>
      </c>
      <c r="K44" s="20">
        <f>VLOOKUP(A44,All!A:AM,39,0)</f>
        <v>87.880597014925371</v>
      </c>
      <c r="L44" s="20">
        <f>VLOOKUP(A44,All!A:AM,38,0)</f>
        <v>4.4160000000000004</v>
      </c>
      <c r="M44" s="97">
        <f>VLOOKUP(A44,'SYS Allocations'!A:G,2,0)</f>
        <v>0</v>
      </c>
      <c r="N44" s="97">
        <f>VLOOKUP(A44,'SYS Allocations'!A:G,3,0)</f>
        <v>0</v>
      </c>
      <c r="O44" s="97">
        <f>VLOOKUP(A44,'SYS Allocations'!A:G,4,0)</f>
        <v>0</v>
      </c>
      <c r="P44" s="97">
        <f>VLOOKUP(A44,'SYS Allocations'!A:G,5,0)</f>
        <v>0</v>
      </c>
      <c r="Q44" s="97">
        <f>VLOOKUP(A44,'SYS Allocations'!A:G,6,0)</f>
        <v>0</v>
      </c>
      <c r="R44" s="12">
        <f>VLOOKUP(A44,'SYS Allocations'!A:G,7,0)</f>
        <v>0.5</v>
      </c>
    </row>
    <row r="45" spans="1:18" hidden="1">
      <c r="A45" s="35" t="s">
        <v>61</v>
      </c>
      <c r="B45" s="41" t="str">
        <f>VLOOKUP(A45,All!A:AM,2,0)</f>
        <v xml:space="preserve">SCOTTISH HIGHLANDS &amp; ISLANDS </v>
      </c>
      <c r="C45" s="42">
        <f>VLOOKUP(A45,All!A:AM,11,0)</f>
        <v>45264</v>
      </c>
      <c r="D45" s="5"/>
      <c r="E45" s="17">
        <f>VLOOKUP(A45,All!A:AM,30,0)</f>
        <v>59.016393442622942</v>
      </c>
      <c r="F45" s="17">
        <f>VLOOKUP(A45,All!A:AM,28,0)</f>
        <v>0.94176000000000004</v>
      </c>
      <c r="G45" s="17">
        <f>VLOOKUP(A45,All!A:AM,31,0)</f>
        <v>671.42775510320701</v>
      </c>
      <c r="H45" s="17">
        <f>VLOOKUP(A45,All!A:AM,29,0)</f>
        <v>-0.76845016349999995</v>
      </c>
      <c r="I45" s="6">
        <f>VLOOKUP(A45,All!A:AM,33,0)</f>
        <v>84.472934472934469</v>
      </c>
      <c r="J45" s="6">
        <f>VLOOKUP(A45,All!A:AM,32,0)</f>
        <v>3.5579999999999998</v>
      </c>
      <c r="K45" s="20">
        <f>VLOOKUP(A45,All!A:AM,39,0)</f>
        <v>82.56</v>
      </c>
      <c r="L45" s="20">
        <f>VLOOKUP(A45,All!A:AM,38,0)</f>
        <v>3.0960000000000001</v>
      </c>
      <c r="M45" s="97">
        <f>VLOOKUP(A45,'SYS Allocations'!A:G,2,0)</f>
        <v>0</v>
      </c>
      <c r="N45" s="97">
        <f>VLOOKUP(A45,'SYS Allocations'!A:G,3,0)</f>
        <v>0</v>
      </c>
      <c r="O45" s="97">
        <f>VLOOKUP(A45,'SYS Allocations'!A:G,4,0)</f>
        <v>0</v>
      </c>
      <c r="P45" s="97">
        <f>VLOOKUP(A45,'SYS Allocations'!A:G,5,0)</f>
        <v>0</v>
      </c>
      <c r="Q45" s="97">
        <f>VLOOKUP(A45,'SYS Allocations'!A:G,6,0)</f>
        <v>0</v>
      </c>
      <c r="R45" s="12">
        <f>VLOOKUP(A45,'SYS Allocations'!A:G,7,0)</f>
        <v>0</v>
      </c>
    </row>
    <row r="46" spans="1:18" hidden="1">
      <c r="A46" s="35" t="s">
        <v>62</v>
      </c>
      <c r="B46" s="41" t="str">
        <f>VLOOKUP(A46,All!A:AM,2,0)</f>
        <v>THAMES VALLEY</v>
      </c>
      <c r="C46" s="42">
        <f>VLOOKUP(A46,All!A:AM,11,0)</f>
        <v>45091</v>
      </c>
      <c r="D46" s="5"/>
      <c r="E46" s="17">
        <f>VLOOKUP(A46,All!A:AM,30,0)</f>
        <v>38.457224143981556</v>
      </c>
      <c r="F46" s="17">
        <f>VLOOKUP(A46,All!A:AM,28,0)</f>
        <v>12.273700000000002</v>
      </c>
      <c r="G46" s="17">
        <f>VLOOKUP(A46,All!A:AM,31,0)</f>
        <v>12.525607909503874</v>
      </c>
      <c r="H46" s="17">
        <f>VLOOKUP(A46,All!A:AM,29,0)</f>
        <v>2.8125</v>
      </c>
      <c r="I46" s="6">
        <f>VLOOKUP(A46,All!A:AM,33,0)</f>
        <v>30.159085737042727</v>
      </c>
      <c r="J46" s="6">
        <f>VLOOKUP(A46,All!A:AM,32,0)</f>
        <v>8.4817</v>
      </c>
      <c r="K46" s="20">
        <f>VLOOKUP(A46,All!A:AM,39,0)</f>
        <v>40.480303030303027</v>
      </c>
      <c r="L46" s="20">
        <f>VLOOKUP(A46,All!A:AM,38,0)</f>
        <v>13.358499999999999</v>
      </c>
      <c r="M46" s="97">
        <f>VLOOKUP(A46,'SYS Allocations'!A:G,2,0)</f>
        <v>0</v>
      </c>
      <c r="N46" s="97">
        <f>VLOOKUP(A46,'SYS Allocations'!A:G,3,0)</f>
        <v>0</v>
      </c>
      <c r="O46" s="97">
        <f>VLOOKUP(A46,'SYS Allocations'!A:G,4,0)</f>
        <v>0</v>
      </c>
      <c r="P46" s="97">
        <f>VLOOKUP(A46,'SYS Allocations'!A:G,5,0)</f>
        <v>0</v>
      </c>
      <c r="Q46" s="97">
        <f>VLOOKUP(A46,'SYS Allocations'!A:G,6,0)</f>
        <v>0</v>
      </c>
      <c r="R46" s="12">
        <f>VLOOKUP(A46,'SYS Allocations'!A:G,7,0)</f>
        <v>4</v>
      </c>
    </row>
    <row r="47" spans="1:18" hidden="1">
      <c r="A47" s="40" t="s">
        <v>63</v>
      </c>
      <c r="B47" s="41" t="str">
        <f>VLOOKUP(A47,All!A:AM,2,0)</f>
        <v>MIDLANDS</v>
      </c>
      <c r="C47" s="42">
        <f>VLOOKUP(A47,All!A:AM,11,0)</f>
        <v>45264</v>
      </c>
      <c r="D47" s="5"/>
      <c r="E47" s="17">
        <f>VLOOKUP(A47,All!A:AM,30,0)</f>
        <v>39.932867553562396</v>
      </c>
      <c r="F47" s="17">
        <f>VLOOKUP(A47,All!A:AM,28,0)</f>
        <v>35.047800000000002</v>
      </c>
      <c r="G47" s="17">
        <f>VLOOKUP(A47,All!A:AM,31,0)</f>
        <v>-18.981685229696335</v>
      </c>
      <c r="H47" s="17">
        <f>VLOOKUP(A47,All!A:AM,29,0)</f>
        <v>-8.4105000000000008</v>
      </c>
      <c r="I47" s="6">
        <f>VLOOKUP(A47,All!A:AM,33,0)</f>
        <v>50.573219027046584</v>
      </c>
      <c r="J47" s="6">
        <f>VLOOKUP(A47,All!A:AM,32,0)</f>
        <v>53.9418000000001</v>
      </c>
      <c r="K47" s="20">
        <f>VLOOKUP(A47,All!A:AM,39,0)</f>
        <v>47.93185185185186</v>
      </c>
      <c r="L47" s="20">
        <f>VLOOKUP(A47,All!A:AM,38,0)</f>
        <v>48.531000000000006</v>
      </c>
      <c r="M47" s="97" t="str">
        <f>VLOOKUP(A47,'SYS Allocations'!A:G,2,0)</f>
        <v>P-Core</v>
      </c>
      <c r="N47" s="97" t="str">
        <f>VLOOKUP(A47,'SYS Allocations'!A:G,3,0)</f>
        <v>RA</v>
      </c>
      <c r="O47" s="97" t="str">
        <f>VLOOKUP(A47,'SYS Allocations'!A:G,4,0)</f>
        <v>PX</v>
      </c>
      <c r="P47" s="97">
        <f>VLOOKUP(A47,'SYS Allocations'!A:G,5,0)</f>
        <v>0</v>
      </c>
      <c r="Q47" s="97">
        <f>VLOOKUP(A47,'SYS Allocations'!A:G,6,0)</f>
        <v>0</v>
      </c>
      <c r="R47" s="12">
        <f>VLOOKUP(A47,'SYS Allocations'!A:G,7,0)</f>
        <v>21</v>
      </c>
    </row>
    <row r="48" spans="1:18" hidden="1">
      <c r="A48" s="40" t="s">
        <v>64</v>
      </c>
      <c r="B48" s="41" t="str">
        <f>VLOOKUP(A48,All!A:AM,2,0)</f>
        <v>MIDLANDS</v>
      </c>
      <c r="C48" s="42">
        <f>VLOOKUP(A48,All!A:AM,11,0)</f>
        <v>45264</v>
      </c>
      <c r="D48" s="5"/>
      <c r="E48" s="17">
        <f>VLOOKUP(A48,All!A:AM,30,0)</f>
        <v>29.428325972919144</v>
      </c>
      <c r="F48" s="17">
        <f>VLOOKUP(A48,All!A:AM,28,0)</f>
        <v>25.828299999999999</v>
      </c>
      <c r="G48" s="17">
        <f>VLOOKUP(A48,All!A:AM,31,0)</f>
        <v>-39.789205231501853</v>
      </c>
      <c r="H48" s="17">
        <f>VLOOKUP(A48,All!A:AM,29,0)</f>
        <v>-17.63</v>
      </c>
      <c r="I48" s="6">
        <f>VLOOKUP(A48,All!A:AM,33,0)</f>
        <v>41.929462370430464</v>
      </c>
      <c r="J48" s="6">
        <f>VLOOKUP(A48,All!A:AM,32,0)</f>
        <v>44.722300000000097</v>
      </c>
      <c r="K48" s="20">
        <f>VLOOKUP(A48,All!A:AM,39,0)</f>
        <v>38.826172839506178</v>
      </c>
      <c r="L48" s="20">
        <f>VLOOKUP(A48,All!A:AM,38,0)</f>
        <v>39.311500000000002</v>
      </c>
      <c r="M48" s="97" t="str">
        <f>VLOOKUP(A48,'SYS Allocations'!A:G,2,0)</f>
        <v>P-Core</v>
      </c>
      <c r="N48" s="97">
        <f>VLOOKUP(A48,'SYS Allocations'!A:G,3,0)</f>
        <v>0</v>
      </c>
      <c r="O48" s="97">
        <f>VLOOKUP(A48,'SYS Allocations'!A:G,4,0)</f>
        <v>0</v>
      </c>
      <c r="P48" s="97">
        <f>VLOOKUP(A48,'SYS Allocations'!A:G,5,0)</f>
        <v>0</v>
      </c>
      <c r="Q48" s="97">
        <f>VLOOKUP(A48,'SYS Allocations'!A:G,6,0)</f>
        <v>0</v>
      </c>
      <c r="R48" s="12">
        <f>VLOOKUP(A48,'SYS Allocations'!A:G,7,0)</f>
        <v>20.9</v>
      </c>
    </row>
    <row r="49" spans="1:18" hidden="1">
      <c r="A49" s="40" t="s">
        <v>65</v>
      </c>
      <c r="B49" s="41" t="str">
        <f>VLOOKUP(A49,All!A:AM,2,0)</f>
        <v>MIDLANDS</v>
      </c>
      <c r="C49" s="42">
        <f>VLOOKUP(A49,All!A:AM,11,0)</f>
        <v>45264</v>
      </c>
      <c r="D49" s="5"/>
      <c r="E49" s="17">
        <f>VLOOKUP(A49,All!A:AM,30,0)</f>
        <v>46.407411458546967</v>
      </c>
      <c r="F49" s="17">
        <f>VLOOKUP(A49,All!A:AM,28,0)</f>
        <v>40.7303</v>
      </c>
      <c r="G49" s="17">
        <f>VLOOKUP(A49,All!A:AM,31,0)</f>
        <v>28.849542797068452</v>
      </c>
      <c r="H49" s="17">
        <f>VLOOKUP(A49,All!A:AM,29,0)</f>
        <v>19.071999999999999</v>
      </c>
      <c r="I49" s="6">
        <f>VLOOKUP(A49,All!A:AM,33,0)</f>
        <v>33.851283695603442</v>
      </c>
      <c r="J49" s="6">
        <f>VLOOKUP(A49,All!A:AM,32,0)</f>
        <v>24.070700000000198</v>
      </c>
      <c r="K49" s="20">
        <f>VLOOKUP(A49,All!A:AM,39,0)</f>
        <v>53.544197530864196</v>
      </c>
      <c r="L49" s="20">
        <f>VLOOKUP(A49,All!A:AM,38,0)</f>
        <v>54.213499999999996</v>
      </c>
      <c r="M49" s="97" t="str">
        <f>VLOOKUP(A49,'SYS Allocations'!A:G,2,0)</f>
        <v>P-Core</v>
      </c>
      <c r="N49" s="97">
        <f>VLOOKUP(A49,'SYS Allocations'!A:G,3,0)</f>
        <v>0</v>
      </c>
      <c r="O49" s="97">
        <f>VLOOKUP(A49,'SYS Allocations'!A:G,4,0)</f>
        <v>0</v>
      </c>
      <c r="P49" s="97">
        <f>VLOOKUP(A49,'SYS Allocations'!A:G,5,0)</f>
        <v>0</v>
      </c>
      <c r="Q49" s="97">
        <f>VLOOKUP(A49,'SYS Allocations'!A:G,6,0)</f>
        <v>0</v>
      </c>
      <c r="R49" s="12">
        <f>VLOOKUP(A49,'SYS Allocations'!A:G,7,0)</f>
        <v>3.6</v>
      </c>
    </row>
    <row r="50" spans="1:18" hidden="1">
      <c r="A50" s="256" t="s">
        <v>66</v>
      </c>
      <c r="B50" s="41" t="str">
        <f>VLOOKUP(A50,All!A:AM,2,0)</f>
        <v>MIDLANDS</v>
      </c>
      <c r="C50" s="42">
        <f>VLOOKUP(A50,All!A:AM,11,0)</f>
        <v>45264</v>
      </c>
      <c r="D50" s="5"/>
      <c r="E50" s="17">
        <f>VLOOKUP(A50,All!A:AM,30,0)</f>
        <v>61.885143750059903</v>
      </c>
      <c r="F50" s="17">
        <f>VLOOKUP(A50,All!A:AM,28,0)</f>
        <v>129.10849999999999</v>
      </c>
      <c r="G50" s="17">
        <f>VLOOKUP(A50,All!A:AM,31,0)</f>
        <v>59.971558374548522</v>
      </c>
      <c r="H50" s="17">
        <f>VLOOKUP(A50,All!A:AM,29,0)</f>
        <v>119.13500000000001</v>
      </c>
      <c r="I50" s="6">
        <f>VLOOKUP(A50,All!A:AM,33,0)</f>
        <v>17.28754963735209</v>
      </c>
      <c r="J50" s="6">
        <f>VLOOKUP(A50,All!A:AM,32,0)</f>
        <v>16.619780000000198</v>
      </c>
      <c r="K50" s="330">
        <f>VLOOKUP(A50,All!A:AM,39,0)</f>
        <v>61.562345679012353</v>
      </c>
      <c r="L50" s="330">
        <f>VLOOKUP(A50,All!A:AM,38,0)</f>
        <v>249.32750000000001</v>
      </c>
      <c r="M50" s="97">
        <f>VLOOKUP(A50,'SYS Allocations'!A:G,2,0)</f>
        <v>0</v>
      </c>
      <c r="N50" s="97">
        <f>VLOOKUP(A50,'SYS Allocations'!A:G,3,0)</f>
        <v>0</v>
      </c>
      <c r="O50" s="97">
        <f>VLOOKUP(A50,'SYS Allocations'!A:G,4,0)</f>
        <v>0</v>
      </c>
      <c r="P50" s="97">
        <f>VLOOKUP(A50,'SYS Allocations'!A:G,5,0)</f>
        <v>0</v>
      </c>
      <c r="Q50" s="97">
        <f>VLOOKUP(A50,'SYS Allocations'!A:G,6,0)</f>
        <v>0</v>
      </c>
      <c r="R50" s="12">
        <f>VLOOKUP(A50,'SYS Allocations'!A:G,7,0)</f>
        <v>13.299999999999999</v>
      </c>
    </row>
    <row r="51" spans="1:18" hidden="1">
      <c r="A51" s="256" t="s">
        <v>67</v>
      </c>
      <c r="B51" s="41" t="str">
        <f>VLOOKUP(A51,All!A:AM,2,0)</f>
        <v>MIDLANDS</v>
      </c>
      <c r="C51" s="42">
        <f>VLOOKUP(A51,All!A:AM,11,0)</f>
        <v>45264</v>
      </c>
      <c r="D51" s="5"/>
      <c r="E51" s="17">
        <f>VLOOKUP(A51,All!A:AM,30,0)</f>
        <v>63.496879583560997</v>
      </c>
      <c r="F51" s="17">
        <f>VLOOKUP(A51,All!A:AM,28,0)</f>
        <v>132.47099999999998</v>
      </c>
      <c r="G51" s="17">
        <f>VLOOKUP(A51,All!A:AM,31,0)</f>
        <v>61.664212632612227</v>
      </c>
      <c r="H51" s="17">
        <f>VLOOKUP(A51,All!A:AM,29,0)</f>
        <v>122.49750000000002</v>
      </c>
      <c r="I51" s="6">
        <f>VLOOKUP(A51,All!A:AM,33,0)</f>
        <v>20.785152232307965</v>
      </c>
      <c r="J51" s="6">
        <f>VLOOKUP(A51,All!A:AM,32,0)</f>
        <v>19.982280000000202</v>
      </c>
      <c r="K51" s="331"/>
      <c r="L51" s="331"/>
      <c r="M51" s="97">
        <f>VLOOKUP(A51,'SYS Allocations'!A:G,2,0)</f>
        <v>0</v>
      </c>
      <c r="N51" s="97">
        <f>VLOOKUP(A51,'SYS Allocations'!A:G,3,0)</f>
        <v>0</v>
      </c>
      <c r="O51" s="97">
        <f>VLOOKUP(A51,'SYS Allocations'!A:G,4,0)</f>
        <v>0</v>
      </c>
      <c r="P51" s="97">
        <f>VLOOKUP(A51,'SYS Allocations'!A:G,5,0)</f>
        <v>0</v>
      </c>
      <c r="Q51" s="97">
        <f>VLOOKUP(A51,'SYS Allocations'!A:G,6,0)</f>
        <v>0</v>
      </c>
      <c r="R51" s="12">
        <f>VLOOKUP(A51,'SYS Allocations'!A:G,7,0)</f>
        <v>11.299999999999999</v>
      </c>
    </row>
    <row r="52" spans="1:18" hidden="1">
      <c r="A52" s="40" t="s">
        <v>68</v>
      </c>
      <c r="B52" s="41" t="str">
        <f>VLOOKUP(A52,All!A:AM,2,0)</f>
        <v>LONDON</v>
      </c>
      <c r="C52" s="42">
        <f>VLOOKUP(A52,All!A:AM,11,0)</f>
        <v>45264</v>
      </c>
      <c r="D52" s="5"/>
      <c r="E52" s="17">
        <f>VLOOKUP(A52,All!A:AM,30,0)</f>
        <v>19.149327448507776</v>
      </c>
      <c r="F52" s="17">
        <f>VLOOKUP(A52,All!A:AM,28,0)</f>
        <v>15.89002</v>
      </c>
      <c r="G52" s="17">
        <f>VLOOKUP(A52,All!A:AM,31,0)</f>
        <v>-11.584481508339376</v>
      </c>
      <c r="H52" s="17">
        <f>VLOOKUP(A52,All!A:AM,29,0)</f>
        <v>-6.9650999999999996</v>
      </c>
      <c r="I52" s="6">
        <f>VLOOKUP(A52,All!A:AM,33,0)</f>
        <v>4.5777151959947942</v>
      </c>
      <c r="J52" s="6">
        <f>VLOOKUP(A52,All!A:AM,32,0)</f>
        <v>3.2185000000000201</v>
      </c>
      <c r="K52" s="20">
        <f>VLOOKUP(A52,All!A:AM,39,0)</f>
        <v>51.907168458781364</v>
      </c>
      <c r="L52" s="20">
        <f>VLOOKUP(A52,All!A:AM,38,0)</f>
        <v>72.410499999999999</v>
      </c>
      <c r="M52" s="97" t="str">
        <f>VLOOKUP(A52,'SYS Allocations'!A:G,2,0)</f>
        <v>P-Core</v>
      </c>
      <c r="N52" s="97">
        <f>VLOOKUP(A52,'SYS Allocations'!A:G,3,0)</f>
        <v>0</v>
      </c>
      <c r="O52" s="97">
        <f>VLOOKUP(A52,'SYS Allocations'!A:G,4,0)</f>
        <v>0</v>
      </c>
      <c r="P52" s="97">
        <f>VLOOKUP(A52,'SYS Allocations'!A:G,5,0)</f>
        <v>0</v>
      </c>
      <c r="Q52" s="97">
        <f>VLOOKUP(A52,'SYS Allocations'!A:G,6,0)</f>
        <v>0</v>
      </c>
      <c r="R52" s="12">
        <f>VLOOKUP(A52,'SYS Allocations'!A:G,7,0)</f>
        <v>0</v>
      </c>
    </row>
    <row r="53" spans="1:18" hidden="1">
      <c r="A53" s="40" t="s">
        <v>69</v>
      </c>
      <c r="B53" s="41" t="str">
        <f>VLOOKUP(A53,All!A:AM,2,0)</f>
        <v>LONDON</v>
      </c>
      <c r="C53" s="42">
        <f>VLOOKUP(A53,All!A:AM,11,0)</f>
        <v>45264</v>
      </c>
      <c r="D53" s="5"/>
      <c r="E53" s="17">
        <f>VLOOKUP(A53,All!A:AM,30,0)</f>
        <v>31.164460821176124</v>
      </c>
      <c r="F53" s="17">
        <f>VLOOKUP(A53,All!A:AM,28,0)</f>
        <v>29.838600000000007</v>
      </c>
      <c r="G53" s="17">
        <f>VLOOKUP(A53,All!A:AM,31,0)</f>
        <v>-1.1122702586603683</v>
      </c>
      <c r="H53" s="17">
        <f>VLOOKUP(A53,All!A:AM,29,0)</f>
        <v>-0.72500000000000142</v>
      </c>
      <c r="I53" s="6">
        <f>VLOOKUP(A53,All!A:AM,33,0)</f>
        <v>25.850546780073074</v>
      </c>
      <c r="J53" s="6">
        <f>VLOOKUP(A53,All!A:AM,32,0)</f>
        <v>22.977000000000203</v>
      </c>
      <c r="K53" s="20">
        <f>VLOOKUP(A53,All!A:AM,39,0)</f>
        <v>52.754838709677408</v>
      </c>
      <c r="L53" s="20">
        <f>VLOOKUP(A53,All!A:AM,38,0)</f>
        <v>73.592999999999989</v>
      </c>
      <c r="M53" s="97">
        <f>VLOOKUP(A53,'SYS Allocations'!A:G,2,0)</f>
        <v>0</v>
      </c>
      <c r="N53" s="97" t="str">
        <f>VLOOKUP(A53,'SYS Allocations'!A:G,3,0)</f>
        <v>RA</v>
      </c>
      <c r="O53" s="97" t="str">
        <f>VLOOKUP(A53,'SYS Allocations'!A:G,4,0)</f>
        <v>PX</v>
      </c>
      <c r="P53" s="97">
        <f>VLOOKUP(A53,'SYS Allocations'!A:G,5,0)</f>
        <v>0</v>
      </c>
      <c r="Q53" s="97" t="str">
        <f>VLOOKUP(A53,'SYS Allocations'!A:G,6,0)</f>
        <v>OPEX</v>
      </c>
      <c r="R53" s="12">
        <f>VLOOKUP(A53,'SYS Allocations'!A:G,7,0)</f>
        <v>36.15</v>
      </c>
    </row>
    <row r="54" spans="1:18" hidden="1">
      <c r="A54" s="100" t="s">
        <v>70</v>
      </c>
      <c r="B54" s="41" t="str">
        <f>VLOOKUP(A54,All!A:AM,2,0)</f>
        <v>SOUTH WEST</v>
      </c>
      <c r="C54" s="42">
        <f>VLOOKUP(A54,All!A:AM,11,0)</f>
        <v>45264</v>
      </c>
      <c r="D54" s="5"/>
      <c r="E54" s="17">
        <f>VLOOKUP(A54,All!A:AM,30,0)</f>
        <v>53.710681520314544</v>
      </c>
      <c r="F54" s="17">
        <f>VLOOKUP(A54,All!A:AM,28,0)</f>
        <v>36.063499999999998</v>
      </c>
      <c r="G54" s="17">
        <f>VLOOKUP(A54,All!A:AM,31,0)</f>
        <v>36.635066258919473</v>
      </c>
      <c r="H54" s="17">
        <f>VLOOKUP(A54,All!A:AM,29,0)</f>
        <v>17.9695</v>
      </c>
      <c r="I54" s="6">
        <f>VLOOKUP(A54,All!A:AM,33,0)</f>
        <v>44.742241281219876</v>
      </c>
      <c r="J54" s="6">
        <f>VLOOKUP(A54,All!A:AM,32,0)</f>
        <v>25.1659000000001</v>
      </c>
      <c r="K54" s="20">
        <f>VLOOKUP(A54,All!A:AM,39,0)</f>
        <v>64.580626780626787</v>
      </c>
      <c r="L54" s="20">
        <f>VLOOKUP(A54,All!A:AM,38,0)</f>
        <v>56.669499999999999</v>
      </c>
      <c r="M54" s="97">
        <f>VLOOKUP(A54,'SYS Allocations'!A:G,2,0)</f>
        <v>0</v>
      </c>
      <c r="N54" s="97">
        <f>VLOOKUP(A54,'SYS Allocations'!A:G,3,0)</f>
        <v>0</v>
      </c>
      <c r="O54" s="97">
        <f>VLOOKUP(A54,'SYS Allocations'!A:G,4,0)</f>
        <v>0</v>
      </c>
      <c r="P54" s="97">
        <f>VLOOKUP(A54,'SYS Allocations'!A:G,5,0)</f>
        <v>0</v>
      </c>
      <c r="Q54" s="97">
        <f>VLOOKUP(A54,'SYS Allocations'!A:G,6,0)</f>
        <v>0</v>
      </c>
      <c r="R54" s="12">
        <f>VLOOKUP(A54,'SYS Allocations'!A:G,7,0)</f>
        <v>2.25</v>
      </c>
    </row>
    <row r="55" spans="1:18" hidden="1">
      <c r="A55" s="100" t="s">
        <v>71</v>
      </c>
      <c r="B55" s="41" t="str">
        <f>VLOOKUP(A55,All!A:AM,2,0)</f>
        <v>SOUTH WEST</v>
      </c>
      <c r="C55" s="42">
        <f>VLOOKUP(A55,All!A:AM,11,0)</f>
        <v>45001</v>
      </c>
      <c r="D55" s="5"/>
      <c r="E55" s="17">
        <f>VLOOKUP(A55,All!A:AM,30,0)</f>
        <v>1.5758948714092338</v>
      </c>
      <c r="F55" s="17">
        <f>VLOOKUP(A55,All!A:AM,28,0)</f>
        <v>1.0058999999999996</v>
      </c>
      <c r="G55" s="17">
        <f>VLOOKUP(A55,All!A:AM,31,0)</f>
        <v>-73.605891455731182</v>
      </c>
      <c r="H55" s="17">
        <f>VLOOKUP(A55,All!A:AM,29,0)</f>
        <v>-26.636500000000002</v>
      </c>
      <c r="I55" s="6">
        <f>VLOOKUP(A55,All!A:AM,33,0)</f>
        <v>11.648187525314139</v>
      </c>
      <c r="J55" s="6">
        <f>VLOOKUP(A55,All!A:AM,32,0)</f>
        <v>8.2827000000001991</v>
      </c>
      <c r="K55" s="20">
        <f>VLOOKUP(A55,All!A:AM,39,0)</f>
        <v>33.519047619047619</v>
      </c>
      <c r="L55" s="20">
        <f>VLOOKUP(A55,All!A:AM,38,0)</f>
        <v>31.6755</v>
      </c>
      <c r="M55" s="97" t="str">
        <f>VLOOKUP(A55,'SYS Allocations'!A:G,2,0)</f>
        <v>P-Core</v>
      </c>
      <c r="N55" s="97">
        <f>VLOOKUP(A55,'SYS Allocations'!A:G,3,0)</f>
        <v>0</v>
      </c>
      <c r="O55" s="97">
        <f>VLOOKUP(A55,'SYS Allocations'!A:G,4,0)</f>
        <v>0</v>
      </c>
      <c r="P55" s="97">
        <f>VLOOKUP(A55,'SYS Allocations'!A:G,5,0)</f>
        <v>0</v>
      </c>
      <c r="Q55" s="97">
        <f>VLOOKUP(A55,'SYS Allocations'!A:G,6,0)</f>
        <v>0</v>
      </c>
      <c r="R55" s="12">
        <f>VLOOKUP(A55,'SYS Allocations'!A:G,7,0)</f>
        <v>5</v>
      </c>
    </row>
    <row r="56" spans="1:18" hidden="1">
      <c r="A56" s="100" t="s">
        <v>72</v>
      </c>
      <c r="B56" s="41" t="str">
        <f>VLOOKUP(A56,All!A:AM,2,0)</f>
        <v>SOUTH WEST</v>
      </c>
      <c r="C56" s="42">
        <f>VLOOKUP(A56,All!A:AM,11,0)</f>
        <v>45048</v>
      </c>
      <c r="D56" s="5"/>
      <c r="E56" s="17">
        <f>VLOOKUP(A56,All!A:AM,30,0)</f>
        <v>21.829211045634576</v>
      </c>
      <c r="F56" s="17">
        <f>VLOOKUP(A56,All!A:AM,28,0)</f>
        <v>19.158800000000006</v>
      </c>
      <c r="G56" s="17">
        <f>VLOOKUP(A56,All!A:AM,31,0)</f>
        <v>-24.270719182734535</v>
      </c>
      <c r="H56" s="17">
        <f>VLOOKUP(A56,All!A:AM,29,0)</f>
        <v>-13.399499999999996</v>
      </c>
      <c r="I56" s="6">
        <f>VLOOKUP(A56,All!A:AM,33,0)</f>
        <v>22.811754646505737</v>
      </c>
      <c r="J56" s="6">
        <f>VLOOKUP(A56,All!A:AM,32,0)</f>
        <v>20.276000000000202</v>
      </c>
      <c r="K56" s="20">
        <f>VLOOKUP(A56,All!A:AM,39,0)</f>
        <v>35.5793427230047</v>
      </c>
      <c r="L56" s="20">
        <f>VLOOKUP(A56,All!A:AM,38,0)</f>
        <v>37.892000000000003</v>
      </c>
      <c r="M56" s="97">
        <f>VLOOKUP(A56,'SYS Allocations'!A:G,2,0)</f>
        <v>0</v>
      </c>
      <c r="N56" s="97" t="str">
        <f>VLOOKUP(A56,'SYS Allocations'!A:G,3,0)</f>
        <v>RA</v>
      </c>
      <c r="O56" s="97" t="str">
        <f>VLOOKUP(A56,'SYS Allocations'!A:G,4,0)</f>
        <v>PX</v>
      </c>
      <c r="P56" s="97" t="str">
        <f>VLOOKUP(A56,'SYS Allocations'!A:G,5,0)</f>
        <v>AM</v>
      </c>
      <c r="Q56" s="97" t="str">
        <f>VLOOKUP(A56,'SYS Allocations'!A:G,6,0)</f>
        <v>OPEX</v>
      </c>
      <c r="R56" s="12">
        <f>VLOOKUP(A56,'SYS Allocations'!A:G,7,0)</f>
        <v>42.23</v>
      </c>
    </row>
    <row r="57" spans="1:18" hidden="1">
      <c r="A57" s="35" t="s">
        <v>73</v>
      </c>
      <c r="B57" s="41" t="str">
        <f>VLOOKUP(A57,All!A:AM,2,0)</f>
        <v>SOUTH</v>
      </c>
      <c r="C57" s="42">
        <f>VLOOKUP(A57,All!A:AM,11,0)</f>
        <v>44491.6875</v>
      </c>
      <c r="D57" s="5"/>
      <c r="E57" s="17">
        <f>VLOOKUP(A57,All!A:AM,30,0)</f>
        <v>57.571157316889753</v>
      </c>
      <c r="F57" s="17">
        <f>VLOOKUP(A57,All!A:AM,28,0)</f>
        <v>29.398320000000002</v>
      </c>
      <c r="G57" s="17">
        <f>VLOOKUP(A57,All!A:AM,31,0)</f>
        <v>36.616504399925105</v>
      </c>
      <c r="H57" s="17">
        <f>VLOOKUP(A57,All!A:AM,29,0)</f>
        <v>12.516400000000001</v>
      </c>
      <c r="I57" s="6">
        <f>VLOOKUP(A57,All!A:AM,33,0)</f>
        <v>52.863930659983296</v>
      </c>
      <c r="J57" s="6">
        <f>VLOOKUP(A57,All!A:AM,32,0)</f>
        <v>24.2988</v>
      </c>
      <c r="K57" s="20">
        <f>VLOOKUP(A57,All!A:AM,39,0)</f>
        <v>63.889999999999993</v>
      </c>
      <c r="L57" s="20">
        <f>VLOOKUP(A57,All!A:AM,38,0)</f>
        <v>38.333999999999996</v>
      </c>
      <c r="M57" s="97">
        <f>VLOOKUP(A57,'SYS Allocations'!A:G,2,0)</f>
        <v>0</v>
      </c>
      <c r="N57" s="97" t="str">
        <f>VLOOKUP(A57,'SYS Allocations'!A:G,3,0)</f>
        <v>RA</v>
      </c>
      <c r="O57" s="97">
        <f>VLOOKUP(A57,'SYS Allocations'!A:G,4,0)</f>
        <v>0</v>
      </c>
      <c r="P57" s="97">
        <f>VLOOKUP(A57,'SYS Allocations'!A:G,5,0)</f>
        <v>0</v>
      </c>
      <c r="Q57" s="97">
        <f>VLOOKUP(A57,'SYS Allocations'!A:G,6,0)</f>
        <v>0</v>
      </c>
      <c r="R57" s="12">
        <f>VLOOKUP(A57,'SYS Allocations'!A:G,7,0)</f>
        <v>2.7</v>
      </c>
    </row>
    <row r="58" spans="1:18" hidden="1">
      <c r="A58" s="35" t="s">
        <v>74</v>
      </c>
      <c r="B58" s="41" t="str">
        <f>VLOOKUP(A58,All!A:AM,2,0)</f>
        <v>MIDLANDS</v>
      </c>
      <c r="C58" s="42">
        <f>VLOOKUP(A58,All!A:AM,11,0)</f>
        <v>45264</v>
      </c>
      <c r="D58" s="5"/>
      <c r="E58" s="17">
        <f>VLOOKUP(A58,All!A:AM,30,0)</f>
        <v>39.378415300546443</v>
      </c>
      <c r="F58" s="17">
        <f>VLOOKUP(A58,All!A:AM,28,0)</f>
        <v>2.5135399999999999</v>
      </c>
      <c r="G58" s="17">
        <f>VLOOKUP(A58,All!A:AM,31,0)</f>
        <v>13.834951456310678</v>
      </c>
      <c r="H58" s="17">
        <f>VLOOKUP(A58,All!A:AM,29,0)</f>
        <v>0.62129999999999996</v>
      </c>
      <c r="I58" s="6">
        <f>VLOOKUP(A58,All!A:AM,33,0)</f>
        <v>50.45809775483454</v>
      </c>
      <c r="J58" s="6">
        <f>VLOOKUP(A58,All!A:AM,32,0)</f>
        <v>3.94106000000001</v>
      </c>
      <c r="K58" s="20">
        <f>VLOOKUP(A58,All!A:AM,39,0)</f>
        <v>45.691228070175441</v>
      </c>
      <c r="L58" s="20">
        <f>VLOOKUP(A58,All!A:AM,38,0)</f>
        <v>3.2555000000000001</v>
      </c>
      <c r="M58" s="97">
        <f>VLOOKUP(A58,'SYS Allocations'!A:G,2,0)</f>
        <v>0</v>
      </c>
      <c r="N58" s="97">
        <f>VLOOKUP(A58,'SYS Allocations'!A:G,3,0)</f>
        <v>0</v>
      </c>
      <c r="O58" s="97">
        <f>VLOOKUP(A58,'SYS Allocations'!A:G,4,0)</f>
        <v>0</v>
      </c>
      <c r="P58" s="97">
        <f>VLOOKUP(A58,'SYS Allocations'!A:G,5,0)</f>
        <v>0</v>
      </c>
      <c r="Q58" s="97">
        <f>VLOOKUP(A58,'SYS Allocations'!A:G,6,0)</f>
        <v>0</v>
      </c>
      <c r="R58" s="12">
        <f>VLOOKUP(A58,'SYS Allocations'!A:G,7,0)</f>
        <v>0</v>
      </c>
    </row>
    <row r="59" spans="1:18" hidden="1">
      <c r="A59" s="35" t="s">
        <v>75</v>
      </c>
      <c r="B59" s="41" t="str">
        <f>VLOOKUP(A59,All!A:AM,2,0)</f>
        <v>SCOTLAND</v>
      </c>
      <c r="C59" s="42">
        <f>VLOOKUP(A59,All!A:AM,11,0)</f>
        <v>45264</v>
      </c>
      <c r="D59" s="5"/>
      <c r="E59" s="17">
        <f>VLOOKUP(A59,All!A:AM,30,0)</f>
        <v>69.370860927152322</v>
      </c>
      <c r="F59" s="17">
        <f>VLOOKUP(A59,All!A:AM,28,0)</f>
        <v>18.2684</v>
      </c>
      <c r="G59" s="17">
        <f>VLOOKUP(A59,All!A:AM,31,0)</f>
        <v>47.887323943661968</v>
      </c>
      <c r="H59" s="17">
        <f>VLOOKUP(A59,All!A:AM,29,0)</f>
        <v>7.4119999999999999</v>
      </c>
      <c r="I59" s="6">
        <f>VLOOKUP(A59,All!A:AM,33,0)</f>
        <v>71.319053308300624</v>
      </c>
      <c r="J59" s="6">
        <f>VLOOKUP(A59,All!A:AM,32,0)</f>
        <v>20.057200000000002</v>
      </c>
      <c r="K59" s="20">
        <f>VLOOKUP(A59,All!A:AM,39,0)</f>
        <v>91.037777777777777</v>
      </c>
      <c r="L59" s="20">
        <f>VLOOKUP(A59,All!A:AM,38,0)</f>
        <v>81.933999999999997</v>
      </c>
      <c r="M59" s="97">
        <f>VLOOKUP(A59,'SYS Allocations'!A:G,2,0)</f>
        <v>0</v>
      </c>
      <c r="N59" s="97">
        <f>VLOOKUP(A59,'SYS Allocations'!A:G,3,0)</f>
        <v>0</v>
      </c>
      <c r="O59" s="97">
        <f>VLOOKUP(A59,'SYS Allocations'!A:G,4,0)</f>
        <v>0</v>
      </c>
      <c r="P59" s="97">
        <f>VLOOKUP(A59,'SYS Allocations'!A:G,5,0)</f>
        <v>0</v>
      </c>
      <c r="Q59" s="97">
        <f>VLOOKUP(A59,'SYS Allocations'!A:G,6,0)</f>
        <v>0</v>
      </c>
      <c r="R59" s="12">
        <f>VLOOKUP(A59,'SYS Allocations'!A:G,7,0)</f>
        <v>0</v>
      </c>
    </row>
    <row r="60" spans="1:18" hidden="1">
      <c r="A60" s="35" t="s">
        <v>76</v>
      </c>
      <c r="B60" s="41" t="str">
        <f>VLOOKUP(A60,All!A:AM,2,0)</f>
        <v>NORTHERN IRELAND</v>
      </c>
      <c r="C60" s="42">
        <f>VLOOKUP(A60,All!A:AM,11,0)</f>
        <v>44873</v>
      </c>
      <c r="D60" s="5"/>
      <c r="E60" s="17">
        <f>VLOOKUP(A60,All!A:AM,30,0)</f>
        <v>91.666666666666671</v>
      </c>
      <c r="F60" s="17">
        <f>VLOOKUP(A60,All!A:AM,28,0)</f>
        <v>2.9975000000000001</v>
      </c>
      <c r="G60" s="17">
        <f>VLOOKUP(A60,All!A:AM,31,0)</f>
        <v>85.714285714285722</v>
      </c>
      <c r="H60" s="17">
        <f>VLOOKUP(A60,All!A:AM,29,0)</f>
        <v>1.635</v>
      </c>
      <c r="I60" s="6">
        <f>VLOOKUP(A60,All!A:AM,33,0)</f>
        <v>92.400156180276667</v>
      </c>
      <c r="J60" s="6">
        <f>VLOOKUP(A60,All!A:AM,32,0)</f>
        <v>3.3130999999999999</v>
      </c>
      <c r="K60" s="20">
        <f>VLOOKUP(A60,All!A:AM,39,0)</f>
        <v>97.577777777777769</v>
      </c>
      <c r="L60" s="20">
        <f>VLOOKUP(A60,All!A:AM,38,0)</f>
        <v>10.977499999999999</v>
      </c>
      <c r="M60" s="97">
        <f>VLOOKUP(A60,'SYS Allocations'!A:G,2,0)</f>
        <v>0</v>
      </c>
      <c r="N60" s="97">
        <f>VLOOKUP(A60,'SYS Allocations'!A:G,3,0)</f>
        <v>0</v>
      </c>
      <c r="O60" s="97">
        <f>VLOOKUP(A60,'SYS Allocations'!A:G,4,0)</f>
        <v>0</v>
      </c>
      <c r="P60" s="97">
        <f>VLOOKUP(A60,'SYS Allocations'!A:G,5,0)</f>
        <v>0</v>
      </c>
      <c r="Q60" s="97">
        <f>VLOOKUP(A60,'SYS Allocations'!A:G,6,0)</f>
        <v>0</v>
      </c>
      <c r="R60" s="12">
        <f>VLOOKUP(A60,'SYS Allocations'!A:G,7,0)</f>
        <v>0</v>
      </c>
    </row>
    <row r="61" spans="1:18" hidden="1">
      <c r="A61" s="35" t="s">
        <v>77</v>
      </c>
      <c r="B61" s="41" t="str">
        <f>VLOOKUP(A61,All!A:AM,2,0)</f>
        <v>ANGLIA</v>
      </c>
      <c r="C61" s="42">
        <f>VLOOKUP(A61,All!A:AM,11,0)</f>
        <v>44686.541666666701</v>
      </c>
      <c r="D61" s="5"/>
      <c r="E61" s="17">
        <f>VLOOKUP(A61,All!A:AM,30,0)</f>
        <v>47.217125382262999</v>
      </c>
      <c r="F61" s="17">
        <f>VLOOKUP(A61,All!A:AM,28,0)</f>
        <v>7.7200000000000006</v>
      </c>
      <c r="G61" s="17">
        <f>VLOOKUP(A61,All!A:AM,31,0)</f>
        <v>19.415458598874803</v>
      </c>
      <c r="H61" s="17">
        <f>VLOOKUP(A61,All!A:AM,29,0)</f>
        <v>2.07925</v>
      </c>
      <c r="I61" s="6">
        <f>VLOOKUP(A61,All!A:AM,33,0)</f>
        <v>43.085892159966171</v>
      </c>
      <c r="J61" s="6">
        <f>VLOOKUP(A61,All!A:AM,32,0)</f>
        <v>6.5331999999999901</v>
      </c>
      <c r="K61" s="20">
        <f>VLOOKUP(A61,All!A:AM,39,0)</f>
        <v>61.644444444444446</v>
      </c>
      <c r="L61" s="20">
        <f>VLOOKUP(A61,All!A:AM,38,0)</f>
        <v>13.870000000000001</v>
      </c>
      <c r="M61" s="97">
        <f>VLOOKUP(A61,'SYS Allocations'!A:G,2,0)</f>
        <v>0</v>
      </c>
      <c r="N61" s="97">
        <f>VLOOKUP(A61,'SYS Allocations'!A:G,3,0)</f>
        <v>0</v>
      </c>
      <c r="O61" s="97">
        <f>VLOOKUP(A61,'SYS Allocations'!A:G,4,0)</f>
        <v>0</v>
      </c>
      <c r="P61" s="97">
        <f>VLOOKUP(A61,'SYS Allocations'!A:G,5,0)</f>
        <v>0</v>
      </c>
      <c r="Q61" s="97">
        <f>VLOOKUP(A61,'SYS Allocations'!A:G,6,0)</f>
        <v>0</v>
      </c>
      <c r="R61" s="12">
        <f>VLOOKUP(A61,'SYS Allocations'!A:G,7,0)</f>
        <v>1</v>
      </c>
    </row>
    <row r="62" spans="1:18" hidden="1">
      <c r="A62" s="35" t="s">
        <v>78</v>
      </c>
      <c r="B62" s="41" t="str">
        <f>VLOOKUP(A62,All!A:AM,2,0)</f>
        <v>ANGLIA</v>
      </c>
      <c r="C62" s="42">
        <f>VLOOKUP(A62,All!A:AM,11,0)</f>
        <v>44596.541666666701</v>
      </c>
      <c r="D62" s="5"/>
      <c r="E62" s="17">
        <f>VLOOKUP(A62,All!A:AM,30,0)</f>
        <v>70.543032786885234</v>
      </c>
      <c r="F62" s="17">
        <f>VLOOKUP(A62,All!A:AM,28,0)</f>
        <v>9.0055800000000001</v>
      </c>
      <c r="G62" s="17">
        <f>VLOOKUP(A62,All!A:AM,31,0)</f>
        <v>60.299194476409667</v>
      </c>
      <c r="H62" s="17">
        <f>VLOOKUP(A62,All!A:AM,29,0)</f>
        <v>5.7115999999999998</v>
      </c>
      <c r="I62" s="6">
        <f>VLOOKUP(A62,All!A:AM,33,0)</f>
        <v>62.799738841405301</v>
      </c>
      <c r="J62" s="6">
        <f>VLOOKUP(A62,All!A:AM,32,0)</f>
        <v>6.3482999999999796</v>
      </c>
      <c r="K62" s="20">
        <f>VLOOKUP(A62,All!A:AM,39,0)</f>
        <v>66.573333333333323</v>
      </c>
      <c r="L62" s="20">
        <f>VLOOKUP(A62,All!A:AM,38,0)</f>
        <v>7.4894999999999996</v>
      </c>
      <c r="M62" s="97">
        <f>VLOOKUP(A62,'SYS Allocations'!A:G,2,0)</f>
        <v>0</v>
      </c>
      <c r="N62" s="97">
        <f>VLOOKUP(A62,'SYS Allocations'!A:G,3,0)</f>
        <v>0</v>
      </c>
      <c r="O62" s="97">
        <f>VLOOKUP(A62,'SYS Allocations'!A:G,4,0)</f>
        <v>0</v>
      </c>
      <c r="P62" s="97">
        <f>VLOOKUP(A62,'SYS Allocations'!A:G,5,0)</f>
        <v>0</v>
      </c>
      <c r="Q62" s="97">
        <f>VLOOKUP(A62,'SYS Allocations'!A:G,6,0)</f>
        <v>0</v>
      </c>
      <c r="R62" s="12">
        <f>VLOOKUP(A62,'SYS Allocations'!A:G,7,0)</f>
        <v>0</v>
      </c>
    </row>
    <row r="63" spans="1:18" hidden="1">
      <c r="A63" s="35" t="s">
        <v>79</v>
      </c>
      <c r="B63" s="41" t="str">
        <f>VLOOKUP(A63,All!A:AM,2,0)</f>
        <v>SOUTH EAST</v>
      </c>
      <c r="C63" s="42">
        <f>VLOOKUP(A63,All!A:AM,11,0)</f>
        <v>44448.708333333299</v>
      </c>
      <c r="D63" s="5"/>
      <c r="E63" s="17">
        <f>VLOOKUP(A63,All!A:AM,30,0)</f>
        <v>63.322447342600746</v>
      </c>
      <c r="F63" s="17">
        <f>VLOOKUP(A63,All!A:AM,28,0)</f>
        <v>14.14664</v>
      </c>
      <c r="G63" s="17">
        <f>VLOOKUP(A63,All!A:AM,31,0)</f>
        <v>41.589501222528746</v>
      </c>
      <c r="H63" s="17">
        <f>VLOOKUP(A63,All!A:AM,29,0)</f>
        <v>5.8342999999999998</v>
      </c>
      <c r="I63" s="6">
        <f>VLOOKUP(A63,All!A:AM,33,0)</f>
        <v>62.440410707737442</v>
      </c>
      <c r="J63" s="6">
        <f>VLOOKUP(A63,All!A:AM,32,0)</f>
        <v>13.622</v>
      </c>
      <c r="K63" s="20">
        <f>VLOOKUP(A63,All!A:AM,39,0)</f>
        <v>51.442962962962966</v>
      </c>
      <c r="L63" s="20">
        <f>VLOOKUP(A63,All!A:AM,38,0)</f>
        <v>8.6810000000000009</v>
      </c>
      <c r="M63" s="97">
        <f>VLOOKUP(A63,'SYS Allocations'!A:G,2,0)</f>
        <v>0</v>
      </c>
      <c r="N63" s="97">
        <f>VLOOKUP(A63,'SYS Allocations'!A:G,3,0)</f>
        <v>0</v>
      </c>
      <c r="O63" s="97">
        <f>VLOOKUP(A63,'SYS Allocations'!A:G,4,0)</f>
        <v>0</v>
      </c>
      <c r="P63" s="97">
        <f>VLOOKUP(A63,'SYS Allocations'!A:G,5,0)</f>
        <v>0</v>
      </c>
      <c r="Q63" s="97">
        <f>VLOOKUP(A63,'SYS Allocations'!A:G,6,0)</f>
        <v>0</v>
      </c>
      <c r="R63" s="12">
        <f>VLOOKUP(A63,'SYS Allocations'!A:G,7,0)</f>
        <v>1</v>
      </c>
    </row>
    <row r="64" spans="1:18" hidden="1">
      <c r="A64" s="35" t="s">
        <v>80</v>
      </c>
      <c r="B64" s="41" t="str">
        <f>VLOOKUP(A64,All!A:AM,2,0)</f>
        <v>WALES</v>
      </c>
      <c r="C64" s="42">
        <f>VLOOKUP(A64,All!A:AM,11,0)</f>
        <v>45264</v>
      </c>
      <c r="D64" s="5"/>
      <c r="E64" s="17">
        <f>VLOOKUP(A64,All!A:AM,30,0)</f>
        <v>50.997547346622397</v>
      </c>
      <c r="F64" s="17">
        <f>VLOOKUP(A64,All!A:AM,28,0)</f>
        <v>21.158760000000001</v>
      </c>
      <c r="G64" s="17">
        <f>VLOOKUP(A64,All!A:AM,31,0)</f>
        <v>32.370219079109312</v>
      </c>
      <c r="H64" s="17">
        <f>VLOOKUP(A64,All!A:AM,29,0)</f>
        <v>9.7311999999999994</v>
      </c>
      <c r="I64" s="6">
        <f>VLOOKUP(A64,All!A:AM,33,0)</f>
        <v>42.815917375455648</v>
      </c>
      <c r="J64" s="6">
        <f>VLOOKUP(A64,All!A:AM,32,0)</f>
        <v>15.2226</v>
      </c>
      <c r="K64" s="20">
        <f>VLOOKUP(A64,All!A:AM,39,0)</f>
        <v>9.6400000000000023</v>
      </c>
      <c r="L64" s="20">
        <f>VLOOKUP(A64,All!A:AM,38,0)</f>
        <v>2.1690000000000005</v>
      </c>
      <c r="M64" s="97">
        <f>VLOOKUP(A64,'SYS Allocations'!A:G,2,0)</f>
        <v>0</v>
      </c>
      <c r="N64" s="97">
        <f>VLOOKUP(A64,'SYS Allocations'!A:G,3,0)</f>
        <v>0</v>
      </c>
      <c r="O64" s="97">
        <f>VLOOKUP(A64,'SYS Allocations'!A:G,4,0)</f>
        <v>0</v>
      </c>
      <c r="P64" s="97">
        <f>VLOOKUP(A64,'SYS Allocations'!A:G,5,0)</f>
        <v>0</v>
      </c>
      <c r="Q64" s="97">
        <f>VLOOKUP(A64,'SYS Allocations'!A:G,6,0)</f>
        <v>0</v>
      </c>
      <c r="R64" s="12">
        <f>VLOOKUP(A64,'SYS Allocations'!A:G,7,0)</f>
        <v>3</v>
      </c>
    </row>
    <row r="65" spans="1:18" hidden="1">
      <c r="A65" s="35" t="s">
        <v>81</v>
      </c>
      <c r="B65" s="41" t="str">
        <f>VLOOKUP(A65,All!A:AM,2,0)</f>
        <v>MIDLANDS</v>
      </c>
      <c r="C65" s="42">
        <f>VLOOKUP(A65,All!A:AM,11,0)</f>
        <v>44501.458333333299</v>
      </c>
      <c r="D65" s="5"/>
      <c r="E65" s="17">
        <f>VLOOKUP(A65,All!A:AM,30,0)</f>
        <v>66.700819672131132</v>
      </c>
      <c r="F65" s="17">
        <f>VLOOKUP(A65,All!A:AM,28,0)</f>
        <v>4.2575399999999997</v>
      </c>
      <c r="G65" s="17">
        <f>VLOOKUP(A65,All!A:AM,31,0)</f>
        <v>52.669902912621353</v>
      </c>
      <c r="H65" s="17">
        <f>VLOOKUP(A65,All!A:AM,29,0)</f>
        <v>2.3653</v>
      </c>
      <c r="I65" s="6">
        <f>VLOOKUP(A65,All!A:AM,33,0)</f>
        <v>72.786842428711921</v>
      </c>
      <c r="J65" s="6">
        <f>VLOOKUP(A65,All!A:AM,32,0)</f>
        <v>5.6850600000000098</v>
      </c>
      <c r="K65" s="20">
        <f>VLOOKUP(A65,All!A:AM,39,0)</f>
        <v>64.575000000000003</v>
      </c>
      <c r="L65" s="20">
        <f>VLOOKUP(A65,All!A:AM,38,0)</f>
        <v>3.8744999999999998</v>
      </c>
      <c r="M65" s="97">
        <f>VLOOKUP(A65,'SYS Allocations'!A:G,2,0)</f>
        <v>0</v>
      </c>
      <c r="N65" s="97">
        <f>VLOOKUP(A65,'SYS Allocations'!A:G,3,0)</f>
        <v>0</v>
      </c>
      <c r="O65" s="97">
        <f>VLOOKUP(A65,'SYS Allocations'!A:G,4,0)</f>
        <v>0</v>
      </c>
      <c r="P65" s="97">
        <f>VLOOKUP(A65,'SYS Allocations'!A:G,5,0)</f>
        <v>0</v>
      </c>
      <c r="Q65" s="97">
        <f>VLOOKUP(A65,'SYS Allocations'!A:G,6,0)</f>
        <v>0</v>
      </c>
      <c r="R65" s="12">
        <f>VLOOKUP(A65,'SYS Allocations'!A:G,7,0)</f>
        <v>0</v>
      </c>
    </row>
    <row r="66" spans="1:18" hidden="1">
      <c r="A66" s="35" t="s">
        <v>82</v>
      </c>
      <c r="B66" s="41" t="str">
        <f>VLOOKUP(A66,All!A:AM,2,0)</f>
        <v>ANGLIA</v>
      </c>
      <c r="C66" s="42">
        <f>VLOOKUP(A66,All!A:AM,11,0)</f>
        <v>45058</v>
      </c>
      <c r="D66" s="5"/>
      <c r="E66" s="17">
        <f>VLOOKUP(A66,All!A:AM,30,0)</f>
        <v>43.642318811517193</v>
      </c>
      <c r="F66" s="17">
        <f>VLOOKUP(A66,All!A:AM,28,0)</f>
        <v>10.446400000000001</v>
      </c>
      <c r="G66" s="17">
        <f>VLOOKUP(A66,All!A:AM,31,0)</f>
        <v>-4850.45871559633</v>
      </c>
      <c r="H66" s="17">
        <f>VLOOKUP(A66,All!A:AM,29,0)</f>
        <v>-13.217499999999999</v>
      </c>
      <c r="I66" s="6">
        <f>VLOOKUP(A66,All!A:AM,33,0)</f>
        <v>70.651455026455039</v>
      </c>
      <c r="J66" s="6">
        <f>VLOOKUP(A66,All!A:AM,32,0)</f>
        <v>32.474800000000002</v>
      </c>
      <c r="K66" s="20">
        <f>VLOOKUP(A66,All!A:AM,39,0)</f>
        <v>18.242424242424239</v>
      </c>
      <c r="L66" s="20">
        <f>VLOOKUP(A66,All!A:AM,38,0)</f>
        <v>3.01</v>
      </c>
      <c r="M66" s="97">
        <f>VLOOKUP(A66,'SYS Allocations'!A:G,2,0)</f>
        <v>0</v>
      </c>
      <c r="N66" s="97">
        <f>VLOOKUP(A66,'SYS Allocations'!A:G,3,0)</f>
        <v>0</v>
      </c>
      <c r="O66" s="97">
        <f>VLOOKUP(A66,'SYS Allocations'!A:G,4,0)</f>
        <v>0</v>
      </c>
      <c r="P66" s="97">
        <f>VLOOKUP(A66,'SYS Allocations'!A:G,5,0)</f>
        <v>0</v>
      </c>
      <c r="Q66" s="97">
        <f>VLOOKUP(A66,'SYS Allocations'!A:G,6,0)</f>
        <v>0</v>
      </c>
      <c r="R66" s="12">
        <f>VLOOKUP(A66,'SYS Allocations'!A:G,7,0)</f>
        <v>1.5</v>
      </c>
    </row>
    <row r="67" spans="1:18" hidden="1">
      <c r="A67" s="35" t="s">
        <v>83</v>
      </c>
      <c r="B67" s="41" t="str">
        <f>VLOOKUP(A67,All!A:AM,2,0)</f>
        <v>NORTH EAST</v>
      </c>
      <c r="C67" s="42">
        <f>VLOOKUP(A67,All!A:AM,11,0)</f>
        <v>45264</v>
      </c>
      <c r="D67" s="5"/>
      <c r="E67" s="17">
        <f>VLOOKUP(A67,All!A:AM,30,0)</f>
        <v>75.409836065573771</v>
      </c>
      <c r="F67" s="17">
        <f>VLOOKUP(A67,All!A:AM,28,0)</f>
        <v>12.0336</v>
      </c>
      <c r="G67" s="17">
        <f>VLOOKUP(A67,All!A:AM,31,0)</f>
        <v>72.72727272727272</v>
      </c>
      <c r="H67" s="17">
        <f>VLOOKUP(A67,All!A:AM,29,0)</f>
        <v>10.464</v>
      </c>
      <c r="I67" s="6">
        <f>VLOOKUP(A67,All!A:AM,33,0)</f>
        <v>55.033003300330186</v>
      </c>
      <c r="J67" s="6">
        <f>VLOOKUP(A67,All!A:AM,32,0)</f>
        <v>4.8024000000000298</v>
      </c>
      <c r="K67" s="20">
        <f>VLOOKUP(A67,All!A:AM,39,0)</f>
        <v>34.6</v>
      </c>
      <c r="L67" s="20">
        <f>VLOOKUP(A67,All!A:AM,38,0)</f>
        <v>2.0760000000000001</v>
      </c>
      <c r="M67" s="97">
        <f>VLOOKUP(A67,'SYS Allocations'!A:G,2,0)</f>
        <v>0</v>
      </c>
      <c r="N67" s="97">
        <f>VLOOKUP(A67,'SYS Allocations'!A:G,3,0)</f>
        <v>0</v>
      </c>
      <c r="O67" s="97">
        <f>VLOOKUP(A67,'SYS Allocations'!A:G,4,0)</f>
        <v>0</v>
      </c>
      <c r="P67" s="97">
        <f>VLOOKUP(A67,'SYS Allocations'!A:G,5,0)</f>
        <v>0</v>
      </c>
      <c r="Q67" s="97">
        <f>VLOOKUP(A67,'SYS Allocations'!A:G,6,0)</f>
        <v>0</v>
      </c>
      <c r="R67" s="12">
        <f>VLOOKUP(A67,'SYS Allocations'!A:G,7,0)</f>
        <v>0</v>
      </c>
    </row>
    <row r="68" spans="1:18" hidden="1">
      <c r="A68" s="35" t="s">
        <v>84</v>
      </c>
      <c r="B68" s="41" t="str">
        <f>VLOOKUP(A68,All!A:AM,2,0)</f>
        <v>SOUTH WEST</v>
      </c>
      <c r="C68" s="42">
        <f>VLOOKUP(A68,All!A:AM,11,0)</f>
        <v>45264</v>
      </c>
      <c r="D68" s="5"/>
      <c r="E68" s="17">
        <f>VLOOKUP(A68,All!A:AM,30,0)</f>
        <v>77.800546448087431</v>
      </c>
      <c r="F68" s="17">
        <f>VLOOKUP(A68,All!A:AM,28,0)</f>
        <v>7.4490600000000002</v>
      </c>
      <c r="G68" s="17">
        <f>VLOOKUP(A68,All!A:AM,31,0)</f>
        <v>61.232604373757461</v>
      </c>
      <c r="H68" s="17">
        <f>VLOOKUP(A68,All!A:AM,29,0)</f>
        <v>3.3572000000000002</v>
      </c>
      <c r="I68" s="6">
        <f>VLOOKUP(A68,All!A:AM,33,0)</f>
        <v>78.97376543209856</v>
      </c>
      <c r="J68" s="6">
        <f>VLOOKUP(A68,All!A:AM,32,0)</f>
        <v>7.9832999999999803</v>
      </c>
      <c r="K68" s="20">
        <f>VLOOKUP(A68,All!A:AM,39,0)</f>
        <v>81.106666666666655</v>
      </c>
      <c r="L68" s="20">
        <f>VLOOKUP(A68,All!A:AM,38,0)</f>
        <v>9.1244999999999994</v>
      </c>
      <c r="M68" s="97">
        <f>VLOOKUP(A68,'SYS Allocations'!A:G,2,0)</f>
        <v>0</v>
      </c>
      <c r="N68" s="97">
        <f>VLOOKUP(A68,'SYS Allocations'!A:G,3,0)</f>
        <v>0</v>
      </c>
      <c r="O68" s="97">
        <f>VLOOKUP(A68,'SYS Allocations'!A:G,4,0)</f>
        <v>0</v>
      </c>
      <c r="P68" s="97">
        <f>VLOOKUP(A68,'SYS Allocations'!A:G,5,0)</f>
        <v>0</v>
      </c>
      <c r="Q68" s="97">
        <f>VLOOKUP(A68,'SYS Allocations'!A:G,6,0)</f>
        <v>0</v>
      </c>
      <c r="R68" s="12">
        <f>VLOOKUP(A68,'SYS Allocations'!A:G,7,0)</f>
        <v>0</v>
      </c>
    </row>
    <row r="69" spans="1:18" hidden="1">
      <c r="A69" s="39" t="s">
        <v>85</v>
      </c>
      <c r="B69" s="41" t="str">
        <f>VLOOKUP(A69,All!A:AM,2,0)</f>
        <v>LONDON</v>
      </c>
      <c r="C69" s="42">
        <f>VLOOKUP(A69,All!A:AM,11,0)</f>
        <v>44595</v>
      </c>
      <c r="D69" s="5"/>
      <c r="E69" s="17">
        <f>VLOOKUP(A69,All!A:AM,30,0)</f>
        <v>34.958658964775175</v>
      </c>
      <c r="F69" s="17">
        <f>VLOOKUP(A69,All!A:AM,28,0)</f>
        <v>30.865000000000002</v>
      </c>
      <c r="G69" s="17">
        <f>VLOOKUP(A69,All!A:AM,31,0)</f>
        <v>26.058264928375987</v>
      </c>
      <c r="H69" s="17">
        <f>VLOOKUP(A69,All!A:AM,29,0)</f>
        <v>20.237499999999997</v>
      </c>
      <c r="I69" s="6">
        <f>VLOOKUP(A69,All!A:AM,33,0)</f>
        <v>-7.677797278850373</v>
      </c>
      <c r="J69" s="6">
        <f>VLOOKUP(A69,All!A:AM,32,0)</f>
        <v>-4.0946000000000193</v>
      </c>
      <c r="K69" s="330">
        <f>VLOOKUP(A69,All!A:AM,39,0)</f>
        <v>11.371111111111102</v>
      </c>
      <c r="L69" s="330">
        <f>VLOOKUP(A69,All!A:AM,38,0)</f>
        <v>20.467999999999982</v>
      </c>
      <c r="M69" s="97" t="str">
        <f>VLOOKUP(A69,'SYS Allocations'!A:G,2,0)</f>
        <v>P-Core</v>
      </c>
      <c r="N69" s="97">
        <f>VLOOKUP(A69,'SYS Allocations'!A:G,3,0)</f>
        <v>0</v>
      </c>
      <c r="O69" s="97">
        <f>VLOOKUP(A69,'SYS Allocations'!A:G,4,0)</f>
        <v>0</v>
      </c>
      <c r="P69" s="97">
        <f>VLOOKUP(A69,'SYS Allocations'!A:G,5,0)</f>
        <v>0</v>
      </c>
      <c r="Q69" s="97">
        <f>VLOOKUP(A69,'SYS Allocations'!A:G,6,0)</f>
        <v>0</v>
      </c>
      <c r="R69" s="12">
        <f>VLOOKUP(A69,'SYS Allocations'!A:G,7,0)</f>
        <v>11.1</v>
      </c>
    </row>
    <row r="70" spans="1:18" hidden="1">
      <c r="A70" s="39" t="s">
        <v>86</v>
      </c>
      <c r="B70" s="41" t="str">
        <f>VLOOKUP(A70,All!A:AM,2,0)</f>
        <v>LONDON</v>
      </c>
      <c r="C70" s="42">
        <f>VLOOKUP(A70,All!A:AM,11,0)</f>
        <v>44484.625</v>
      </c>
      <c r="D70" s="19"/>
      <c r="E70" s="17">
        <f>VLOOKUP(A70,All!A:AM,30,0)</f>
        <v>19.660251467417815</v>
      </c>
      <c r="F70" s="17">
        <f>VLOOKUP(A70,All!A:AM,28,0)</f>
        <v>24.986999999999998</v>
      </c>
      <c r="G70" s="17">
        <f>VLOOKUP(A70,All!A:AM,31,0)</f>
        <v>-9.2433198705432371</v>
      </c>
      <c r="H70" s="17">
        <f>VLOOKUP(A70,All!A:AM,29,0)</f>
        <v>-8.6395</v>
      </c>
      <c r="I70" s="6">
        <f>VLOOKUP(A70,All!A:AM,33,0)</f>
        <v>4.2694223182275772</v>
      </c>
      <c r="J70" s="6">
        <f>VLOOKUP(A70,All!A:AM,32,0)</f>
        <v>4.5538000000000798</v>
      </c>
      <c r="K70" s="331"/>
      <c r="L70" s="331"/>
      <c r="M70" s="97" t="str">
        <f>VLOOKUP(A70,'SYS Allocations'!A:G,2,0)</f>
        <v>P-Core</v>
      </c>
      <c r="N70" s="97">
        <f>VLOOKUP(A70,'SYS Allocations'!A:G,3,0)</f>
        <v>0</v>
      </c>
      <c r="O70" s="97">
        <f>VLOOKUP(A70,'SYS Allocations'!A:G,4,0)</f>
        <v>0</v>
      </c>
      <c r="P70" s="97">
        <f>VLOOKUP(A70,'SYS Allocations'!A:G,5,0)</f>
        <v>0</v>
      </c>
      <c r="Q70" s="97">
        <f>VLOOKUP(A70,'SYS Allocations'!A:G,6,0)</f>
        <v>0</v>
      </c>
      <c r="R70" s="12">
        <f>VLOOKUP(A70,'SYS Allocations'!A:G,7,0)</f>
        <v>1.5</v>
      </c>
    </row>
    <row r="71" spans="1:18" hidden="1">
      <c r="A71" s="37" t="s">
        <v>87</v>
      </c>
      <c r="B71" s="41" t="str">
        <f>VLOOKUP(A71,All!A:AM,2,0)</f>
        <v>LONDON</v>
      </c>
      <c r="C71" s="42">
        <f>VLOOKUP(A71,All!A:AM,11,0)</f>
        <v>44804</v>
      </c>
      <c r="D71" s="19"/>
      <c r="E71" s="17">
        <f>VLOOKUP(A71,All!A:AM,30,0)</f>
        <v>58.824272479966659</v>
      </c>
      <c r="F71" s="17">
        <f>VLOOKUP(A71,All!A:AM,28,0)</f>
        <v>35.670380000000002</v>
      </c>
      <c r="G71" s="17">
        <f>VLOOKUP(A71,All!A:AM,31,0)</f>
        <v>42.066563647079022</v>
      </c>
      <c r="H71" s="17">
        <f>VLOOKUP(A71,All!A:AM,29,0)</f>
        <v>18.130099999999999</v>
      </c>
      <c r="I71" s="6">
        <f>VLOOKUP(A71,All!A:AM,33,0)</f>
        <v>53.181487481811494</v>
      </c>
      <c r="J71" s="6">
        <f>VLOOKUP(A71,All!A:AM,32,0)</f>
        <v>28.361899999999999</v>
      </c>
      <c r="K71" s="330">
        <f>VLOOKUP(A71,All!A:AM,39,0)</f>
        <v>74.507888040712473</v>
      </c>
      <c r="L71" s="330">
        <f>VLOOKUP(A71,All!A:AM,38,0)</f>
        <v>146.40800000000002</v>
      </c>
      <c r="M71" s="97">
        <f>VLOOKUP(A71,'SYS Allocations'!A:G,2,0)</f>
        <v>0</v>
      </c>
      <c r="N71" s="97" t="str">
        <f>VLOOKUP(A71,'SYS Allocations'!A:G,3,0)</f>
        <v>RA</v>
      </c>
      <c r="O71" s="97" t="str">
        <f>VLOOKUP(A71,'SYS Allocations'!A:G,4,0)</f>
        <v>PX</v>
      </c>
      <c r="P71" s="97">
        <f>VLOOKUP(A71,'SYS Allocations'!A:G,5,0)</f>
        <v>0</v>
      </c>
      <c r="Q71" s="97" t="str">
        <f>VLOOKUP(A71,'SYS Allocations'!A:G,6,0)</f>
        <v>OPEX</v>
      </c>
      <c r="R71" s="12">
        <f>VLOOKUP(A71,'SYS Allocations'!A:G,7,0)</f>
        <v>9</v>
      </c>
    </row>
    <row r="72" spans="1:18" hidden="1">
      <c r="A72" s="37" t="s">
        <v>88</v>
      </c>
      <c r="B72" s="41" t="str">
        <f>VLOOKUP(A72,All!A:AM,2,0)</f>
        <v>LONDON</v>
      </c>
      <c r="C72" s="42">
        <f>VLOOKUP(A72,All!A:AM,11,0)</f>
        <v>44979</v>
      </c>
      <c r="D72" s="19"/>
      <c r="E72" s="17">
        <f>VLOOKUP(A72,All!A:AM,30,0)</f>
        <v>58.568660898750124</v>
      </c>
      <c r="F72" s="17">
        <f>VLOOKUP(A72,All!A:AM,28,0)</f>
        <v>35.515380000000007</v>
      </c>
      <c r="G72" s="17">
        <f>VLOOKUP(A72,All!A:AM,31,0)</f>
        <v>41.70692319472095</v>
      </c>
      <c r="H72" s="17">
        <f>VLOOKUP(A72,All!A:AM,29,0)</f>
        <v>17.975100000000001</v>
      </c>
      <c r="I72" s="6">
        <f>VLOOKUP(A72,All!A:AM,33,0)</f>
        <v>52.890846496557316</v>
      </c>
      <c r="J72" s="6">
        <f>VLOOKUP(A72,All!A:AM,32,0)</f>
        <v>28.206900000000001</v>
      </c>
      <c r="K72" s="331"/>
      <c r="L72" s="331"/>
      <c r="M72" s="97">
        <f>VLOOKUP(A72,'SYS Allocations'!A:G,2,0)</f>
        <v>0</v>
      </c>
      <c r="N72" s="97">
        <f>VLOOKUP(A72,'SYS Allocations'!A:G,3,0)</f>
        <v>0</v>
      </c>
      <c r="O72" s="97">
        <f>VLOOKUP(A72,'SYS Allocations'!A:G,4,0)</f>
        <v>0</v>
      </c>
      <c r="P72" s="97">
        <f>VLOOKUP(A72,'SYS Allocations'!A:G,5,0)</f>
        <v>0</v>
      </c>
      <c r="Q72" s="97">
        <f>VLOOKUP(A72,'SYS Allocations'!A:G,6,0)</f>
        <v>0</v>
      </c>
      <c r="R72" s="12">
        <f>VLOOKUP(A72,'SYS Allocations'!A:G,7,0)</f>
        <v>9.6999999999999993</v>
      </c>
    </row>
    <row r="73" spans="1:18" hidden="1">
      <c r="A73" s="38" t="s">
        <v>89</v>
      </c>
      <c r="B73" s="41" t="str">
        <f>VLOOKUP(A73,All!A:AM,2,0)</f>
        <v>SOUTH WEST</v>
      </c>
      <c r="C73" s="42">
        <f>VLOOKUP(A73,All!A:AM,11,0)</f>
        <v>45264</v>
      </c>
      <c r="D73" s="19"/>
      <c r="E73" s="17">
        <f>VLOOKUP(A73,All!A:AM,30,0)</f>
        <v>67.734348965936206</v>
      </c>
      <c r="F73" s="17">
        <f>VLOOKUP(A73,All!A:AM,28,0)</f>
        <v>18.374920000000003</v>
      </c>
      <c r="G73" s="17">
        <f>VLOOKUP(A73,All!A:AM,31,0)</f>
        <v>61.596005598480168</v>
      </c>
      <c r="H73" s="17">
        <f>VLOOKUP(A73,All!A:AM,29,0)</f>
        <v>14.0389</v>
      </c>
      <c r="I73" s="6">
        <f>VLOOKUP(A73,All!A:AM,33,0)</f>
        <v>49.723141255399312</v>
      </c>
      <c r="J73" s="6">
        <f>VLOOKUP(A73,All!A:AM,32,0)</f>
        <v>8.6565999999999992</v>
      </c>
      <c r="K73" s="20">
        <f>VLOOKUP(A73,All!A:AM,39,0)</f>
        <v>92.219555555555559</v>
      </c>
      <c r="L73" s="20">
        <f>VLOOKUP(A73,All!A:AM,38,0)</f>
        <v>103.747</v>
      </c>
      <c r="M73" s="97">
        <f>VLOOKUP(A73,'SYS Allocations'!A:G,2,0)</f>
        <v>0</v>
      </c>
      <c r="N73" s="97">
        <f>VLOOKUP(A73,'SYS Allocations'!A:G,3,0)</f>
        <v>0</v>
      </c>
      <c r="O73" s="97">
        <f>VLOOKUP(A73,'SYS Allocations'!A:G,4,0)</f>
        <v>0</v>
      </c>
      <c r="P73" s="97" t="str">
        <f>VLOOKUP(A73,'SYS Allocations'!A:G,5,0)</f>
        <v>AM</v>
      </c>
      <c r="Q73" s="97">
        <f>VLOOKUP(A73,'SYS Allocations'!A:G,6,0)</f>
        <v>0</v>
      </c>
      <c r="R73" s="12">
        <f>VLOOKUP(A73,'SYS Allocations'!A:G,7,0)</f>
        <v>6.9</v>
      </c>
    </row>
    <row r="74" spans="1:18" hidden="1">
      <c r="A74" s="38" t="s">
        <v>90</v>
      </c>
      <c r="B74" s="41" t="str">
        <f>VLOOKUP(A74,All!A:AM,2,0)</f>
        <v>SOUTH WEST</v>
      </c>
      <c r="C74" s="42">
        <f>VLOOKUP(A74,All!A:AM,11,0)</f>
        <v>45264</v>
      </c>
      <c r="D74" s="19"/>
      <c r="E74" s="17">
        <f>VLOOKUP(A74,All!A:AM,30,0)</f>
        <v>64.486772299534948</v>
      </c>
      <c r="F74" s="17">
        <f>VLOOKUP(A74,All!A:AM,28,0)</f>
        <v>17.493919999999999</v>
      </c>
      <c r="G74" s="17">
        <f>VLOOKUP(A74,All!A:AM,31,0)</f>
        <v>57.730597273592807</v>
      </c>
      <c r="H74" s="17">
        <f>VLOOKUP(A74,All!A:AM,29,0)</f>
        <v>13.157899999999998</v>
      </c>
      <c r="I74" s="6">
        <f>VLOOKUP(A74,All!A:AM,33,0)</f>
        <v>44.662714824005143</v>
      </c>
      <c r="J74" s="6">
        <f>VLOOKUP(A74,All!A:AM,32,0)</f>
        <v>7.7755999999999998</v>
      </c>
      <c r="K74" s="20">
        <f>VLOOKUP(A74,All!A:AM,39,0)</f>
        <v>91.436444444444447</v>
      </c>
      <c r="L74" s="20">
        <f>VLOOKUP(A74,All!A:AM,38,0)</f>
        <v>102.866</v>
      </c>
      <c r="M74" s="97">
        <f>VLOOKUP(A74,'SYS Allocations'!A:G,2,0)</f>
        <v>0</v>
      </c>
      <c r="N74" s="97">
        <f>VLOOKUP(A74,'SYS Allocations'!A:G,3,0)</f>
        <v>0</v>
      </c>
      <c r="O74" s="97">
        <f>VLOOKUP(A74,'SYS Allocations'!A:G,4,0)</f>
        <v>0</v>
      </c>
      <c r="P74" s="97">
        <f>VLOOKUP(A74,'SYS Allocations'!A:G,5,0)</f>
        <v>0</v>
      </c>
      <c r="Q74" s="97">
        <f>VLOOKUP(A74,'SYS Allocations'!A:G,6,0)</f>
        <v>0</v>
      </c>
      <c r="R74" s="12">
        <f>VLOOKUP(A74,'SYS Allocations'!A:G,7,0)</f>
        <v>6.8</v>
      </c>
    </row>
    <row r="75" spans="1:18" hidden="1">
      <c r="A75" s="35" t="s">
        <v>91</v>
      </c>
      <c r="B75" s="41" t="str">
        <f>VLOOKUP(A75,All!A:AM,2,0)</f>
        <v>MIDLANDS</v>
      </c>
      <c r="C75" s="42">
        <f>VLOOKUP(A75,All!A:AM,11,0)</f>
        <v>45223</v>
      </c>
      <c r="D75" s="5"/>
      <c r="E75" s="17">
        <f>VLOOKUP(A75,All!A:AM,30,0)</f>
        <v>38.145424217150655</v>
      </c>
      <c r="F75" s="17">
        <f>VLOOKUP(A75,All!A:AM,28,0)</f>
        <v>20.124000000000002</v>
      </c>
      <c r="G75" s="17">
        <f>VLOOKUP(A75,All!A:AM,31,0)</f>
        <v>1.8438862986915314</v>
      </c>
      <c r="H75" s="17">
        <f>VLOOKUP(A75,All!A:AM,29,0)</f>
        <v>0.61299999999999955</v>
      </c>
      <c r="I75" s="6">
        <f>VLOOKUP(A75,All!A:AM,33,0)</f>
        <v>38.811634639905193</v>
      </c>
      <c r="J75" s="6">
        <f>VLOOKUP(A75,All!A:AM,32,0)</f>
        <v>20.698399999999999</v>
      </c>
      <c r="K75" s="330">
        <f>VLOOKUP(A75,All!A:AM,39,0)</f>
        <v>45.575555555555553</v>
      </c>
      <c r="L75" s="330">
        <f>VLOOKUP(A75,All!A:AM,38,0)</f>
        <v>41.018000000000001</v>
      </c>
      <c r="M75" s="97">
        <f>VLOOKUP(A75,'SYS Allocations'!A:G,2,0)</f>
        <v>0</v>
      </c>
      <c r="N75" s="97">
        <f>VLOOKUP(A75,'SYS Allocations'!A:G,3,0)</f>
        <v>0</v>
      </c>
      <c r="O75" s="97">
        <f>VLOOKUP(A75,'SYS Allocations'!A:G,4,0)</f>
        <v>0</v>
      </c>
      <c r="P75" s="97">
        <f>VLOOKUP(A75,'SYS Allocations'!A:G,5,0)</f>
        <v>0</v>
      </c>
      <c r="Q75" s="97" t="str">
        <f>VLOOKUP(A75,'SYS Allocations'!A:G,6,0)</f>
        <v>OPEX</v>
      </c>
      <c r="R75" s="12">
        <f>VLOOKUP(A75,'SYS Allocations'!A:G,7,0)</f>
        <v>16.5</v>
      </c>
    </row>
    <row r="76" spans="1:18" hidden="1">
      <c r="A76" s="35" t="s">
        <v>92</v>
      </c>
      <c r="B76" s="41" t="str">
        <f>VLOOKUP(A76,All!A:AM,2,0)</f>
        <v>MIDLANDS</v>
      </c>
      <c r="C76" s="42">
        <f>VLOOKUP(A76,All!A:AM,11,0)</f>
        <v>45223</v>
      </c>
      <c r="D76" s="5"/>
      <c r="E76" s="17">
        <f>VLOOKUP(A76,All!A:AM,30,0)</f>
        <v>69.008264462809905</v>
      </c>
      <c r="F76" s="17">
        <f>VLOOKUP(A76,All!A:AM,28,0)</f>
        <v>36.405999999999999</v>
      </c>
      <c r="G76" s="17">
        <f>VLOOKUP(A76,All!A:AM,31,0)</f>
        <v>50.819672131147541</v>
      </c>
      <c r="H76" s="17">
        <f>VLOOKUP(A76,All!A:AM,29,0)</f>
        <v>16.895</v>
      </c>
      <c r="I76" s="6">
        <f>VLOOKUP(A76,All!A:AM,33,0)</f>
        <v>69.342063813509753</v>
      </c>
      <c r="J76" s="6">
        <f>VLOOKUP(A76,All!A:AM,32,0)</f>
        <v>36.980400000000003</v>
      </c>
      <c r="K76" s="331"/>
      <c r="L76" s="331"/>
      <c r="M76" s="97"/>
      <c r="N76" s="97"/>
      <c r="O76" s="97"/>
      <c r="P76" s="97"/>
      <c r="Q76" s="97"/>
      <c r="R76" s="12">
        <f>VLOOKUP(A76,'SYS Allocations'!A:G,7,0)</f>
        <v>0</v>
      </c>
    </row>
    <row r="77" spans="1:18" hidden="1">
      <c r="A77" s="35" t="s">
        <v>93</v>
      </c>
      <c r="B77" s="41" t="str">
        <f>VLOOKUP(A77,All!A:AM,2,0)</f>
        <v>THAMES VALLEY</v>
      </c>
      <c r="C77" s="42">
        <f>VLOOKUP(A77,All!A:AM,11,0)</f>
        <v>45264</v>
      </c>
      <c r="D77" s="5"/>
      <c r="E77" s="17">
        <f>VLOOKUP(A77,All!A:AM,30,0)</f>
        <v>60</v>
      </c>
      <c r="F77" s="17">
        <f>VLOOKUP(A77,All!A:AM,28,0)</f>
        <v>6.867</v>
      </c>
      <c r="G77" s="17">
        <f>VLOOKUP(A77,All!A:AM,31,0)</f>
        <v>52.136752136752136</v>
      </c>
      <c r="H77" s="17">
        <f>VLOOKUP(A77,All!A:AM,29,0)</f>
        <v>4.9867499999999998</v>
      </c>
      <c r="I77" s="6">
        <f>VLOOKUP(A77,All!A:AM,33,0)</f>
        <v>48.929049531458993</v>
      </c>
      <c r="J77" s="6">
        <f>VLOOKUP(A77,All!A:AM,32,0)</f>
        <v>4.3859999999999699</v>
      </c>
      <c r="K77" s="20">
        <f>VLOOKUP(A77,All!A:AM,39,0)</f>
        <v>56.4</v>
      </c>
      <c r="L77" s="20">
        <f>VLOOKUP(A77,All!A:AM,38,0)</f>
        <v>5.9219999999999997</v>
      </c>
      <c r="M77" s="97">
        <f>VLOOKUP(A77,'SYS Allocations'!A:G,2,0)</f>
        <v>0</v>
      </c>
      <c r="N77" s="97">
        <f>VLOOKUP(A77,'SYS Allocations'!A:G,3,0)</f>
        <v>0</v>
      </c>
      <c r="O77" s="97">
        <f>VLOOKUP(A77,'SYS Allocations'!A:G,4,0)</f>
        <v>0</v>
      </c>
      <c r="P77" s="97">
        <f>VLOOKUP(A77,'SYS Allocations'!A:G,5,0)</f>
        <v>0</v>
      </c>
      <c r="Q77" s="97">
        <f>VLOOKUP(A77,'SYS Allocations'!A:G,6,0)</f>
        <v>0</v>
      </c>
      <c r="R77" s="12">
        <f>VLOOKUP(A77,'SYS Allocations'!A:G,7,0)</f>
        <v>0</v>
      </c>
    </row>
    <row r="78" spans="1:18" hidden="1">
      <c r="A78" s="35" t="s">
        <v>94</v>
      </c>
      <c r="B78" s="41" t="str">
        <f>VLOOKUP(A78,All!A:AM,2,0)</f>
        <v>NORTH WEST</v>
      </c>
      <c r="C78" s="42">
        <f>VLOOKUP(A78,All!A:AM,11,0)</f>
        <v>45264</v>
      </c>
      <c r="D78" s="5"/>
      <c r="E78" s="17">
        <f>VLOOKUP(A78,All!A:AM,30,0)</f>
        <v>35.665450945004253</v>
      </c>
      <c r="F78" s="17">
        <f>VLOOKUP(A78,All!A:AM,28,0)</f>
        <v>4.5530799999999996</v>
      </c>
      <c r="G78" s="17">
        <f>VLOOKUP(A78,All!A:AM,31,0)</f>
        <v>13.292722838652464</v>
      </c>
      <c r="H78" s="17">
        <f>VLOOKUP(A78,All!A:AM,29,0)</f>
        <v>1.2591000000000001</v>
      </c>
      <c r="I78" s="6">
        <f>VLOOKUP(A78,All!A:AM,33,0)</f>
        <v>18.753956948401193</v>
      </c>
      <c r="J78" s="6">
        <f>VLOOKUP(A78,All!A:AM,32,0)</f>
        <v>1.8957999999999799</v>
      </c>
      <c r="K78" s="20">
        <f>VLOOKUP(A78,All!A:AM,39,0)</f>
        <v>72.623333333333335</v>
      </c>
      <c r="L78" s="20">
        <f>VLOOKUP(A78,All!A:AM,38,0)</f>
        <v>21.786999999999999</v>
      </c>
      <c r="M78" s="97">
        <f>VLOOKUP(A78,'SYS Allocations'!A:G,2,0)</f>
        <v>0</v>
      </c>
      <c r="N78" s="97">
        <f>VLOOKUP(A78,'SYS Allocations'!A:G,3,0)</f>
        <v>0</v>
      </c>
      <c r="O78" s="97">
        <f>VLOOKUP(A78,'SYS Allocations'!A:G,4,0)</f>
        <v>0</v>
      </c>
      <c r="P78" s="97">
        <f>VLOOKUP(A78,'SYS Allocations'!A:G,5,0)</f>
        <v>0</v>
      </c>
      <c r="Q78" s="97">
        <f>VLOOKUP(A78,'SYS Allocations'!A:G,6,0)</f>
        <v>0</v>
      </c>
      <c r="R78" s="12">
        <f>VLOOKUP(A78,'SYS Allocations'!A:G,7,0)</f>
        <v>2</v>
      </c>
    </row>
    <row r="79" spans="1:18" hidden="1">
      <c r="A79" s="79" t="s">
        <v>95</v>
      </c>
      <c r="B79" s="41" t="str">
        <f>VLOOKUP(A79,All!A:AM,2,0)</f>
        <v>SOUTH WEST</v>
      </c>
      <c r="C79" s="42">
        <f>VLOOKUP(A79,All!A:AM,11,0)</f>
        <v>45264</v>
      </c>
      <c r="D79" s="5"/>
      <c r="E79" s="17">
        <f>VLOOKUP(A79,All!A:AM,30,0)</f>
        <v>62.907564420714884</v>
      </c>
      <c r="F79" s="17">
        <f>VLOOKUP(A79,All!A:AM,28,0)</f>
        <v>16.06166</v>
      </c>
      <c r="G79" s="17">
        <f>VLOOKUP(A79,All!A:AM,31,0)</f>
        <v>54.462619968072623</v>
      </c>
      <c r="H79" s="17">
        <f>VLOOKUP(A79,All!A:AM,29,0)</f>
        <v>11.326699999999999</v>
      </c>
      <c r="I79" s="6">
        <f>VLOOKUP(A79,All!A:AM,33,0)</f>
        <v>45.601851851851855</v>
      </c>
      <c r="J79" s="6">
        <f>VLOOKUP(A79,All!A:AM,32,0)</f>
        <v>7.9391000000000007</v>
      </c>
      <c r="K79" s="20">
        <f>VLOOKUP(A79,All!A:AM,39,0)</f>
        <v>63.074747474747468</v>
      </c>
      <c r="L79" s="20">
        <f>VLOOKUP(A79,All!A:AM,38,0)</f>
        <v>31.221999999999998</v>
      </c>
      <c r="M79" s="97">
        <f>VLOOKUP(A79,'SYS Allocations'!A:G,2,0)</f>
        <v>0</v>
      </c>
      <c r="N79" s="97">
        <f>VLOOKUP(A79,'SYS Allocations'!A:G,3,0)</f>
        <v>0</v>
      </c>
      <c r="O79" s="97">
        <f>VLOOKUP(A79,'SYS Allocations'!A:G,4,0)</f>
        <v>0</v>
      </c>
      <c r="P79" s="97" t="str">
        <f>VLOOKUP(A79,'SYS Allocations'!A:G,5,0)</f>
        <v>AM</v>
      </c>
      <c r="Q79" s="97">
        <f>VLOOKUP(A79,'SYS Allocations'!A:G,6,0)</f>
        <v>0</v>
      </c>
      <c r="R79" s="12">
        <f>VLOOKUP(A79,'SYS Allocations'!A:G,7,0)</f>
        <v>6.8</v>
      </c>
    </row>
    <row r="80" spans="1:18" hidden="1">
      <c r="A80" s="79" t="s">
        <v>96</v>
      </c>
      <c r="B80" s="41" t="str">
        <f>VLOOKUP(A80,All!A:AM,2,0)</f>
        <v>SOUTH WEST</v>
      </c>
      <c r="C80" s="42">
        <f>VLOOKUP(A80,All!A:AM,11,0)</f>
        <v>45264</v>
      </c>
      <c r="D80" s="5"/>
      <c r="E80" s="17">
        <f>VLOOKUP(A80,All!A:AM,30,0)</f>
        <v>65.5042894921542</v>
      </c>
      <c r="F80" s="17">
        <f>VLOOKUP(A80,All!A:AM,28,0)</f>
        <v>16.72466</v>
      </c>
      <c r="G80" s="17">
        <f>VLOOKUP(A80,All!A:AM,31,0)</f>
        <v>57.650549112380517</v>
      </c>
      <c r="H80" s="17">
        <f>VLOOKUP(A80,All!A:AM,29,0)</f>
        <v>11.989700000000001</v>
      </c>
      <c r="I80" s="6">
        <f>VLOOKUP(A80,All!A:AM,33,0)</f>
        <v>49.41009557945042</v>
      </c>
      <c r="J80" s="6">
        <f>VLOOKUP(A80,All!A:AM,32,0)</f>
        <v>8.6021000000000001</v>
      </c>
      <c r="K80" s="20">
        <f>VLOOKUP(A80,All!A:AM,39,0)</f>
        <v>0</v>
      </c>
      <c r="L80" s="20">
        <f>VLOOKUP(A80,All!A:AM,38,0)</f>
        <v>0</v>
      </c>
      <c r="M80" s="97">
        <f>VLOOKUP(A80,'SYS Allocations'!A:G,2,0)</f>
        <v>0</v>
      </c>
      <c r="N80" s="97">
        <f>VLOOKUP(A80,'SYS Allocations'!A:G,3,0)</f>
        <v>0</v>
      </c>
      <c r="O80" s="97">
        <f>VLOOKUP(A80,'SYS Allocations'!A:G,4,0)</f>
        <v>0</v>
      </c>
      <c r="P80" s="97">
        <f>VLOOKUP(A80,'SYS Allocations'!A:G,5,0)</f>
        <v>0</v>
      </c>
      <c r="Q80" s="97">
        <f>VLOOKUP(A80,'SYS Allocations'!A:G,6,0)</f>
        <v>0</v>
      </c>
      <c r="R80" s="12">
        <f>VLOOKUP(A80,'SYS Allocations'!A:G,7,0)</f>
        <v>6.9</v>
      </c>
    </row>
    <row r="81" spans="1:18" hidden="1">
      <c r="A81" s="35" t="s">
        <v>97</v>
      </c>
      <c r="B81" s="41" t="str">
        <f>VLOOKUP(A81,All!A:AM,2,0)</f>
        <v>NORTH WEST</v>
      </c>
      <c r="C81" s="42">
        <f>VLOOKUP(A81,All!A:AM,11,0)</f>
        <v>44594.708333333299</v>
      </c>
      <c r="D81" s="5"/>
      <c r="E81" s="17">
        <f>VLOOKUP(A81,All!A:AM,30,0)</f>
        <v>87.568181818181813</v>
      </c>
      <c r="F81" s="17">
        <f>VLOOKUP(A81,All!A:AM,28,0)</f>
        <v>20.998850000000001</v>
      </c>
      <c r="G81" s="17">
        <f>VLOOKUP(A81,All!A:AM,31,0)</f>
        <v>87.30858468677495</v>
      </c>
      <c r="H81" s="17">
        <f>VLOOKUP(A81,All!A:AM,29,0)</f>
        <v>20.50835</v>
      </c>
      <c r="I81" s="6">
        <f>VLOOKUP(A81,All!A:AM,33,0)</f>
        <v>70.509358182969081</v>
      </c>
      <c r="J81" s="6">
        <f>VLOOKUP(A81,All!A:AM,32,0)</f>
        <v>7.1276499999999796</v>
      </c>
      <c r="K81" s="20">
        <f>VLOOKUP(A81,All!A:AM,39,0)</f>
        <v>82.333925925925925</v>
      </c>
      <c r="L81" s="20">
        <f>VLOOKUP(A81,All!A:AM,38,0)</f>
        <v>13.89385</v>
      </c>
      <c r="M81" s="97">
        <f>VLOOKUP(A81,'SYS Allocations'!A:G,2,0)</f>
        <v>0</v>
      </c>
      <c r="N81" s="97">
        <f>VLOOKUP(A81,'SYS Allocations'!A:G,3,0)</f>
        <v>0</v>
      </c>
      <c r="O81" s="97">
        <f>VLOOKUP(A81,'SYS Allocations'!A:G,4,0)</f>
        <v>0</v>
      </c>
      <c r="P81" s="97">
        <f>VLOOKUP(A81,'SYS Allocations'!A:G,5,0)</f>
        <v>0</v>
      </c>
      <c r="Q81" s="97">
        <f>VLOOKUP(A81,'SYS Allocations'!A:G,6,0)</f>
        <v>0</v>
      </c>
      <c r="R81" s="12">
        <f>VLOOKUP(A81,'SYS Allocations'!A:G,7,0)</f>
        <v>0</v>
      </c>
    </row>
    <row r="82" spans="1:18" hidden="1">
      <c r="A82" s="35" t="s">
        <v>98</v>
      </c>
      <c r="B82" s="41" t="str">
        <f>VLOOKUP(A82,All!A:AM,2,0)</f>
        <v>NORTH WEST</v>
      </c>
      <c r="C82" s="42">
        <f>VLOOKUP(A82,All!A:AM,11,0)</f>
        <v>45264</v>
      </c>
      <c r="D82" s="5"/>
      <c r="E82" s="17">
        <f>VLOOKUP(A82,All!A:AM,30,0)</f>
        <v>3.3493445129593407</v>
      </c>
      <c r="F82" s="17">
        <f>VLOOKUP(A82,All!A:AM,28,0)</f>
        <v>0.42757999999999985</v>
      </c>
      <c r="G82" s="17">
        <f>VLOOKUP(A82,All!A:AM,31,0)</f>
        <v>-30.261504840531668</v>
      </c>
      <c r="H82" s="17">
        <f>VLOOKUP(A82,All!A:AM,29,0)</f>
        <v>-2.8664000000000001</v>
      </c>
      <c r="I82" s="6">
        <f>VLOOKUP(A82,All!A:AM,33,0)</f>
        <v>-22.057019626464264</v>
      </c>
      <c r="J82" s="6">
        <f>VLOOKUP(A82,All!A:AM,32,0)</f>
        <v>-2.2297000000000198</v>
      </c>
      <c r="K82" s="20">
        <f>VLOOKUP(A82,All!A:AM,39,0)</f>
        <v>34.19466666666667</v>
      </c>
      <c r="L82" s="20">
        <f>VLOOKUP(A82,All!A:AM,38,0)</f>
        <v>6.4115000000000002</v>
      </c>
      <c r="M82" s="97">
        <f>VLOOKUP(A82,'SYS Allocations'!A:G,2,0)</f>
        <v>0</v>
      </c>
      <c r="N82" s="97" t="str">
        <f>VLOOKUP(A82,'SYS Allocations'!A:G,3,0)</f>
        <v>RA</v>
      </c>
      <c r="O82" s="97">
        <f>VLOOKUP(A82,'SYS Allocations'!A:G,4,0)</f>
        <v>0</v>
      </c>
      <c r="P82" s="97">
        <f>VLOOKUP(A82,'SYS Allocations'!A:G,5,0)</f>
        <v>0</v>
      </c>
      <c r="Q82" s="97">
        <f>VLOOKUP(A82,'SYS Allocations'!A:G,6,0)</f>
        <v>0</v>
      </c>
      <c r="R82" s="12">
        <f>VLOOKUP(A82,'SYS Allocations'!A:G,7,0)</f>
        <v>4</v>
      </c>
    </row>
    <row r="83" spans="1:18" hidden="1">
      <c r="A83" s="35" t="s">
        <v>99</v>
      </c>
      <c r="B83" s="41" t="str">
        <f>VLOOKUP(A83,All!A:AM,2,0)</f>
        <v>LONDON</v>
      </c>
      <c r="C83" s="42">
        <f>VLOOKUP(A83,All!A:AM,11,0)</f>
        <v>45127</v>
      </c>
      <c r="D83" s="5"/>
      <c r="E83" s="17">
        <f>VLOOKUP(A83,All!A:AM,30,0)</f>
        <v>41.046551138294262</v>
      </c>
      <c r="F83" s="17">
        <f>VLOOKUP(A83,All!A:AM,28,0)</f>
        <v>36.24</v>
      </c>
      <c r="G83" s="17">
        <f>VLOOKUP(A83,All!A:AM,31,0)</f>
        <v>22.03707170941771</v>
      </c>
      <c r="H83" s="17">
        <f>VLOOKUP(A83,All!A:AM,29,0)</f>
        <v>14.712499999999999</v>
      </c>
      <c r="I83" s="6">
        <f>VLOOKUP(A83,All!A:AM,33,0)</f>
        <v>25.96859532343403</v>
      </c>
      <c r="J83" s="6">
        <f>VLOOKUP(A83,All!A:AM,32,0)</f>
        <v>18.257999999999999</v>
      </c>
      <c r="K83" s="20">
        <f>VLOOKUP(A83,All!A:AM,39,0)</f>
        <v>27.708333333333339</v>
      </c>
      <c r="L83" s="20">
        <f>VLOOKUP(A83,All!A:AM,38,0)</f>
        <v>19.950000000000003</v>
      </c>
      <c r="M83" s="97">
        <f>VLOOKUP(A83,'SYS Allocations'!A:G,2,0)</f>
        <v>0</v>
      </c>
      <c r="N83" s="97">
        <f>VLOOKUP(A83,'SYS Allocations'!A:G,3,0)</f>
        <v>0</v>
      </c>
      <c r="O83" s="97">
        <f>VLOOKUP(A83,'SYS Allocations'!A:G,4,0)</f>
        <v>0</v>
      </c>
      <c r="P83" s="97">
        <f>VLOOKUP(A83,'SYS Allocations'!A:G,5,0)</f>
        <v>0</v>
      </c>
      <c r="Q83" s="97">
        <f>VLOOKUP(A83,'SYS Allocations'!A:G,6,0)</f>
        <v>0</v>
      </c>
      <c r="R83" s="12">
        <f>VLOOKUP(A83,'SYS Allocations'!A:G,7,0)</f>
        <v>3</v>
      </c>
    </row>
    <row r="84" spans="1:18" hidden="1">
      <c r="A84" s="35" t="s">
        <v>100</v>
      </c>
      <c r="B84" s="41" t="str">
        <f>VLOOKUP(A84,All!A:AM,2,0)</f>
        <v>MIDLANDS</v>
      </c>
      <c r="C84" s="42">
        <f>VLOOKUP(A84,All!A:AM,11,0)</f>
        <v>44530.708333333299</v>
      </c>
      <c r="D84" s="5"/>
      <c r="E84" s="17">
        <f>VLOOKUP(A84,All!A:AM,30,0)</f>
        <v>53.827295109818792</v>
      </c>
      <c r="F84" s="17">
        <f>VLOOKUP(A84,All!A:AM,28,0)</f>
        <v>15.461179999999999</v>
      </c>
      <c r="G84" s="17">
        <f>VLOOKUP(A84,All!A:AM,31,0)</f>
        <v>44.134843008904731</v>
      </c>
      <c r="H84" s="17">
        <f>VLOOKUP(A84,All!A:AM,29,0)</f>
        <v>10.4777</v>
      </c>
      <c r="I84" s="6">
        <f>VLOOKUP(A84,All!A:AM,33,0)</f>
        <v>46.977147700377408</v>
      </c>
      <c r="J84" s="6">
        <f>VLOOKUP(A84,All!A:AM,32,0)</f>
        <v>11.750299999999999</v>
      </c>
      <c r="K84" s="20">
        <f>VLOOKUP(A84,All!A:AM,39,0)</f>
        <v>58.875968992248062</v>
      </c>
      <c r="L84" s="20">
        <f>VLOOKUP(A84,All!A:AM,38,0)</f>
        <v>18.987500000000001</v>
      </c>
      <c r="M84" s="97">
        <f>VLOOKUP(A84,'SYS Allocations'!A:G,2,0)</f>
        <v>0</v>
      </c>
      <c r="N84" s="97">
        <f>VLOOKUP(A84,'SYS Allocations'!A:G,3,0)</f>
        <v>0</v>
      </c>
      <c r="O84" s="97">
        <f>VLOOKUP(A84,'SYS Allocations'!A:G,4,0)</f>
        <v>0</v>
      </c>
      <c r="P84" s="97">
        <f>VLOOKUP(A84,'SYS Allocations'!A:G,5,0)</f>
        <v>0</v>
      </c>
      <c r="Q84" s="97">
        <f>VLOOKUP(A84,'SYS Allocations'!A:G,6,0)</f>
        <v>0</v>
      </c>
      <c r="R84" s="12">
        <f>VLOOKUP(A84,'SYS Allocations'!A:G,7,0)</f>
        <v>1</v>
      </c>
    </row>
    <row r="85" spans="1:18" hidden="1">
      <c r="A85" s="35" t="s">
        <v>101</v>
      </c>
      <c r="B85" s="41" t="str">
        <f>VLOOKUP(A85,All!A:AM,2,0)</f>
        <v>THAMES VALLEY</v>
      </c>
      <c r="C85" s="42">
        <f>VLOOKUP(A85,All!A:AM,11,0)</f>
        <v>45044</v>
      </c>
      <c r="D85" s="5"/>
      <c r="E85" s="17">
        <f>VLOOKUP(A85,All!A:AM,30,0)</f>
        <v>74.350649350649348</v>
      </c>
      <c r="F85" s="17">
        <f>VLOOKUP(A85,All!A:AM,28,0)</f>
        <v>12.480499999999999</v>
      </c>
      <c r="G85" s="17">
        <f>VLOOKUP(A85,All!A:AM,31,0)</f>
        <v>70.561931733492315</v>
      </c>
      <c r="H85" s="17">
        <f>VLOOKUP(A85,All!A:AM,29,0)</f>
        <v>10.320119999999999</v>
      </c>
      <c r="I85" s="6">
        <f>VLOOKUP(A85,All!A:AM,33,0)</f>
        <v>67.269506781001112</v>
      </c>
      <c r="J85" s="6">
        <f>VLOOKUP(A85,All!A:AM,32,0)</f>
        <v>8.8489000000000093</v>
      </c>
      <c r="K85" s="20">
        <f>VLOOKUP(A85,All!A:AM,39,0)</f>
        <v>90.432222222222222</v>
      </c>
      <c r="L85" s="20">
        <f>VLOOKUP(A85,All!A:AM,38,0)</f>
        <v>40.694499999999998</v>
      </c>
      <c r="M85" s="97">
        <f>VLOOKUP(A85,'SYS Allocations'!A:G,2,0)</f>
        <v>0</v>
      </c>
      <c r="N85" s="97">
        <f>VLOOKUP(A85,'SYS Allocations'!A:G,3,0)</f>
        <v>0</v>
      </c>
      <c r="O85" s="97">
        <f>VLOOKUP(A85,'SYS Allocations'!A:G,4,0)</f>
        <v>0</v>
      </c>
      <c r="P85" s="97">
        <f>VLOOKUP(A85,'SYS Allocations'!A:G,5,0)</f>
        <v>0</v>
      </c>
      <c r="Q85" s="97">
        <f>VLOOKUP(A85,'SYS Allocations'!A:G,6,0)</f>
        <v>0</v>
      </c>
      <c r="R85" s="12">
        <f>VLOOKUP(A85,'SYS Allocations'!A:G,7,0)</f>
        <v>0</v>
      </c>
    </row>
    <row r="86" spans="1:18" hidden="1">
      <c r="A86" s="39" t="s">
        <v>102</v>
      </c>
      <c r="B86" s="41" t="str">
        <f>VLOOKUP(A86,All!A:AM,2,0)</f>
        <v>SCOTLAND</v>
      </c>
      <c r="C86" s="42">
        <f>VLOOKUP(A86,All!A:AM,11,0)</f>
        <v>45264</v>
      </c>
      <c r="D86" s="5"/>
      <c r="E86" s="17">
        <f>VLOOKUP(A86,All!A:AM,30,0)</f>
        <v>26.47480108000487</v>
      </c>
      <c r="F86" s="17">
        <f>VLOOKUP(A86,All!A:AM,28,0)</f>
        <v>2.9573200000000002</v>
      </c>
      <c r="G86" s="17">
        <f>VLOOKUP(A86,All!A:AM,31,0)</f>
        <v>28.647136502641082</v>
      </c>
      <c r="H86" s="17">
        <f>VLOOKUP(A86,All!A:AM,29,0)</f>
        <v>3.2973999999999997</v>
      </c>
      <c r="I86" s="6">
        <f>VLOOKUP(A86,All!A:AM,33,0)</f>
        <v>29.742889600612916</v>
      </c>
      <c r="J86" s="6">
        <f>VLOOKUP(A86,All!A:AM,32,0)</f>
        <v>3.4769199999999696</v>
      </c>
      <c r="K86" s="20">
        <f>VLOOKUP(A86,All!A:AM,39,0)</f>
        <v>21.780952380952382</v>
      </c>
      <c r="L86" s="20">
        <f>VLOOKUP(A86,All!A:AM,38,0)</f>
        <v>2.2869999999999999</v>
      </c>
      <c r="M86" s="97">
        <f>VLOOKUP(A86,'SYS Allocations'!A:G,2,0)</f>
        <v>0</v>
      </c>
      <c r="N86" s="97">
        <f>VLOOKUP(A86,'SYS Allocations'!A:G,3,0)</f>
        <v>0</v>
      </c>
      <c r="O86" s="97">
        <f>VLOOKUP(A86,'SYS Allocations'!A:G,4,0)</f>
        <v>0</v>
      </c>
      <c r="P86" s="97">
        <f>VLOOKUP(A86,'SYS Allocations'!A:G,5,0)</f>
        <v>0</v>
      </c>
      <c r="Q86" s="97">
        <f>VLOOKUP(A86,'SYS Allocations'!A:G,6,0)</f>
        <v>0</v>
      </c>
      <c r="R86" s="12">
        <f>VLOOKUP(A86,'SYS Allocations'!A:G,7,0)</f>
        <v>2</v>
      </c>
    </row>
    <row r="87" spans="1:18" hidden="1">
      <c r="A87" s="39" t="s">
        <v>103</v>
      </c>
      <c r="B87" s="41" t="str">
        <f>VLOOKUP(A87,All!A:AM,2,0)</f>
        <v>SCOTLAND</v>
      </c>
      <c r="C87" s="42">
        <f>VLOOKUP(A87,All!A:AM,11,0)</f>
        <v>44445.381944444402</v>
      </c>
      <c r="D87" s="19"/>
      <c r="E87" s="17">
        <f>VLOOKUP(A87,All!A:AM,30,0)</f>
        <v>62.5</v>
      </c>
      <c r="F87" s="17">
        <f>VLOOKUP(A87,All!A:AM,28,0)</f>
        <v>2.9975000000000001</v>
      </c>
      <c r="G87" s="17">
        <f>VLOOKUP(A87,All!A:AM,31,0)</f>
        <v>69.158878504672899</v>
      </c>
      <c r="H87" s="17">
        <f>VLOOKUP(A87,All!A:AM,29,0)</f>
        <v>4.0330000000000004</v>
      </c>
      <c r="I87" s="6">
        <f>VLOOKUP(A87,All!A:AM,33,0)</f>
        <v>36.342592592592595</v>
      </c>
      <c r="J87" s="6">
        <f>VLOOKUP(A87,All!A:AM,32,0)</f>
        <v>1.02678</v>
      </c>
      <c r="K87" s="20">
        <f>VLOOKUP(A87,All!A:AM,39,0)</f>
        <v>76.02000000000001</v>
      </c>
      <c r="L87" s="20">
        <f>VLOOKUP(A87,All!A:AM,38,0)</f>
        <v>5.7015000000000002</v>
      </c>
      <c r="M87" s="97">
        <f>VLOOKUP(A87,'SYS Allocations'!A:G,2,0)</f>
        <v>0</v>
      </c>
      <c r="N87" s="97">
        <f>VLOOKUP(A87,'SYS Allocations'!A:G,3,0)</f>
        <v>0</v>
      </c>
      <c r="O87" s="97">
        <f>VLOOKUP(A87,'SYS Allocations'!A:G,4,0)</f>
        <v>0</v>
      </c>
      <c r="P87" s="97">
        <f>VLOOKUP(A87,'SYS Allocations'!A:G,5,0)</f>
        <v>0</v>
      </c>
      <c r="Q87" s="97">
        <f>VLOOKUP(A87,'SYS Allocations'!A:G,6,0)</f>
        <v>0</v>
      </c>
      <c r="R87" s="12">
        <f>VLOOKUP(A87,'SYS Allocations'!A:G,7,0)</f>
        <v>0</v>
      </c>
    </row>
    <row r="88" spans="1:18" hidden="1">
      <c r="A88" s="35" t="s">
        <v>104</v>
      </c>
      <c r="B88" s="41" t="str">
        <f>VLOOKUP(A88,All!A:AM,2,0)</f>
        <v>NORTH WEST</v>
      </c>
      <c r="C88" s="42">
        <f>VLOOKUP(A88,All!A:AM,11,0)</f>
        <v>45264</v>
      </c>
      <c r="D88" s="5"/>
      <c r="E88" s="17">
        <f>VLOOKUP(A88,All!A:AM,30,0)</f>
        <v>83.666666666666671</v>
      </c>
      <c r="F88" s="17">
        <f>VLOOKUP(A88,All!A:AM,28,0)</f>
        <v>13.679500000000001</v>
      </c>
      <c r="G88" s="17">
        <f>VLOOKUP(A88,All!A:AM,31,0)</f>
        <v>84.039087947882734</v>
      </c>
      <c r="H88" s="17">
        <f>VLOOKUP(A88,All!A:AM,29,0)</f>
        <v>14.061</v>
      </c>
      <c r="I88" s="6">
        <f>VLOOKUP(A88,All!A:AM,33,0)</f>
        <v>59.543763331394196</v>
      </c>
      <c r="J88" s="6">
        <f>VLOOKUP(A88,All!A:AM,32,0)</f>
        <v>3.9304600000000098</v>
      </c>
      <c r="K88" s="20">
        <f>VLOOKUP(A88,All!A:AM,39,0)</f>
        <v>64.393333333333331</v>
      </c>
      <c r="L88" s="20">
        <f>VLOOKUP(A88,All!A:AM,38,0)</f>
        <v>4.8294999999999995</v>
      </c>
      <c r="M88" s="97">
        <f>VLOOKUP(A88,'SYS Allocations'!A:G,2,0)</f>
        <v>0</v>
      </c>
      <c r="N88" s="97">
        <f>VLOOKUP(A88,'SYS Allocations'!A:G,3,0)</f>
        <v>0</v>
      </c>
      <c r="O88" s="97">
        <f>VLOOKUP(A88,'SYS Allocations'!A:G,4,0)</f>
        <v>0</v>
      </c>
      <c r="P88" s="97">
        <f>VLOOKUP(A88,'SYS Allocations'!A:G,5,0)</f>
        <v>0</v>
      </c>
      <c r="Q88" s="97">
        <f>VLOOKUP(A88,'SYS Allocations'!A:G,6,0)</f>
        <v>0</v>
      </c>
      <c r="R88" s="12">
        <f>VLOOKUP(A88,'SYS Allocations'!A:G,7,0)</f>
        <v>0</v>
      </c>
    </row>
    <row r="89" spans="1:18" hidden="1">
      <c r="A89" s="35" t="s">
        <v>105</v>
      </c>
      <c r="B89" s="41" t="str">
        <f>VLOOKUP(A89,All!A:AM,2,0)</f>
        <v>NORTH EAST</v>
      </c>
      <c r="C89" s="42">
        <f>VLOOKUP(A89,All!A:AM,11,0)</f>
        <v>44574.541666666701</v>
      </c>
      <c r="D89" s="5"/>
      <c r="E89" s="17">
        <f>VLOOKUP(A89,All!A:AM,30,0)</f>
        <v>75</v>
      </c>
      <c r="F89" s="17">
        <f>VLOOKUP(A89,All!A:AM,28,0)</f>
        <v>6.54</v>
      </c>
      <c r="G89" s="17">
        <f>VLOOKUP(A89,All!A:AM,31,0)</f>
        <v>73.68421052631578</v>
      </c>
      <c r="H89" s="17">
        <f>VLOOKUP(A89,All!A:AM,29,0)</f>
        <v>6.1040000000000001</v>
      </c>
      <c r="I89" s="6">
        <f>VLOOKUP(A89,All!A:AM,33,0)</f>
        <v>62.785425543537706</v>
      </c>
      <c r="J89" s="6">
        <f>VLOOKUP(A89,All!A:AM,32,0)</f>
        <v>3.6779200000000101</v>
      </c>
      <c r="K89" s="20">
        <f>VLOOKUP(A89,All!A:AM,39,0)</f>
        <v>80.62222222222222</v>
      </c>
      <c r="L89" s="20">
        <f>VLOOKUP(A89,All!A:AM,38,0)</f>
        <v>9.07</v>
      </c>
      <c r="M89" s="97">
        <f>VLOOKUP(A89,'SYS Allocations'!A:G,2,0)</f>
        <v>0</v>
      </c>
      <c r="N89" s="97">
        <f>VLOOKUP(A89,'SYS Allocations'!A:G,3,0)</f>
        <v>0</v>
      </c>
      <c r="O89" s="97">
        <f>VLOOKUP(A89,'SYS Allocations'!A:G,4,0)</f>
        <v>0</v>
      </c>
      <c r="P89" s="97">
        <f>VLOOKUP(A89,'SYS Allocations'!A:G,5,0)</f>
        <v>0</v>
      </c>
      <c r="Q89" s="97">
        <f>VLOOKUP(A89,'SYS Allocations'!A:G,6,0)</f>
        <v>0</v>
      </c>
      <c r="R89" s="12">
        <f>VLOOKUP(A89,'SYS Allocations'!A:G,7,0)</f>
        <v>0</v>
      </c>
    </row>
    <row r="90" spans="1:18" hidden="1">
      <c r="A90" s="35" t="s">
        <v>106</v>
      </c>
      <c r="B90" s="41" t="str">
        <f>VLOOKUP(A90,All!A:AM,2,0)</f>
        <v>LONDON</v>
      </c>
      <c r="C90" s="42">
        <f>VLOOKUP(A90,All!A:AM,11,0)</f>
        <v>44154</v>
      </c>
      <c r="D90" s="5"/>
      <c r="E90" s="17">
        <f>VLOOKUP(A90,All!A:AM,30,0)</f>
        <v>17.692692927925666</v>
      </c>
      <c r="F90" s="17">
        <f>VLOOKUP(A90,All!A:AM,28,0)</f>
        <v>13.551979999999999</v>
      </c>
      <c r="G90" s="17">
        <f>VLOOKUP(A90,All!A:AM,31,0)</f>
        <v>-20.900900555368047</v>
      </c>
      <c r="H90" s="17">
        <f>VLOOKUP(A90,All!A:AM,29,0)</f>
        <v>-10.898900000000001</v>
      </c>
      <c r="I90" s="6">
        <f>VLOOKUP(A90,All!A:AM,33,0)</f>
        <v>11.338795508753231</v>
      </c>
      <c r="J90" s="6">
        <f>VLOOKUP(A90,All!A:AM,32,0)</f>
        <v>8.0627000000002003</v>
      </c>
      <c r="K90" s="20">
        <f>VLOOKUP(A90,All!A:AM,39,0)</f>
        <v>57.970333333333336</v>
      </c>
      <c r="L90" s="20">
        <f>VLOOKUP(A90,All!A:AM,38,0)</f>
        <v>86.955500000000001</v>
      </c>
      <c r="M90" s="97">
        <f>VLOOKUP(A90,'SYS Allocations'!A:G,2,0)</f>
        <v>0</v>
      </c>
      <c r="N90" s="97" t="str">
        <f>VLOOKUP(A90,'SYS Allocations'!A:G,3,0)</f>
        <v>RA</v>
      </c>
      <c r="O90" s="97">
        <f>VLOOKUP(A90,'SYS Allocations'!A:G,4,0)</f>
        <v>0</v>
      </c>
      <c r="P90" s="97">
        <f>VLOOKUP(A90,'SYS Allocations'!A:G,5,0)</f>
        <v>0</v>
      </c>
      <c r="Q90" s="97">
        <f>VLOOKUP(A90,'SYS Allocations'!A:G,6,0)</f>
        <v>0</v>
      </c>
      <c r="R90" s="12">
        <f>VLOOKUP(A90,'SYS Allocations'!A:G,7,0)</f>
        <v>7.4</v>
      </c>
    </row>
    <row r="91" spans="1:18" hidden="1">
      <c r="A91" s="35" t="s">
        <v>107</v>
      </c>
      <c r="B91" s="41" t="str">
        <f>VLOOKUP(A91,All!A:AM,2,0)</f>
        <v>SCOTLAND</v>
      </c>
      <c r="C91" s="42">
        <f>VLOOKUP(A91,All!A:AM,11,0)</f>
        <v>45264</v>
      </c>
      <c r="D91" s="5"/>
      <c r="E91" s="17">
        <f>VLOOKUP(A91,All!A:AM,30,0)</f>
        <v>59.016393442622956</v>
      </c>
      <c r="F91" s="17">
        <f>VLOOKUP(A91,All!A:AM,28,0)</f>
        <v>4.7088000000000001</v>
      </c>
      <c r="G91" s="17">
        <f>VLOOKUP(A91,All!A:AM,31,0)</f>
        <v>51.219512195121951</v>
      </c>
      <c r="H91" s="17">
        <f>VLOOKUP(A91,All!A:AM,29,0)</f>
        <v>3.4335</v>
      </c>
      <c r="I91" s="6">
        <f>VLOOKUP(A91,All!A:AM,33,0)</f>
        <v>39.201249442213303</v>
      </c>
      <c r="J91" s="6">
        <f>VLOOKUP(A91,All!A:AM,32,0)</f>
        <v>2.1084000000000001</v>
      </c>
      <c r="K91" s="20">
        <f>VLOOKUP(A91,All!A:AM,39,0)</f>
        <v>56.400000000000006</v>
      </c>
      <c r="L91" s="20">
        <f>VLOOKUP(A91,All!A:AM,38,0)</f>
        <v>4.2300000000000004</v>
      </c>
      <c r="M91" s="97">
        <f>VLOOKUP(A91,'SYS Allocations'!A:G,2,0)</f>
        <v>0</v>
      </c>
      <c r="N91" s="97">
        <f>VLOOKUP(A91,'SYS Allocations'!A:G,3,0)</f>
        <v>0</v>
      </c>
      <c r="O91" s="97">
        <f>VLOOKUP(A91,'SYS Allocations'!A:G,4,0)</f>
        <v>0</v>
      </c>
      <c r="P91" s="97">
        <f>VLOOKUP(A91,'SYS Allocations'!A:G,5,0)</f>
        <v>0</v>
      </c>
      <c r="Q91" s="97">
        <f>VLOOKUP(A91,'SYS Allocations'!A:G,6,0)</f>
        <v>0</v>
      </c>
      <c r="R91" s="12">
        <f>VLOOKUP(A91,'SYS Allocations'!A:G,7,0)</f>
        <v>0</v>
      </c>
    </row>
    <row r="92" spans="1:18" hidden="1">
      <c r="A92" s="35" t="s">
        <v>108</v>
      </c>
      <c r="B92" s="41" t="str">
        <f>VLOOKUP(A92,All!A:AM,2,0)</f>
        <v>NORTH EAST</v>
      </c>
      <c r="C92" s="42">
        <f>VLOOKUP(A92,All!A:AM,11,0)</f>
        <v>44615.489583333299</v>
      </c>
      <c r="D92" s="5"/>
      <c r="E92" s="17">
        <f>VLOOKUP(A92,All!A:AM,30,0)</f>
        <v>63.4456880733945</v>
      </c>
      <c r="F92" s="17">
        <f>VLOOKUP(A92,All!A:AM,28,0)</f>
        <v>6.9155800000000003</v>
      </c>
      <c r="G92" s="17">
        <f>VLOOKUP(A92,All!A:AM,31,0)</f>
        <v>61.52177691936263</v>
      </c>
      <c r="H92" s="17">
        <f>VLOOKUP(A92,All!A:AM,29,0)</f>
        <v>6.3705800000000004</v>
      </c>
      <c r="I92" s="6">
        <f>VLOOKUP(A92,All!A:AM,33,0)</f>
        <v>23.77525252525253</v>
      </c>
      <c r="J92" s="6">
        <f>VLOOKUP(A92,All!A:AM,32,0)</f>
        <v>1.2427800000000002</v>
      </c>
      <c r="K92" s="20">
        <f>VLOOKUP(A92,All!A:AM,39,0)</f>
        <v>86.718600000000009</v>
      </c>
      <c r="L92" s="20">
        <f>VLOOKUP(A92,All!A:AM,38,0)</f>
        <v>26.01558</v>
      </c>
      <c r="M92" s="97">
        <f>VLOOKUP(A92,'SYS Allocations'!A:G,2,0)</f>
        <v>0</v>
      </c>
      <c r="N92" s="97">
        <f>VLOOKUP(A92,'SYS Allocations'!A:G,3,0)</f>
        <v>0</v>
      </c>
      <c r="O92" s="97">
        <f>VLOOKUP(A92,'SYS Allocations'!A:G,4,0)</f>
        <v>0</v>
      </c>
      <c r="P92" s="97">
        <f>VLOOKUP(A92,'SYS Allocations'!A:G,5,0)</f>
        <v>0</v>
      </c>
      <c r="Q92" s="97">
        <f>VLOOKUP(A92,'SYS Allocations'!A:G,6,0)</f>
        <v>0</v>
      </c>
      <c r="R92" s="12">
        <f>VLOOKUP(A92,'SYS Allocations'!A:G,7,0)</f>
        <v>1</v>
      </c>
    </row>
    <row r="93" spans="1:18" hidden="1">
      <c r="A93" s="35" t="s">
        <v>109</v>
      </c>
      <c r="B93" s="41" t="str">
        <f>VLOOKUP(A93,All!A:AM,2,0)</f>
        <v>SCOTLAND</v>
      </c>
      <c r="C93" s="42">
        <f>VLOOKUP(A93,All!A:AM,11,0)</f>
        <v>45264</v>
      </c>
      <c r="D93" s="5"/>
      <c r="E93" s="17">
        <f>VLOOKUP(A93,All!A:AM,30,0)</f>
        <v>47.865750488795307</v>
      </c>
      <c r="F93" s="17">
        <f>VLOOKUP(A93,All!A:AM,28,0)</f>
        <v>12.221160000000001</v>
      </c>
      <c r="G93" s="17">
        <f>VLOOKUP(A93,All!A:AM,31,0)</f>
        <v>29.735750256015031</v>
      </c>
      <c r="H93" s="17">
        <f>VLOOKUP(A93,All!A:AM,29,0)</f>
        <v>5.6331999999999995</v>
      </c>
      <c r="I93" s="6">
        <f>VLOOKUP(A93,All!A:AM,33,0)</f>
        <v>34.161324786324784</v>
      </c>
      <c r="J93" s="6">
        <f>VLOOKUP(A93,All!A:AM,32,0)</f>
        <v>6.9066000000000001</v>
      </c>
      <c r="K93" s="20">
        <f>VLOOKUP(A93,All!A:AM,39,0)</f>
        <v>40.839999999999996</v>
      </c>
      <c r="L93" s="20">
        <f>VLOOKUP(A93,All!A:AM,38,0)</f>
        <v>9.1890000000000001</v>
      </c>
      <c r="M93" s="97">
        <f>VLOOKUP(A93,'SYS Allocations'!A:G,2,0)</f>
        <v>0</v>
      </c>
      <c r="N93" s="97" t="str">
        <f>VLOOKUP(A93,'SYS Allocations'!A:G,3,0)</f>
        <v>RA</v>
      </c>
      <c r="O93" s="97">
        <f>VLOOKUP(A93,'SYS Allocations'!A:G,4,0)</f>
        <v>0</v>
      </c>
      <c r="P93" s="97">
        <f>VLOOKUP(A93,'SYS Allocations'!A:G,5,0)</f>
        <v>0</v>
      </c>
      <c r="Q93" s="97">
        <f>VLOOKUP(A93,'SYS Allocations'!A:G,6,0)</f>
        <v>0</v>
      </c>
      <c r="R93" s="12">
        <f>VLOOKUP(A93,'SYS Allocations'!A:G,7,0)</f>
        <v>4.7</v>
      </c>
    </row>
    <row r="94" spans="1:18" hidden="1">
      <c r="A94" s="35" t="s">
        <v>110</v>
      </c>
      <c r="B94" s="41" t="str">
        <f>VLOOKUP(A94,All!A:AM,2,0)</f>
        <v>SCOTLAND</v>
      </c>
      <c r="C94" s="42">
        <f>VLOOKUP(A94,All!A:AM,11,0)</f>
        <v>45264</v>
      </c>
      <c r="D94" s="5"/>
      <c r="E94" s="17">
        <f>VLOOKUP(A94,All!A:AM,30,0)</f>
        <v>46.038251366120214</v>
      </c>
      <c r="F94" s="17">
        <f>VLOOKUP(A94,All!A:AM,28,0)</f>
        <v>3.6732999999999998</v>
      </c>
      <c r="G94" s="17">
        <f>VLOOKUP(A94,All!A:AM,31,0)</f>
        <v>25.189389688791081</v>
      </c>
      <c r="H94" s="17">
        <f>VLOOKUP(A94,All!A:AM,29,0)</f>
        <v>1.449699673</v>
      </c>
      <c r="I94" s="6">
        <f>VLOOKUP(A94,All!A:AM,33,0)</f>
        <v>48.890075973409495</v>
      </c>
      <c r="J94" s="6">
        <f>VLOOKUP(A94,All!A:AM,32,0)</f>
        <v>4.1185000000000302</v>
      </c>
      <c r="K94" s="20">
        <f>VLOOKUP(A94,All!A:AM,39,0)</f>
        <v>42.593333333333334</v>
      </c>
      <c r="L94" s="20">
        <f>VLOOKUP(A94,All!A:AM,38,0)</f>
        <v>3.1944999999999997</v>
      </c>
      <c r="M94" s="97">
        <f>VLOOKUP(A94,'SYS Allocations'!A:G,2,0)</f>
        <v>0</v>
      </c>
      <c r="N94" s="97">
        <f>VLOOKUP(A94,'SYS Allocations'!A:G,3,0)</f>
        <v>0</v>
      </c>
      <c r="O94" s="97">
        <f>VLOOKUP(A94,'SYS Allocations'!A:G,4,0)</f>
        <v>0</v>
      </c>
      <c r="P94" s="97">
        <f>VLOOKUP(A94,'SYS Allocations'!A:G,5,0)</f>
        <v>0</v>
      </c>
      <c r="Q94" s="97">
        <f>VLOOKUP(A94,'SYS Allocations'!A:G,6,0)</f>
        <v>0</v>
      </c>
      <c r="R94" s="12">
        <f>VLOOKUP(A94,'SYS Allocations'!A:G,7,0)</f>
        <v>0</v>
      </c>
    </row>
    <row r="95" spans="1:18" hidden="1">
      <c r="A95" s="35" t="s">
        <v>111</v>
      </c>
      <c r="B95" s="41" t="str">
        <f>VLOOKUP(A95,All!A:AM,2,0)</f>
        <v>SCOTLAND</v>
      </c>
      <c r="C95" s="42">
        <f>VLOOKUP(A95,All!A:AM,11,0)</f>
        <v>45264</v>
      </c>
      <c r="D95" s="5"/>
      <c r="E95" s="17">
        <f>VLOOKUP(A95,All!A:AM,30,0)</f>
        <v>60.263448137564545</v>
      </c>
      <c r="F95" s="17">
        <f>VLOOKUP(A95,All!A:AM,28,0)</f>
        <v>4.8083</v>
      </c>
      <c r="G95" s="17">
        <f>VLOOKUP(A95,All!A:AM,31,0)</f>
        <v>52.703811441784147</v>
      </c>
      <c r="H95" s="17">
        <f>VLOOKUP(A95,All!A:AM,29,0)</f>
        <v>3.5330000000000004</v>
      </c>
      <c r="I95" s="6">
        <f>VLOOKUP(A95,All!A:AM,33,0)</f>
        <v>41.051242005057269</v>
      </c>
      <c r="J95" s="6">
        <f>VLOOKUP(A95,All!A:AM,32,0)</f>
        <v>2.2079</v>
      </c>
      <c r="K95" s="20">
        <f>VLOOKUP(A95,All!A:AM,39,0)</f>
        <v>36.905472636815922</v>
      </c>
      <c r="L95" s="20">
        <f>VLOOKUP(A95,All!A:AM,38,0)</f>
        <v>1.8545000000000003</v>
      </c>
      <c r="M95" s="97">
        <f>VLOOKUP(A95,'SYS Allocations'!A:G,2,0)</f>
        <v>0</v>
      </c>
      <c r="N95" s="97">
        <f>VLOOKUP(A95,'SYS Allocations'!A:G,3,0)</f>
        <v>0</v>
      </c>
      <c r="O95" s="97">
        <f>VLOOKUP(A95,'SYS Allocations'!A:G,4,0)</f>
        <v>0</v>
      </c>
      <c r="P95" s="97">
        <f>VLOOKUP(A95,'SYS Allocations'!A:G,5,0)</f>
        <v>0</v>
      </c>
      <c r="Q95" s="97">
        <f>VLOOKUP(A95,'SYS Allocations'!A:G,6,0)</f>
        <v>0</v>
      </c>
      <c r="R95" s="12">
        <f>VLOOKUP(A95,'SYS Allocations'!A:G,7,0)</f>
        <v>0.5</v>
      </c>
    </row>
    <row r="96" spans="1:18" hidden="1">
      <c r="A96" s="35" t="s">
        <v>112</v>
      </c>
      <c r="B96" s="41" t="str">
        <f>VLOOKUP(A96,All!A:AM,2,0)</f>
        <v>NORTH EAST</v>
      </c>
      <c r="C96" s="42">
        <f>VLOOKUP(A96,All!A:AM,11,0)</f>
        <v>44602.395833333299</v>
      </c>
      <c r="D96" s="5"/>
      <c r="E96" s="17">
        <f>VLOOKUP(A96,All!A:AM,30,0)</f>
        <v>50</v>
      </c>
      <c r="F96" s="17">
        <f>VLOOKUP(A96,All!A:AM,28,0)</f>
        <v>9.81</v>
      </c>
      <c r="G96" s="17">
        <f>VLOOKUP(A96,All!A:AM,31,0)</f>
        <v>14.285714285714286</v>
      </c>
      <c r="H96" s="17">
        <f>VLOOKUP(A96,All!A:AM,29,0)</f>
        <v>1.635</v>
      </c>
      <c r="I96" s="6">
        <f>VLOOKUP(A96,All!A:AM,33,0)</f>
        <v>53.56169052488071</v>
      </c>
      <c r="J96" s="6">
        <f>VLOOKUP(A96,All!A:AM,32,0)</f>
        <v>11.3148</v>
      </c>
      <c r="K96" s="20">
        <f>VLOOKUP(A96,All!A:AM,39,0)</f>
        <v>49.692307692307686</v>
      </c>
      <c r="L96" s="20">
        <f>VLOOKUP(A96,All!A:AM,38,0)</f>
        <v>9.69</v>
      </c>
      <c r="M96" s="97">
        <f>VLOOKUP(A96,'SYS Allocations'!A:G,2,0)</f>
        <v>0</v>
      </c>
      <c r="N96" s="97">
        <f>VLOOKUP(A96,'SYS Allocations'!A:G,3,0)</f>
        <v>0</v>
      </c>
      <c r="O96" s="97">
        <f>VLOOKUP(A96,'SYS Allocations'!A:G,4,0)</f>
        <v>0</v>
      </c>
      <c r="P96" s="97">
        <f>VLOOKUP(A96,'SYS Allocations'!A:G,5,0)</f>
        <v>0</v>
      </c>
      <c r="Q96" s="97">
        <f>VLOOKUP(A96,'SYS Allocations'!A:G,6,0)</f>
        <v>0</v>
      </c>
      <c r="R96" s="12">
        <f>VLOOKUP(A96,'SYS Allocations'!A:G,7,0)</f>
        <v>0</v>
      </c>
    </row>
    <row r="97" spans="1:18" hidden="1">
      <c r="A97" s="35" t="s">
        <v>113</v>
      </c>
      <c r="B97" s="41" t="str">
        <f>VLOOKUP(A97,All!A:AM,2,0)</f>
        <v>SOUTH WEST</v>
      </c>
      <c r="C97" s="42">
        <f>VLOOKUP(A97,All!A:AM,11,0)</f>
        <v>44553.5</v>
      </c>
      <c r="D97" s="5"/>
      <c r="E97" s="17">
        <f>VLOOKUP(A97,All!A:AM,30,0)</f>
        <v>93.169398907103826</v>
      </c>
      <c r="F97" s="17">
        <f>VLOOKUP(A97,All!A:AM,28,0)</f>
        <v>7.4337999999999997</v>
      </c>
      <c r="G97" s="17">
        <f>VLOOKUP(A97,All!A:AM,31,0)</f>
        <v>85.507246376811594</v>
      </c>
      <c r="H97" s="17">
        <f>VLOOKUP(A97,All!A:AM,29,0)</f>
        <v>3.2155</v>
      </c>
      <c r="I97" s="6">
        <f>VLOOKUP(A97,All!A:AM,33,0)</f>
        <v>95.127176229918604</v>
      </c>
      <c r="J97" s="6">
        <f>VLOOKUP(A97,All!A:AM,32,0)</f>
        <v>10.639480000000001</v>
      </c>
      <c r="K97" s="20">
        <f>VLOOKUP(A97,All!A:AM,39,0)</f>
        <v>92.733333333333334</v>
      </c>
      <c r="L97" s="20">
        <f>VLOOKUP(A97,All!A:AM,38,0)</f>
        <v>6.9550000000000001</v>
      </c>
      <c r="M97" s="97">
        <f>VLOOKUP(A97,'SYS Allocations'!A:G,2,0)</f>
        <v>0</v>
      </c>
      <c r="N97" s="97">
        <f>VLOOKUP(A97,'SYS Allocations'!A:G,3,0)</f>
        <v>0</v>
      </c>
      <c r="O97" s="97">
        <f>VLOOKUP(A97,'SYS Allocations'!A:G,4,0)</f>
        <v>0</v>
      </c>
      <c r="P97" s="97">
        <f>VLOOKUP(A97,'SYS Allocations'!A:G,5,0)</f>
        <v>0</v>
      </c>
      <c r="Q97" s="97">
        <f>VLOOKUP(A97,'SYS Allocations'!A:G,6,0)</f>
        <v>0</v>
      </c>
      <c r="R97" s="12">
        <f>VLOOKUP(A97,'SYS Allocations'!A:G,7,0)</f>
        <v>0</v>
      </c>
    </row>
    <row r="98" spans="1:18" hidden="1">
      <c r="A98" s="35" t="s">
        <v>114</v>
      </c>
      <c r="B98" s="41" t="str">
        <f>VLOOKUP(A98,All!A:AM,2,0)</f>
        <v xml:space="preserve">SCOTTISH HIGHLANDS &amp; ISLANDS </v>
      </c>
      <c r="C98" s="42">
        <f>VLOOKUP(A98,All!A:AM,11,0)</f>
        <v>44480.504861111098</v>
      </c>
      <c r="D98" s="5"/>
      <c r="E98" s="17">
        <f>VLOOKUP(A98,All!A:AM,30,0)</f>
        <v>-21.549439347604483</v>
      </c>
      <c r="F98" s="17">
        <f>VLOOKUP(A98,All!A:AM,28,0)</f>
        <v>-1.0569999999999999</v>
      </c>
      <c r="G98" s="17">
        <f>VLOOKUP(A98,All!A:AM,31,0)</f>
        <v>-2.7178360683981575</v>
      </c>
      <c r="H98" s="17">
        <f>VLOOKUP(A98,All!A:AM,29,0)</f>
        <v>-0.15775000000000006</v>
      </c>
      <c r="I98" s="6">
        <f>VLOOKUP(A98,All!A:AM,33,0)</f>
        <v>-15.007716049382715</v>
      </c>
      <c r="J98" s="6">
        <f>VLOOKUP(A98,All!A:AM,32,0)</f>
        <v>-0.77800000000000002</v>
      </c>
      <c r="K98" s="20" t="e">
        <f>VLOOKUP(A98,All!A:AM,39,0)</f>
        <v>#DIV/0!</v>
      </c>
      <c r="L98" s="20">
        <f>VLOOKUP(A98,All!A:AM,38,0)</f>
        <v>-5.9619999999999997</v>
      </c>
      <c r="M98" s="97">
        <f>VLOOKUP(A98,'SYS Allocations'!A:G,2,0)</f>
        <v>0</v>
      </c>
      <c r="N98" s="97">
        <f>VLOOKUP(A98,'SYS Allocations'!A:G,3,0)</f>
        <v>0</v>
      </c>
      <c r="O98" s="97">
        <f>VLOOKUP(A98,'SYS Allocations'!A:G,4,0)</f>
        <v>0</v>
      </c>
      <c r="P98" s="97">
        <f>VLOOKUP(A98,'SYS Allocations'!A:G,5,0)</f>
        <v>0</v>
      </c>
      <c r="Q98" s="97">
        <f>VLOOKUP(A98,'SYS Allocations'!A:G,6,0)</f>
        <v>0</v>
      </c>
      <c r="R98" s="12">
        <f>VLOOKUP(A98,'SYS Allocations'!A:G,7,0)</f>
        <v>4</v>
      </c>
    </row>
    <row r="99" spans="1:18" hidden="1">
      <c r="A99" s="35" t="s">
        <v>115</v>
      </c>
      <c r="B99" s="41" t="str">
        <f>VLOOKUP(A99,All!A:AM,2,0)</f>
        <v>NORTH EAST</v>
      </c>
      <c r="C99" s="42">
        <f>VLOOKUP(A99,All!A:AM,11,0)</f>
        <v>44879</v>
      </c>
      <c r="D99" s="5"/>
      <c r="E99" s="17">
        <f>VLOOKUP(A99,All!A:AM,30,0)</f>
        <v>27.370030581039757</v>
      </c>
      <c r="F99" s="17">
        <f>VLOOKUP(A99,All!A:AM,28,0)</f>
        <v>0.78760000000000008</v>
      </c>
      <c r="G99" s="17">
        <f>VLOOKUP(A99,All!A:AM,31,0)</f>
        <v>8.6937527304499813</v>
      </c>
      <c r="H99" s="17">
        <f>VLOOKUP(A99,All!A:AM,29,0)</f>
        <v>0.19900000000000007</v>
      </c>
      <c r="I99" s="6">
        <f>VLOOKUP(A99,All!A:AM,33,0)</f>
        <v>28.643614115590516</v>
      </c>
      <c r="J99" s="6">
        <f>VLOOKUP(A99,All!A:AM,32,0)</f>
        <v>0.83895999999999993</v>
      </c>
      <c r="K99" s="20">
        <f>VLOOKUP(A99,All!A:AM,39,0)</f>
        <v>38.074074074074076</v>
      </c>
      <c r="L99" s="20">
        <f>VLOOKUP(A99,All!A:AM,38,0)</f>
        <v>1.2850000000000001</v>
      </c>
      <c r="M99" s="97">
        <f>VLOOKUP(A99,'SYS Allocations'!A:G,2,0)</f>
        <v>0</v>
      </c>
      <c r="N99" s="97">
        <f>VLOOKUP(A99,'SYS Allocations'!A:G,3,0)</f>
        <v>0</v>
      </c>
      <c r="O99" s="97">
        <f>VLOOKUP(A99,'SYS Allocations'!A:G,4,0)</f>
        <v>0</v>
      </c>
      <c r="P99" s="97">
        <f>VLOOKUP(A99,'SYS Allocations'!A:G,5,0)</f>
        <v>0</v>
      </c>
      <c r="Q99" s="97">
        <f>VLOOKUP(A99,'SYS Allocations'!A:G,6,0)</f>
        <v>0</v>
      </c>
      <c r="R99" s="12">
        <f>VLOOKUP(A99,'SYS Allocations'!A:G,7,0)</f>
        <v>1</v>
      </c>
    </row>
    <row r="100" spans="1:18" hidden="1">
      <c r="A100" s="35" t="s">
        <v>116</v>
      </c>
      <c r="B100" s="41" t="str">
        <f>VLOOKUP(A100,All!A:AM,2,0)</f>
        <v>SCOTLAND</v>
      </c>
      <c r="C100" s="42">
        <f>VLOOKUP(A100,All!A:AM,11,0)</f>
        <v>44431.5</v>
      </c>
      <c r="D100" s="5"/>
      <c r="E100" s="17">
        <f>VLOOKUP(A100,All!A:AM,30,0)</f>
        <v>18.666666666666668</v>
      </c>
      <c r="F100" s="17">
        <f>VLOOKUP(A100,All!A:AM,28,0)</f>
        <v>3.052</v>
      </c>
      <c r="G100" s="17">
        <f>VLOOKUP(A100,All!A:AM,31,0)</f>
        <v>-19.024390243902442</v>
      </c>
      <c r="H100" s="17">
        <f>VLOOKUP(A100,All!A:AM,29,0)</f>
        <v>-2.1255000000000002</v>
      </c>
      <c r="I100" s="6">
        <f>VLOOKUP(A100,All!A:AM,33,0)</f>
        <v>7.8371035706365051</v>
      </c>
      <c r="J100" s="6">
        <f>VLOOKUP(A100,All!A:AM,32,0)</f>
        <v>1.1308</v>
      </c>
      <c r="K100" s="20">
        <f>VLOOKUP(A100,All!A:AM,39,0)</f>
        <v>-77.306666666666672</v>
      </c>
      <c r="L100" s="20">
        <f>VLOOKUP(A100,All!A:AM,38,0)</f>
        <v>-5.798</v>
      </c>
      <c r="M100" s="97">
        <f>VLOOKUP(A100,'SYS Allocations'!A:G,2,0)</f>
        <v>0</v>
      </c>
      <c r="N100" s="97">
        <f>VLOOKUP(A100,'SYS Allocations'!A:G,3,0)</f>
        <v>0</v>
      </c>
      <c r="O100" s="97">
        <f>VLOOKUP(A100,'SYS Allocations'!A:G,4,0)</f>
        <v>0</v>
      </c>
      <c r="P100" s="97">
        <f>VLOOKUP(A100,'SYS Allocations'!A:G,5,0)</f>
        <v>0</v>
      </c>
      <c r="Q100" s="97">
        <f>VLOOKUP(A100,'SYS Allocations'!A:G,6,0)</f>
        <v>0</v>
      </c>
      <c r="R100" s="12">
        <f>VLOOKUP(A100,'SYS Allocations'!A:G,7,0)</f>
        <v>0</v>
      </c>
    </row>
    <row r="101" spans="1:18" hidden="1">
      <c r="A101" s="38" t="s">
        <v>117</v>
      </c>
      <c r="B101" s="41" t="str">
        <f>VLOOKUP(A101,All!A:AM,2,0)</f>
        <v>SCOTLAND</v>
      </c>
      <c r="C101" s="42">
        <f>VLOOKUP(A101,All!A:AM,11,0)</f>
        <v>45264</v>
      </c>
      <c r="D101" s="5"/>
      <c r="E101" s="17">
        <f>VLOOKUP(A101,All!A:AM,30,0)</f>
        <v>42.16561643457203</v>
      </c>
      <c r="F101" s="17">
        <f>VLOOKUP(A101,All!A:AM,28,0)</f>
        <v>32.970240000000004</v>
      </c>
      <c r="G101" s="17">
        <f>VLOOKUP(A101,All!A:AM,31,0)</f>
        <v>16.472572187446314</v>
      </c>
      <c r="H101" s="17">
        <f>VLOOKUP(A101,All!A:AM,29,0)</f>
        <v>8.9182999999999986</v>
      </c>
      <c r="I101" s="6">
        <f>VLOOKUP(A101,All!A:AM,33,0)</f>
        <v>36.403064668556951</v>
      </c>
      <c r="J101" s="6">
        <f>VLOOKUP(A101,All!A:AM,32,0)</f>
        <v>25.8852000000002</v>
      </c>
      <c r="K101" s="20">
        <f>VLOOKUP(A101,All!A:AM,39,0)</f>
        <v>49.753333333333337</v>
      </c>
      <c r="L101" s="20">
        <f>VLOOKUP(A101,All!A:AM,38,0)</f>
        <v>44.778000000000006</v>
      </c>
      <c r="M101" s="97">
        <f>VLOOKUP(A101,'SYS Allocations'!A:G,2,0)</f>
        <v>0</v>
      </c>
      <c r="N101" s="97" t="str">
        <f>VLOOKUP(A101,'SYS Allocations'!A:G,3,0)</f>
        <v>RA</v>
      </c>
      <c r="O101" s="97" t="str">
        <f>VLOOKUP(A101,'SYS Allocations'!A:G,4,0)</f>
        <v>PX</v>
      </c>
      <c r="P101" s="97">
        <f>VLOOKUP(A101,'SYS Allocations'!A:G,5,0)</f>
        <v>0</v>
      </c>
      <c r="Q101" s="97" t="str">
        <f>VLOOKUP(A101,'SYS Allocations'!A:G,6,0)</f>
        <v>OPEX</v>
      </c>
      <c r="R101" s="12">
        <f>VLOOKUP(A101,'SYS Allocations'!A:G,7,0)</f>
        <v>22.55</v>
      </c>
    </row>
    <row r="102" spans="1:18" hidden="1">
      <c r="A102" s="38" t="s">
        <v>118</v>
      </c>
      <c r="B102" s="41" t="str">
        <f>VLOOKUP(A102,All!A:AM,2,0)</f>
        <v>SCOTLAND</v>
      </c>
      <c r="C102" s="42">
        <f>VLOOKUP(A102,All!A:AM,11,0)</f>
        <v>45264</v>
      </c>
      <c r="D102" s="5"/>
      <c r="E102" s="17">
        <f>VLOOKUP(A102,All!A:AM,30,0)</f>
        <v>35.974464985272192</v>
      </c>
      <c r="F102" s="17">
        <f>VLOOKUP(A102,All!A:AM,28,0)</f>
        <v>28.129239999999999</v>
      </c>
      <c r="G102" s="17">
        <f>VLOOKUP(A102,All!A:AM,31,0)</f>
        <v>7.5309889306117634</v>
      </c>
      <c r="H102" s="17">
        <f>VLOOKUP(A102,All!A:AM,29,0)</f>
        <v>4.077300000000001</v>
      </c>
      <c r="I102" s="6">
        <f>VLOOKUP(A102,All!A:AM,33,0)</f>
        <v>29.595033976868923</v>
      </c>
      <c r="J102" s="6">
        <f>VLOOKUP(A102,All!A:AM,32,0)</f>
        <v>21.044200000000199</v>
      </c>
      <c r="K102" s="20">
        <f>VLOOKUP(A102,All!A:AM,39,0)</f>
        <v>44.374444444444443</v>
      </c>
      <c r="L102" s="20">
        <f>VLOOKUP(A102,All!A:AM,38,0)</f>
        <v>39.936999999999998</v>
      </c>
      <c r="M102" s="97">
        <f>VLOOKUP(A102,'SYS Allocations'!A:G,2,0)</f>
        <v>0</v>
      </c>
      <c r="N102" s="97">
        <f>VLOOKUP(A102,'SYS Allocations'!A:G,3,0)</f>
        <v>0</v>
      </c>
      <c r="O102" s="97">
        <f>VLOOKUP(A102,'SYS Allocations'!A:G,4,0)</f>
        <v>0</v>
      </c>
      <c r="P102" s="97">
        <f>VLOOKUP(A102,'SYS Allocations'!A:G,5,0)</f>
        <v>0</v>
      </c>
      <c r="Q102" s="97">
        <f>VLOOKUP(A102,'SYS Allocations'!A:G,6,0)</f>
        <v>0</v>
      </c>
      <c r="R102" s="12">
        <f>VLOOKUP(A102,'SYS Allocations'!A:G,7,0)</f>
        <v>22.05</v>
      </c>
    </row>
    <row r="103" spans="1:18" hidden="1">
      <c r="A103" s="37" t="s">
        <v>119</v>
      </c>
      <c r="B103" s="41" t="str">
        <f>VLOOKUP(A103,All!A:AM,2,0)</f>
        <v>SCOTLAND</v>
      </c>
      <c r="C103" s="42">
        <f>VLOOKUP(A103,All!A:AM,11,0)</f>
        <v>45264</v>
      </c>
      <c r="D103" s="19"/>
      <c r="E103" s="17">
        <f>VLOOKUP(A103,All!A:AM,30,0)</f>
        <v>41.808444817791532</v>
      </c>
      <c r="F103" s="17">
        <f>VLOOKUP(A103,All!A:AM,28,0)</f>
        <v>27.353659999999998</v>
      </c>
      <c r="G103" s="17">
        <f>VLOOKUP(A103,All!A:AM,31,0)</f>
        <v>31.045505710060588</v>
      </c>
      <c r="H103" s="17">
        <f>VLOOKUP(A103,All!A:AM,29,0)</f>
        <v>17.141449999999999</v>
      </c>
      <c r="I103" s="6">
        <f>VLOOKUP(A103,All!A:AM,33,0)</f>
        <v>12.045122717527908</v>
      </c>
      <c r="J103" s="6">
        <f>VLOOKUP(A103,All!A:AM,32,0)</f>
        <v>5.2139000000000006</v>
      </c>
      <c r="K103" s="330">
        <f>VLOOKUP(A103,All!A:AM,39,0)</f>
        <v>-16.061481481481476</v>
      </c>
      <c r="L103" s="330">
        <f>VLOOKUP(A103,All!A:AM,38,0)</f>
        <v>-10.841499999999996</v>
      </c>
      <c r="M103" s="97" t="str">
        <f>VLOOKUP(A103,'SYS Allocations'!A:G,2,0)</f>
        <v>P-Core</v>
      </c>
      <c r="N103" s="97">
        <f>VLOOKUP(A103,'SYS Allocations'!A:G,3,0)</f>
        <v>0</v>
      </c>
      <c r="O103" s="97">
        <f>VLOOKUP(A103,'SYS Allocations'!A:G,4,0)</f>
        <v>0</v>
      </c>
      <c r="P103" s="97">
        <f>VLOOKUP(A103,'SYS Allocations'!A:G,5,0)</f>
        <v>0</v>
      </c>
      <c r="Q103" s="97">
        <f>VLOOKUP(A103,'SYS Allocations'!A:G,6,0)</f>
        <v>0</v>
      </c>
      <c r="R103" s="12">
        <f>VLOOKUP(A103,'SYS Allocations'!A:G,7,0)</f>
        <v>8.7515000000000001</v>
      </c>
    </row>
    <row r="104" spans="1:18" hidden="1">
      <c r="A104" s="37" t="s">
        <v>120</v>
      </c>
      <c r="B104" s="41" t="str">
        <f>VLOOKUP(A104,All!A:AM,2,0)</f>
        <v>SCOTLAND</v>
      </c>
      <c r="C104" s="42">
        <f>VLOOKUP(A104,All!A:AM,11,0)</f>
        <v>45264</v>
      </c>
      <c r="D104" s="19"/>
      <c r="E104" s="17">
        <f>VLOOKUP(A104,All!A:AM,30,0)</f>
        <v>38.451225014581325</v>
      </c>
      <c r="F104" s="17">
        <f>VLOOKUP(A104,All!A:AM,28,0)</f>
        <v>25.157160000000001</v>
      </c>
      <c r="G104" s="17">
        <f>VLOOKUP(A104,All!A:AM,31,0)</f>
        <v>27.06734439394392</v>
      </c>
      <c r="H104" s="17">
        <f>VLOOKUP(A104,All!A:AM,29,0)</f>
        <v>14.944949999999999</v>
      </c>
      <c r="I104" s="6">
        <f>VLOOKUP(A104,All!A:AM,33,0)</f>
        <v>6.9707806609004219</v>
      </c>
      <c r="J104" s="6">
        <f>VLOOKUP(A104,All!A:AM,32,0)</f>
        <v>3.0174000000000003</v>
      </c>
      <c r="K104" s="331"/>
      <c r="L104" s="331"/>
      <c r="M104" s="97">
        <f>VLOOKUP(A104,'SYS Allocations'!A:G,2,0)</f>
        <v>0</v>
      </c>
      <c r="N104" s="97">
        <f>VLOOKUP(A104,'SYS Allocations'!A:G,3,0)</f>
        <v>0</v>
      </c>
      <c r="O104" s="97">
        <f>VLOOKUP(A104,'SYS Allocations'!A:G,4,0)</f>
        <v>0</v>
      </c>
      <c r="P104" s="97">
        <f>VLOOKUP(A104,'SYS Allocations'!A:G,5,0)</f>
        <v>0</v>
      </c>
      <c r="Q104" s="97">
        <f>VLOOKUP(A104,'SYS Allocations'!A:G,6,0)</f>
        <v>0</v>
      </c>
      <c r="R104" s="12">
        <f>VLOOKUP(A104,'SYS Allocations'!A:G,7,0)</f>
        <v>6.7515000000000001</v>
      </c>
    </row>
    <row r="105" spans="1:18" hidden="1">
      <c r="A105" s="35" t="s">
        <v>121</v>
      </c>
      <c r="B105" s="41" t="str">
        <f>VLOOKUP(A105,All!A:AM,2,0)</f>
        <v>SCOTLAND</v>
      </c>
      <c r="C105" s="42">
        <f>VLOOKUP(A105,All!A:AM,11,0)</f>
        <v>44564.340277777803</v>
      </c>
      <c r="D105" s="5"/>
      <c r="E105" s="17">
        <f>VLOOKUP(A105,All!A:AM,30,0)</f>
        <v>26.279306829765545</v>
      </c>
      <c r="F105" s="17">
        <f>VLOOKUP(A105,All!A:AM,28,0)</f>
        <v>1.2890000000000001</v>
      </c>
      <c r="G105" s="17">
        <f>VLOOKUP(A105,All!A:AM,31,0)</f>
        <v>37.700822673041309</v>
      </c>
      <c r="H105" s="17">
        <f>VLOOKUP(A105,All!A:AM,29,0)</f>
        <v>2.18825</v>
      </c>
      <c r="I105" s="6">
        <f>VLOOKUP(A105,All!A:AM,33,0)</f>
        <v>30.246913580246911</v>
      </c>
      <c r="J105" s="6">
        <f>VLOOKUP(A105,All!A:AM,32,0)</f>
        <v>1.5680000000000001</v>
      </c>
      <c r="K105" s="20">
        <f>VLOOKUP(A105,All!A:AM,39,0)</f>
        <v>28.03980099502488</v>
      </c>
      <c r="L105" s="20">
        <f>VLOOKUP(A105,All!A:AM,38,0)</f>
        <v>1.4090000000000003</v>
      </c>
      <c r="M105" s="97">
        <f>VLOOKUP(A105,'SYS Allocations'!A:G,2,0)</f>
        <v>0</v>
      </c>
      <c r="N105" s="97">
        <f>VLOOKUP(A105,'SYS Allocations'!A:G,3,0)</f>
        <v>0</v>
      </c>
      <c r="O105" s="97">
        <f>VLOOKUP(A105,'SYS Allocations'!A:G,4,0)</f>
        <v>0</v>
      </c>
      <c r="P105" s="97">
        <f>VLOOKUP(A105,'SYS Allocations'!A:G,5,0)</f>
        <v>0</v>
      </c>
      <c r="Q105" s="97">
        <f>VLOOKUP(A105,'SYS Allocations'!A:G,6,0)</f>
        <v>0</v>
      </c>
      <c r="R105" s="12">
        <f>VLOOKUP(A105,'SYS Allocations'!A:G,7,0)</f>
        <v>1</v>
      </c>
    </row>
    <row r="106" spans="1:18" hidden="1">
      <c r="A106" s="35" t="s">
        <v>122</v>
      </c>
      <c r="B106" s="41" t="str">
        <f>VLOOKUP(A106,All!A:AM,2,0)</f>
        <v>MIDLANDS</v>
      </c>
      <c r="C106" s="42">
        <f>VLOOKUP(A106,All!A:AM,11,0)</f>
        <v>45264</v>
      </c>
      <c r="D106" s="5"/>
      <c r="E106" s="17">
        <f>VLOOKUP(A106,All!A:AM,30,0)</f>
        <v>72.10185115556223</v>
      </c>
      <c r="F106" s="17">
        <f>VLOOKUP(A106,All!A:AM,28,0)</f>
        <v>9.20458</v>
      </c>
      <c r="G106" s="17">
        <f>VLOOKUP(A106,All!A:AM,31,0)</f>
        <v>62.400101350281346</v>
      </c>
      <c r="H106" s="17">
        <f>VLOOKUP(A106,All!A:AM,29,0)</f>
        <v>5.9105999999999996</v>
      </c>
      <c r="I106" s="6">
        <f>VLOOKUP(A106,All!A:AM,33,0)</f>
        <v>64.768320671098252</v>
      </c>
      <c r="J106" s="6">
        <f>VLOOKUP(A106,All!A:AM,32,0)</f>
        <v>6.5472999999999804</v>
      </c>
      <c r="K106" s="20">
        <f>VLOOKUP(A106,All!A:AM,39,0)</f>
        <v>68.342222222222219</v>
      </c>
      <c r="L106" s="20">
        <f>VLOOKUP(A106,All!A:AM,38,0)</f>
        <v>7.6884999999999994</v>
      </c>
      <c r="M106" s="97">
        <f>VLOOKUP(A106,'SYS Allocations'!A:G,2,0)</f>
        <v>0</v>
      </c>
      <c r="N106" s="97">
        <f>VLOOKUP(A106,'SYS Allocations'!A:G,3,0)</f>
        <v>0</v>
      </c>
      <c r="O106" s="97">
        <f>VLOOKUP(A106,'SYS Allocations'!A:G,4,0)</f>
        <v>0</v>
      </c>
      <c r="P106" s="97">
        <f>VLOOKUP(A106,'SYS Allocations'!A:G,5,0)</f>
        <v>0</v>
      </c>
      <c r="Q106" s="97">
        <f>VLOOKUP(A106,'SYS Allocations'!A:G,6,0)</f>
        <v>0</v>
      </c>
      <c r="R106" s="12">
        <f>VLOOKUP(A106,'SYS Allocations'!A:G,7,0)</f>
        <v>1</v>
      </c>
    </row>
    <row r="107" spans="1:18" hidden="1">
      <c r="A107" s="35" t="s">
        <v>123</v>
      </c>
      <c r="B107" s="41" t="str">
        <f>VLOOKUP(A107,All!A:AM,2,0)</f>
        <v>SOUTH WEST</v>
      </c>
      <c r="C107" s="42">
        <f>VLOOKUP(A107,All!A:AM,11,0)</f>
        <v>44419.5</v>
      </c>
      <c r="D107" s="5"/>
      <c r="E107" s="17">
        <f>VLOOKUP(A107,All!A:AM,30,0)</f>
        <v>48.761276205473919</v>
      </c>
      <c r="F107" s="17">
        <f>VLOOKUP(A107,All!A:AM,28,0)</f>
        <v>13.227920000000001</v>
      </c>
      <c r="G107" s="17">
        <f>VLOOKUP(A107,All!A:AM,31,0)</f>
        <v>27.171367344479432</v>
      </c>
      <c r="H107" s="17">
        <f>VLOOKUP(A107,All!A:AM,29,0)</f>
        <v>5.1859000000000002</v>
      </c>
      <c r="I107" s="6">
        <f>VLOOKUP(A107,All!A:AM,33,0)</f>
        <v>39.518936229462547</v>
      </c>
      <c r="J107" s="6">
        <f>VLOOKUP(A107,All!A:AM,32,0)</f>
        <v>9.0823999999999998</v>
      </c>
      <c r="K107" s="20">
        <f>VLOOKUP(A107,All!A:AM,39,0)</f>
        <v>72.338308457711449</v>
      </c>
      <c r="L107" s="20">
        <f>VLOOKUP(A107,All!A:AM,38,0)</f>
        <v>36.35</v>
      </c>
      <c r="M107" s="97">
        <f>VLOOKUP(A107,'SYS Allocations'!A:G,2,0)</f>
        <v>0</v>
      </c>
      <c r="N107" s="97">
        <f>VLOOKUP(A107,'SYS Allocations'!A:G,3,0)</f>
        <v>0</v>
      </c>
      <c r="O107" s="97">
        <f>VLOOKUP(A107,'SYS Allocations'!A:G,4,0)</f>
        <v>0</v>
      </c>
      <c r="P107" s="97">
        <f>VLOOKUP(A107,'SYS Allocations'!A:G,5,0)</f>
        <v>0</v>
      </c>
      <c r="Q107" s="97">
        <f>VLOOKUP(A107,'SYS Allocations'!A:G,6,0)</f>
        <v>0</v>
      </c>
      <c r="R107" s="12">
        <f>VLOOKUP(A107,'SYS Allocations'!A:G,7,0)</f>
        <v>3</v>
      </c>
    </row>
    <row r="108" spans="1:18" hidden="1">
      <c r="A108" s="38" t="s">
        <v>124</v>
      </c>
      <c r="B108" s="41" t="e">
        <f>VLOOKUP(A108,All!A:AM,2,0)</f>
        <v>#N/A</v>
      </c>
      <c r="C108" s="42" t="e">
        <f>VLOOKUP(A108,All!A:AM,11,0)</f>
        <v>#N/A</v>
      </c>
      <c r="D108" s="5"/>
      <c r="E108" s="17" t="e">
        <f>VLOOKUP(A108,All!A:AM,30,0)</f>
        <v>#N/A</v>
      </c>
      <c r="F108" s="17" t="e">
        <f>VLOOKUP(A108,All!A:AM,28,0)</f>
        <v>#N/A</v>
      </c>
      <c r="G108" s="17" t="e">
        <f>VLOOKUP(A108,All!A:AM,31,0)</f>
        <v>#N/A</v>
      </c>
      <c r="H108" s="17" t="e">
        <f>VLOOKUP(A108,All!A:AM,29,0)</f>
        <v>#N/A</v>
      </c>
      <c r="I108" s="6" t="e">
        <f>VLOOKUP(A108,All!A:AM,33,0)</f>
        <v>#N/A</v>
      </c>
      <c r="J108" s="6" t="e">
        <f>VLOOKUP(A108,All!A:AM,32,0)</f>
        <v>#N/A</v>
      </c>
      <c r="K108" s="330" t="e">
        <f>VLOOKUP(A108,All!A:AM,39,0)</f>
        <v>#N/A</v>
      </c>
      <c r="L108" s="330" t="e">
        <f>VLOOKUP(A108,All!A:AM,38,0)</f>
        <v>#N/A</v>
      </c>
      <c r="M108" s="97">
        <f>VLOOKUP(A108,'SYS Allocations'!A:G,2,0)</f>
        <v>0</v>
      </c>
      <c r="N108" s="97">
        <f>VLOOKUP(A108,'SYS Allocations'!A:G,3,0)</f>
        <v>0</v>
      </c>
      <c r="O108" s="97">
        <f>VLOOKUP(A108,'SYS Allocations'!A:G,4,0)</f>
        <v>0</v>
      </c>
      <c r="P108" s="97" t="str">
        <f>VLOOKUP(A108,'SYS Allocations'!A:G,5,0)</f>
        <v>AM</v>
      </c>
      <c r="Q108" s="97">
        <f>VLOOKUP(A108,'SYS Allocations'!A:G,6,0)</f>
        <v>0</v>
      </c>
      <c r="R108" s="12">
        <f>VLOOKUP(A108,'SYS Allocations'!A:G,7,0)</f>
        <v>5.9</v>
      </c>
    </row>
    <row r="109" spans="1:18" hidden="1">
      <c r="A109" s="38" t="s">
        <v>125</v>
      </c>
      <c r="B109" s="41" t="e">
        <f>VLOOKUP(A109,All!A:AM,2,0)</f>
        <v>#N/A</v>
      </c>
      <c r="C109" s="42" t="e">
        <f>VLOOKUP(A109,All!A:AM,11,0)</f>
        <v>#N/A</v>
      </c>
      <c r="D109" s="5"/>
      <c r="E109" s="17" t="e">
        <f>VLOOKUP(A109,All!A:AM,30,0)</f>
        <v>#N/A</v>
      </c>
      <c r="F109" s="17" t="e">
        <f>VLOOKUP(A109,All!A:AM,28,0)</f>
        <v>#N/A</v>
      </c>
      <c r="G109" s="17" t="e">
        <f>VLOOKUP(A109,All!A:AM,31,0)</f>
        <v>#N/A</v>
      </c>
      <c r="H109" s="17" t="e">
        <f>VLOOKUP(A109,All!A:AM,29,0)</f>
        <v>#N/A</v>
      </c>
      <c r="I109" s="6" t="e">
        <f>VLOOKUP(A109,All!A:AM,33,0)</f>
        <v>#N/A</v>
      </c>
      <c r="J109" s="6" t="e">
        <f>VLOOKUP(A109,All!A:AM,32,0)</f>
        <v>#N/A</v>
      </c>
      <c r="K109" s="331"/>
      <c r="L109" s="331"/>
      <c r="M109" s="97">
        <f>VLOOKUP(A109,'SYS Allocations'!A:G,2,0)</f>
        <v>0</v>
      </c>
      <c r="N109" s="97">
        <f>VLOOKUP(A109,'SYS Allocations'!A:G,3,0)</f>
        <v>0</v>
      </c>
      <c r="O109" s="97">
        <f>VLOOKUP(A109,'SYS Allocations'!A:G,4,0)</f>
        <v>0</v>
      </c>
      <c r="P109" s="97">
        <f>VLOOKUP(A109,'SYS Allocations'!A:G,5,0)</f>
        <v>0</v>
      </c>
      <c r="Q109" s="97">
        <f>VLOOKUP(A109,'SYS Allocations'!A:G,6,0)</f>
        <v>0</v>
      </c>
      <c r="R109" s="12">
        <f>VLOOKUP(A109,'SYS Allocations'!A:G,7,0)</f>
        <v>5.9</v>
      </c>
    </row>
    <row r="110" spans="1:18" hidden="1">
      <c r="A110" s="35" t="s">
        <v>126</v>
      </c>
      <c r="B110" s="41" t="str">
        <f>VLOOKUP(A110,All!A:AM,2,0)</f>
        <v>SOUTH EAST</v>
      </c>
      <c r="C110" s="42">
        <f>VLOOKUP(A110,All!A:AM,11,0)</f>
        <v>44286.375</v>
      </c>
      <c r="D110" s="5"/>
      <c r="E110" s="17">
        <f>VLOOKUP(A110,All!A:AM,30,0)</f>
        <v>73.935864250790914</v>
      </c>
      <c r="F110" s="17">
        <f>VLOOKUP(A110,All!A:AM,28,0)</f>
        <v>22.41694</v>
      </c>
      <c r="G110" s="17">
        <f>VLOOKUP(A110,All!A:AM,31,0)</f>
        <v>63.328275164390497</v>
      </c>
      <c r="H110" s="17">
        <f>VLOOKUP(A110,All!A:AM,29,0)</f>
        <v>13.646800000000001</v>
      </c>
      <c r="I110" s="6">
        <f>VLOOKUP(A110,All!A:AM,33,0)</f>
        <v>70.351986913980426</v>
      </c>
      <c r="J110" s="6">
        <f>VLOOKUP(A110,All!A:AM,32,0)</f>
        <v>18.751899999999999</v>
      </c>
      <c r="K110" s="20">
        <f>VLOOKUP(A110,All!A:AM,39,0)</f>
        <v>64.87777777777778</v>
      </c>
      <c r="L110" s="20">
        <f>VLOOKUP(A110,All!A:AM,38,0)</f>
        <v>14.5975</v>
      </c>
      <c r="M110" s="97">
        <f>VLOOKUP(A110,'SYS Allocations'!A:G,2,0)</f>
        <v>0</v>
      </c>
      <c r="N110" s="97">
        <f>VLOOKUP(A110,'SYS Allocations'!A:G,3,0)</f>
        <v>0</v>
      </c>
      <c r="O110" s="97">
        <f>VLOOKUP(A110,'SYS Allocations'!A:G,4,0)</f>
        <v>0</v>
      </c>
      <c r="P110" s="97">
        <f>VLOOKUP(A110,'SYS Allocations'!A:G,5,0)</f>
        <v>0</v>
      </c>
      <c r="Q110" s="97">
        <f>VLOOKUP(A110,'SYS Allocations'!A:G,6,0)</f>
        <v>0</v>
      </c>
      <c r="R110" s="12">
        <f>VLOOKUP(A110,'SYS Allocations'!A:G,7,0)</f>
        <v>0</v>
      </c>
    </row>
    <row r="111" spans="1:18" hidden="1">
      <c r="A111" s="35" t="s">
        <v>127</v>
      </c>
      <c r="B111" s="41" t="str">
        <f>VLOOKUP(A111,All!A:AM,2,0)</f>
        <v>NORTH EAST</v>
      </c>
      <c r="C111" s="42">
        <f>VLOOKUP(A111,All!A:AM,11,0)</f>
        <v>44700.395833333299</v>
      </c>
      <c r="D111" s="5"/>
      <c r="E111" s="17">
        <f>VLOOKUP(A111,All!A:AM,30,0)</f>
        <v>85.227272727272734</v>
      </c>
      <c r="F111" s="17">
        <f>VLOOKUP(A111,All!A:AM,28,0)</f>
        <v>4.0875000000000004</v>
      </c>
      <c r="G111" s="17">
        <f>VLOOKUP(A111,All!A:AM,31,0)</f>
        <v>81.428571428571431</v>
      </c>
      <c r="H111" s="17">
        <f>VLOOKUP(A111,All!A:AM,29,0)</f>
        <v>3.1065</v>
      </c>
      <c r="I111" s="6">
        <f>VLOOKUP(A111,All!A:AM,33,0)</f>
        <v>81.192129629629619</v>
      </c>
      <c r="J111" s="6">
        <f>VLOOKUP(A111,All!A:AM,32,0)</f>
        <v>3.0585399999999998</v>
      </c>
      <c r="K111" s="20">
        <f>VLOOKUP(A111,All!A:AM,39,0)</f>
        <v>85.900497512437809</v>
      </c>
      <c r="L111" s="20">
        <f>VLOOKUP(A111,All!A:AM,38,0)</f>
        <v>4.3165000000000004</v>
      </c>
      <c r="M111" s="97">
        <f>VLOOKUP(A111,'SYS Allocations'!A:G,2,0)</f>
        <v>0</v>
      </c>
      <c r="N111" s="97">
        <f>VLOOKUP(A111,'SYS Allocations'!A:G,3,0)</f>
        <v>0</v>
      </c>
      <c r="O111" s="97">
        <f>VLOOKUP(A111,'SYS Allocations'!A:G,4,0)</f>
        <v>0</v>
      </c>
      <c r="P111" s="97">
        <f>VLOOKUP(A111,'SYS Allocations'!A:G,5,0)</f>
        <v>0</v>
      </c>
      <c r="Q111" s="97">
        <f>VLOOKUP(A111,'SYS Allocations'!A:G,6,0)</f>
        <v>0</v>
      </c>
      <c r="R111" s="12">
        <f>VLOOKUP(A111,'SYS Allocations'!A:G,7,0)</f>
        <v>0</v>
      </c>
    </row>
    <row r="112" spans="1:18" hidden="1">
      <c r="A112" s="35" t="s">
        <v>128</v>
      </c>
      <c r="B112" s="41" t="str">
        <f>VLOOKUP(A112,All!A:AM,2,0)</f>
        <v>THAMES VALLEY</v>
      </c>
      <c r="C112" s="42">
        <f>VLOOKUP(A112,All!A:AM,11,0)</f>
        <v>45264</v>
      </c>
      <c r="D112" s="5"/>
      <c r="E112" s="17">
        <f>VLOOKUP(A112,All!A:AM,30,0)</f>
        <v>72.10837887067396</v>
      </c>
      <c r="F112" s="17">
        <f>VLOOKUP(A112,All!A:AM,28,0)</f>
        <v>6.9040600000000003</v>
      </c>
      <c r="G112" s="17">
        <f>VLOOKUP(A112,All!A:AM,31,0)</f>
        <v>68.508997429305921</v>
      </c>
      <c r="H112" s="17">
        <f>VLOOKUP(A112,All!A:AM,29,0)</f>
        <v>5.8097000000000003</v>
      </c>
      <c r="I112" s="6">
        <f>VLOOKUP(A112,All!A:AM,33,0)</f>
        <v>65.809109718125242</v>
      </c>
      <c r="J112" s="6">
        <f>VLOOKUP(A112,All!A:AM,32,0)</f>
        <v>5.1400600000000098</v>
      </c>
      <c r="K112" s="20">
        <f>VLOOKUP(A112,All!A:AM,39,0)</f>
        <v>76.262222222222221</v>
      </c>
      <c r="L112" s="20">
        <f>VLOOKUP(A112,All!A:AM,38,0)</f>
        <v>8.5794999999999995</v>
      </c>
      <c r="M112" s="97">
        <f>VLOOKUP(A112,'SYS Allocations'!A:G,2,0)</f>
        <v>0</v>
      </c>
      <c r="N112" s="97">
        <f>VLOOKUP(A112,'SYS Allocations'!A:G,3,0)</f>
        <v>0</v>
      </c>
      <c r="O112" s="97">
        <f>VLOOKUP(A112,'SYS Allocations'!A:G,4,0)</f>
        <v>0</v>
      </c>
      <c r="P112" s="97">
        <f>VLOOKUP(A112,'SYS Allocations'!A:G,5,0)</f>
        <v>0</v>
      </c>
      <c r="Q112" s="97">
        <f>VLOOKUP(A112,'SYS Allocations'!A:G,6,0)</f>
        <v>0</v>
      </c>
      <c r="R112" s="12">
        <f>VLOOKUP(A112,'SYS Allocations'!A:G,7,0)</f>
        <v>0</v>
      </c>
    </row>
    <row r="113" spans="1:18" hidden="1">
      <c r="A113" s="37" t="s">
        <v>129</v>
      </c>
      <c r="B113" s="41" t="str">
        <f>VLOOKUP(A113,All!A:AM,2,0)</f>
        <v>SOUTH WEST</v>
      </c>
      <c r="C113" s="42">
        <f>VLOOKUP(A113,All!A:AM,11,0)</f>
        <v>45264</v>
      </c>
      <c r="D113" s="5"/>
      <c r="E113" s="17">
        <f>VLOOKUP(A113,All!A:AM,30,0)</f>
        <v>73.831388473572616</v>
      </c>
      <c r="F113" s="17">
        <f>VLOOKUP(A113,All!A:AM,28,0)</f>
        <v>20.028919999999999</v>
      </c>
      <c r="G113" s="17">
        <f>VLOOKUP(A113,All!A:AM,31,0)</f>
        <v>68.852969695374242</v>
      </c>
      <c r="H113" s="17">
        <f>VLOOKUP(A113,All!A:AM,29,0)</f>
        <v>15.6929</v>
      </c>
      <c r="I113" s="6">
        <f>VLOOKUP(A113,All!A:AM,33,0)</f>
        <v>59.223646723646716</v>
      </c>
      <c r="J113" s="6">
        <f>VLOOKUP(A113,All!A:AM,32,0)</f>
        <v>10.310599999999999</v>
      </c>
      <c r="K113" s="20">
        <f>VLOOKUP(A113,All!A:AM,39,0)</f>
        <v>86.838666666666668</v>
      </c>
      <c r="L113" s="20">
        <f>VLOOKUP(A113,All!A:AM,38,0)</f>
        <v>97.6935</v>
      </c>
      <c r="M113" s="97">
        <f>VLOOKUP(A113,'SYS Allocations'!A:G,2,0)</f>
        <v>0</v>
      </c>
      <c r="N113" s="97">
        <f>VLOOKUP(A113,'SYS Allocations'!A:G,3,0)</f>
        <v>0</v>
      </c>
      <c r="O113" s="97">
        <f>VLOOKUP(A113,'SYS Allocations'!A:G,4,0)</f>
        <v>0</v>
      </c>
      <c r="P113" s="97" t="str">
        <f>VLOOKUP(A113,'SYS Allocations'!A:G,5,0)</f>
        <v>AM</v>
      </c>
      <c r="Q113" s="97">
        <f>VLOOKUP(A113,'SYS Allocations'!A:G,6,0)</f>
        <v>0</v>
      </c>
      <c r="R113" s="12">
        <f>VLOOKUP(A113,'SYS Allocations'!A:G,7,0)</f>
        <v>5.9</v>
      </c>
    </row>
    <row r="114" spans="1:18" hidden="1">
      <c r="A114" s="101" t="s">
        <v>130</v>
      </c>
      <c r="B114" s="41" t="str">
        <f>VLOOKUP(A114,All!A:AM,2,0)</f>
        <v>SOUTH WEST</v>
      </c>
      <c r="C114" s="42">
        <f>VLOOKUP(A114,All!A:AM,11,0)</f>
        <v>45264</v>
      </c>
      <c r="D114" s="5"/>
      <c r="E114" s="17">
        <f>VLOOKUP(A114,All!A:AM,30,0)</f>
        <v>71.588311967891386</v>
      </c>
      <c r="F114" s="17">
        <f>VLOOKUP(A114,All!A:AM,28,0)</f>
        <v>19.42042</v>
      </c>
      <c r="G114" s="17">
        <f>VLOOKUP(A114,All!A:AM,31,0)</f>
        <v>66.18316156178291</v>
      </c>
      <c r="H114" s="17">
        <f>VLOOKUP(A114,All!A:AM,29,0)</f>
        <v>15.084399999999999</v>
      </c>
      <c r="I114" s="6">
        <f>VLOOKUP(A114,All!A:AM,33,0)</f>
        <v>55.728448671997064</v>
      </c>
      <c r="J114" s="6">
        <f>VLOOKUP(A114,All!A:AM,32,0)</f>
        <v>9.7021000000000015</v>
      </c>
      <c r="K114" s="20">
        <f>VLOOKUP(A114,All!A:AM,39,0)</f>
        <v>0</v>
      </c>
      <c r="L114" s="20">
        <f>VLOOKUP(A114,All!A:AM,38,0)</f>
        <v>0</v>
      </c>
      <c r="M114" s="97">
        <f>VLOOKUP(A114,'SYS Allocations'!A:G,2,0)</f>
        <v>0</v>
      </c>
      <c r="N114" s="97">
        <f>VLOOKUP(A114,'SYS Allocations'!A:G,3,0)</f>
        <v>0</v>
      </c>
      <c r="O114" s="97">
        <f>VLOOKUP(A114,'SYS Allocations'!A:G,4,0)</f>
        <v>0</v>
      </c>
      <c r="P114" s="97">
        <f>VLOOKUP(A114,'SYS Allocations'!A:G,5,0)</f>
        <v>0</v>
      </c>
      <c r="Q114" s="97">
        <f>VLOOKUP(A114,'SYS Allocations'!A:G,6,0)</f>
        <v>0</v>
      </c>
      <c r="R114" s="12">
        <f>VLOOKUP(A114,'SYS Allocations'!A:G,7,0)</f>
        <v>5.8</v>
      </c>
    </row>
    <row r="115" spans="1:18" hidden="1">
      <c r="A115" t="s">
        <v>131</v>
      </c>
      <c r="B115" s="41" t="str">
        <f>VLOOKUP(A115,All!A:AM,2,0)</f>
        <v>SOUTH WEST</v>
      </c>
      <c r="C115" s="42">
        <f>VLOOKUP(A115,All!A:AM,11,0)</f>
        <v>45264</v>
      </c>
      <c r="D115" s="5"/>
      <c r="E115" s="17">
        <f>VLOOKUP(A115,All!A:AM,30,0)</f>
        <v>43.742964309966865</v>
      </c>
      <c r="F115" s="17">
        <f>VLOOKUP(A115,All!A:AM,28,0)</f>
        <v>15.356720000000001</v>
      </c>
      <c r="G115" s="17">
        <f>VLOOKUP(A115,All!A:AM,31,0)</f>
        <v>10.566307724354038</v>
      </c>
      <c r="H115" s="17">
        <f>VLOOKUP(A115,All!A:AM,29,0)</f>
        <v>2.3333999999999997</v>
      </c>
      <c r="I115" s="6">
        <f>VLOOKUP(A115,All!A:AM,33,0)</f>
        <v>44.450069753836459</v>
      </c>
      <c r="J115" s="6">
        <f>VLOOKUP(A115,All!A:AM,32,0)</f>
        <v>15.803600000000001</v>
      </c>
      <c r="K115" s="20">
        <f>VLOOKUP(A115,All!A:AM,39,0)</f>
        <v>56.111111111111107</v>
      </c>
      <c r="L115" s="20">
        <f>VLOOKUP(A115,All!A:AM,38,0)</f>
        <v>25.25</v>
      </c>
      <c r="M115" s="97">
        <f>VLOOKUP(A115,'SYS Allocations'!A:G,2,0)</f>
        <v>0</v>
      </c>
      <c r="N115" s="97" t="str">
        <f>VLOOKUP(A115,'SYS Allocations'!A:G,3,0)</f>
        <v>RA</v>
      </c>
      <c r="O115" s="97">
        <f>VLOOKUP(A115,'SYS Allocations'!A:G,4,0)</f>
        <v>0</v>
      </c>
      <c r="P115" s="97">
        <f>VLOOKUP(A115,'SYS Allocations'!A:G,5,0)</f>
        <v>0</v>
      </c>
      <c r="Q115" s="97">
        <f>VLOOKUP(A115,'SYS Allocations'!A:G,6,0)</f>
        <v>0</v>
      </c>
      <c r="R115" s="12">
        <f>VLOOKUP(A115,'SYS Allocations'!A:G,7,0)</f>
        <v>3.4</v>
      </c>
    </row>
    <row r="116" spans="1:18" hidden="1">
      <c r="A116" s="38" t="s">
        <v>132</v>
      </c>
      <c r="B116" s="41" t="str">
        <f>VLOOKUP(A116,All!A:AM,2,0)</f>
        <v>SOUTH</v>
      </c>
      <c r="C116" s="42">
        <f>VLOOKUP(A116,All!A:AM,11,0)</f>
        <v>45264</v>
      </c>
      <c r="D116" s="5"/>
      <c r="E116" s="17">
        <f>VLOOKUP(A116,All!A:AM,30,0)</f>
        <v>42.917017132437991</v>
      </c>
      <c r="F116" s="17">
        <f>VLOOKUP(A116,All!A:AM,28,0)</f>
        <v>18.491019999999999</v>
      </c>
      <c r="G116" s="17">
        <f>VLOOKUP(A116,All!A:AM,31,0)</f>
        <v>-16.248127088562125</v>
      </c>
      <c r="H116" s="17">
        <f>VLOOKUP(A116,All!A:AM,29,0)</f>
        <v>-3.4376000000000007</v>
      </c>
      <c r="I116" s="6">
        <f>VLOOKUP(A116,All!A:AM,33,0)</f>
        <v>53.8827760526829</v>
      </c>
      <c r="J116" s="6">
        <f>VLOOKUP(A116,All!A:AM,32,0)</f>
        <v>28.735900000000001</v>
      </c>
      <c r="K116" s="330">
        <f>VLOOKUP(A116,All!A:AM,39,0)</f>
        <v>68.307777777777787</v>
      </c>
      <c r="L116" s="330">
        <f>VLOOKUP(A116,All!A:AM,38,0)</f>
        <v>122.95400000000001</v>
      </c>
      <c r="M116" s="97">
        <f>VLOOKUP(A116,'SYS Allocations'!A:G,2,0)</f>
        <v>0</v>
      </c>
      <c r="N116" s="97" t="str">
        <f>VLOOKUP(A116,'SYS Allocations'!A:G,3,0)</f>
        <v>RA</v>
      </c>
      <c r="O116" s="97">
        <f>VLOOKUP(A116,'SYS Allocations'!A:G,4,0)</f>
        <v>0</v>
      </c>
      <c r="P116" s="97">
        <f>VLOOKUP(A116,'SYS Allocations'!A:G,5,0)</f>
        <v>0</v>
      </c>
      <c r="Q116" s="97">
        <f>VLOOKUP(A116,'SYS Allocations'!A:G,6,0)</f>
        <v>0</v>
      </c>
      <c r="R116" s="12">
        <f>VLOOKUP(A116,'SYS Allocations'!A:G,7,0)</f>
        <v>7.1000000000000005</v>
      </c>
    </row>
    <row r="117" spans="1:18" hidden="1">
      <c r="A117" s="38" t="s">
        <v>133</v>
      </c>
      <c r="B117" s="41" t="str">
        <f>VLOOKUP(A117,All!A:AM,2,0)</f>
        <v>SOUTH</v>
      </c>
      <c r="C117" s="42">
        <f>VLOOKUP(A117,All!A:AM,11,0)</f>
        <v>45264</v>
      </c>
      <c r="D117" s="19"/>
      <c r="E117" s="17">
        <f>VLOOKUP(A117,All!A:AM,30,0)</f>
        <v>24.681192196357379</v>
      </c>
      <c r="F117" s="17">
        <f>VLOOKUP(A117,All!A:AM,28,0)</f>
        <v>10.63402</v>
      </c>
      <c r="G117" s="17">
        <f>VLOOKUP(A117,All!A:AM,31,0)</f>
        <v>-53.384947700277444</v>
      </c>
      <c r="H117" s="17">
        <f>VLOOKUP(A117,All!A:AM,29,0)</f>
        <v>-11.294599999999999</v>
      </c>
      <c r="I117" s="6">
        <f>VLOOKUP(A117,All!A:AM,33,0)</f>
        <v>39.150090754991524</v>
      </c>
      <c r="J117" s="6">
        <f>VLOOKUP(A117,All!A:AM,32,0)</f>
        <v>20.878900000000002</v>
      </c>
      <c r="K117" s="331"/>
      <c r="L117" s="331"/>
      <c r="M117" s="97">
        <f>VLOOKUP(A117,'SYS Allocations'!A:G,2,0)</f>
        <v>0</v>
      </c>
      <c r="N117" s="97">
        <f>VLOOKUP(A117,'SYS Allocations'!A:G,3,0)</f>
        <v>0</v>
      </c>
      <c r="O117" s="97">
        <f>VLOOKUP(A117,'SYS Allocations'!A:G,4,0)</f>
        <v>0</v>
      </c>
      <c r="P117" s="97">
        <f>VLOOKUP(A117,'SYS Allocations'!A:G,5,0)</f>
        <v>0</v>
      </c>
      <c r="Q117" s="97">
        <f>VLOOKUP(A117,'SYS Allocations'!A:G,6,0)</f>
        <v>0</v>
      </c>
      <c r="R117" s="12">
        <f>VLOOKUP(A117,'SYS Allocations'!A:G,7,0)</f>
        <v>7</v>
      </c>
    </row>
    <row r="118" spans="1:18" hidden="1">
      <c r="A118" s="37" t="s">
        <v>134</v>
      </c>
      <c r="B118" s="41" t="str">
        <f>VLOOKUP(A118,All!A:AM,2,0)</f>
        <v>SCOTLAND</v>
      </c>
      <c r="C118" s="42">
        <f>VLOOKUP(A118,All!A:AM,11,0)</f>
        <v>45264</v>
      </c>
      <c r="D118" s="19"/>
      <c r="E118" s="17">
        <f>VLOOKUP(A118,All!A:AM,30,0)</f>
        <v>37.409015967786324</v>
      </c>
      <c r="F118" s="17">
        <f>VLOOKUP(A118,All!A:AM,28,0)</f>
        <v>31.638779999999997</v>
      </c>
      <c r="G118" s="17">
        <f>VLOOKUP(A118,All!A:AM,31,0)</f>
        <v>14.782248937927305</v>
      </c>
      <c r="H118" s="17">
        <f>VLOOKUP(A118,All!A:AM,29,0)</f>
        <v>9.1826000000000008</v>
      </c>
      <c r="I118" s="6">
        <f>VLOOKUP(A118,All!A:AM,33,0)</f>
        <v>25.553952342379038</v>
      </c>
      <c r="J118" s="6">
        <f>VLOOKUP(A118,All!A:AM,32,0)</f>
        <v>18.170700000000199</v>
      </c>
      <c r="K118" s="330" t="e">
        <f>VLOOKUP(A118,All!A:AM,39,0)</f>
        <v>#N/A</v>
      </c>
      <c r="L118" s="330" t="e">
        <f>VLOOKUP(A118,All!A:AM,38,0)</f>
        <v>#N/A</v>
      </c>
      <c r="M118" s="97" t="str">
        <f>VLOOKUP(A118,'SYS Allocations'!A:G,2,0)</f>
        <v>P-Core</v>
      </c>
      <c r="N118" s="97" t="str">
        <f>VLOOKUP(A118,'SYS Allocations'!A:G,3,0)</f>
        <v>RA</v>
      </c>
      <c r="O118" s="97" t="str">
        <f>VLOOKUP(A118,'SYS Allocations'!A:G,4,0)</f>
        <v>PX</v>
      </c>
      <c r="P118" s="97">
        <f>VLOOKUP(A118,'SYS Allocations'!A:G,5,0)</f>
        <v>0</v>
      </c>
      <c r="Q118" s="97" t="str">
        <f>VLOOKUP(A118,'SYS Allocations'!A:G,6,0)</f>
        <v>OPEX</v>
      </c>
      <c r="R118" s="12">
        <f>VLOOKUP(A118,'SYS Allocations'!A:G,7,0)</f>
        <v>9.5</v>
      </c>
    </row>
    <row r="119" spans="1:18" hidden="1">
      <c r="A119" s="37" t="s">
        <v>135</v>
      </c>
      <c r="B119" s="41" t="e">
        <f>VLOOKUP(A119,All!A:AM,2,0)</f>
        <v>#N/A</v>
      </c>
      <c r="C119" s="42" t="e">
        <f>VLOOKUP(A119,All!A:AM,11,0)</f>
        <v>#N/A</v>
      </c>
      <c r="D119" s="19"/>
      <c r="E119" s="17" t="e">
        <f>VLOOKUP(A119,All!A:AM,30,0)</f>
        <v>#N/A</v>
      </c>
      <c r="F119" s="17" t="e">
        <f>VLOOKUP(A119,All!A:AM,28,0)</f>
        <v>#N/A</v>
      </c>
      <c r="G119" s="17" t="e">
        <f>VLOOKUP(A119,All!A:AM,31,0)</f>
        <v>#N/A</v>
      </c>
      <c r="H119" s="17" t="e">
        <f>VLOOKUP(A119,All!A:AM,29,0)</f>
        <v>#N/A</v>
      </c>
      <c r="I119" s="6" t="e">
        <f>VLOOKUP(A119,All!A:AM,33,0)</f>
        <v>#N/A</v>
      </c>
      <c r="J119" s="6" t="e">
        <f>VLOOKUP(A119,All!A:AM,32,0)</f>
        <v>#N/A</v>
      </c>
      <c r="K119" s="331"/>
      <c r="L119" s="331"/>
      <c r="M119" s="97" t="e">
        <f>VLOOKUP(A119,'SYS Allocations'!A:G,2,0)</f>
        <v>#N/A</v>
      </c>
      <c r="N119" s="97" t="e">
        <f>VLOOKUP(A119,'SYS Allocations'!A:G,3,0)</f>
        <v>#N/A</v>
      </c>
      <c r="O119" s="97" t="e">
        <f>VLOOKUP(A119,'SYS Allocations'!A:G,4,0)</f>
        <v>#N/A</v>
      </c>
      <c r="P119" s="97" t="e">
        <f>VLOOKUP(A119,'SYS Allocations'!A:G,5,0)</f>
        <v>#N/A</v>
      </c>
      <c r="Q119" s="97" t="e">
        <f>VLOOKUP(A119,'SYS Allocations'!A:G,6,0)</f>
        <v>#N/A</v>
      </c>
      <c r="R119" s="12" t="e">
        <f>VLOOKUP(A119,'SYS Allocations'!A:G,7,0)</f>
        <v>#N/A</v>
      </c>
    </row>
    <row r="120" spans="1:18" hidden="1">
      <c r="A120" s="35" t="s">
        <v>136</v>
      </c>
      <c r="B120" s="41" t="str">
        <f>VLOOKUP(A120,All!A:AM,2,0)</f>
        <v>SCOTLAND</v>
      </c>
      <c r="C120" s="42">
        <f>VLOOKUP(A120,All!A:AM,11,0)</f>
        <v>45232</v>
      </c>
      <c r="D120" s="5"/>
      <c r="E120" s="17">
        <f>VLOOKUP(A120,All!A:AM,30,0)</f>
        <v>50.528623073366639</v>
      </c>
      <c r="F120" s="17">
        <f>VLOOKUP(A120,All!A:AM,28,0)</f>
        <v>14.513679999999999</v>
      </c>
      <c r="G120" s="17">
        <f>VLOOKUP(A120,All!A:AM,31,0)</f>
        <v>27.331676434189397</v>
      </c>
      <c r="H120" s="17">
        <f>VLOOKUP(A120,All!A:AM,29,0)</f>
        <v>5.3445999999999998</v>
      </c>
      <c r="I120" s="6">
        <f>VLOOKUP(A120,All!A:AM,33,0)</f>
        <v>46.687976469175823</v>
      </c>
      <c r="J120" s="6">
        <f>VLOOKUP(A120,All!A:AM,32,0)</f>
        <v>12.4444</v>
      </c>
      <c r="K120" s="20">
        <f>VLOOKUP(A120,All!A:AM,39,0)</f>
        <v>36.844444444444441</v>
      </c>
      <c r="L120" s="20">
        <f>VLOOKUP(A120,All!A:AM,38,0)</f>
        <v>8.2899999999999991</v>
      </c>
      <c r="M120" s="97">
        <f>VLOOKUP(A120,'SYS Allocations'!A:G,2,0)</f>
        <v>0</v>
      </c>
      <c r="N120" s="97" t="str">
        <f>VLOOKUP(A120,'SYS Allocations'!A:G,3,0)</f>
        <v>RA</v>
      </c>
      <c r="O120" s="97">
        <f>VLOOKUP(A120,'SYS Allocations'!A:G,4,0)</f>
        <v>0</v>
      </c>
      <c r="P120" s="97">
        <f>VLOOKUP(A120,'SYS Allocations'!A:G,5,0)</f>
        <v>0</v>
      </c>
      <c r="Q120" s="97">
        <f>VLOOKUP(A120,'SYS Allocations'!A:G,6,0)</f>
        <v>0</v>
      </c>
      <c r="R120" s="12">
        <f>VLOOKUP(A120,'SYS Allocations'!A:G,7,0)</f>
        <v>4.4000000000000004</v>
      </c>
    </row>
    <row r="121" spans="1:18" hidden="1">
      <c r="A121" s="35" t="s">
        <v>137</v>
      </c>
      <c r="B121" s="41" t="str">
        <f>VLOOKUP(A121,All!A:AM,2,0)</f>
        <v>SCOTLAND</v>
      </c>
      <c r="C121" s="42">
        <f>VLOOKUP(A121,All!A:AM,11,0)</f>
        <v>45264</v>
      </c>
      <c r="D121" s="5"/>
      <c r="E121" s="17">
        <f>VLOOKUP(A121,All!A:AM,30,0)</f>
        <v>33.597931577503921</v>
      </c>
      <c r="F121" s="17">
        <f>VLOOKUP(A121,All!A:AM,28,0)</f>
        <v>18.228840000000002</v>
      </c>
      <c r="G121" s="17">
        <f>VLOOKUP(A121,All!A:AM,31,0)</f>
        <v>-2.5831582184408797</v>
      </c>
      <c r="H121" s="17">
        <f>VLOOKUP(A121,All!A:AM,29,0)</f>
        <v>-0.90720000000000001</v>
      </c>
      <c r="I121" s="6">
        <f>VLOOKUP(A121,All!A:AM,33,0)</f>
        <v>32.445659511273121</v>
      </c>
      <c r="J121" s="6">
        <f>VLOOKUP(A121,All!A:AM,32,0)</f>
        <v>17.3034</v>
      </c>
      <c r="K121" s="20">
        <f>VLOOKUP(A121,All!A:AM,39,0)</f>
        <v>42.81428571428571</v>
      </c>
      <c r="L121" s="20">
        <f>VLOOKUP(A121,All!A:AM,38,0)</f>
        <v>26.972999999999999</v>
      </c>
      <c r="M121" s="97">
        <f>VLOOKUP(A121,'SYS Allocations'!A:G,2,0)</f>
        <v>0</v>
      </c>
      <c r="N121" s="97">
        <f>VLOOKUP(A121,'SYS Allocations'!A:G,3,0)</f>
        <v>0</v>
      </c>
      <c r="O121" s="97">
        <f>VLOOKUP(A121,'SYS Allocations'!A:G,4,0)</f>
        <v>0</v>
      </c>
      <c r="P121" s="97">
        <f>VLOOKUP(A121,'SYS Allocations'!A:G,5,0)</f>
        <v>0</v>
      </c>
      <c r="Q121" s="97">
        <f>VLOOKUP(A121,'SYS Allocations'!A:G,6,0)</f>
        <v>0</v>
      </c>
      <c r="R121" s="12">
        <f>VLOOKUP(A121,'SYS Allocations'!A:G,7,0)</f>
        <v>3</v>
      </c>
    </row>
    <row r="122" spans="1:18" hidden="1">
      <c r="A122" s="52" t="s">
        <v>138</v>
      </c>
      <c r="B122" s="41" t="str">
        <f>VLOOKUP(A122,All!A:AM,2,0)</f>
        <v>SCOTLAND</v>
      </c>
      <c r="C122" s="42">
        <f>VLOOKUP(A122,All!A:AM,11,0)</f>
        <v>45264</v>
      </c>
      <c r="D122" s="5"/>
      <c r="E122" s="17">
        <f>VLOOKUP(A122,All!A:AM,30,0)</f>
        <v>68.964631272873106</v>
      </c>
      <c r="F122" s="17">
        <f>VLOOKUP(A122,All!A:AM,28,0)</f>
        <v>2.2010200000000002</v>
      </c>
      <c r="G122" s="17">
        <f>VLOOKUP(A122,All!A:AM,31,0)</f>
        <v>65.83775953645582</v>
      </c>
      <c r="H122" s="17">
        <f>VLOOKUP(A122,All!A:AM,29,0)</f>
        <v>1.9089</v>
      </c>
      <c r="I122" s="6">
        <f>VLOOKUP(A122,All!A:AM,33,0)</f>
        <v>44.751227130745207</v>
      </c>
      <c r="J122" s="6">
        <f>VLOOKUP(A122,All!A:AM,32,0)</f>
        <v>0.80230000000000001</v>
      </c>
      <c r="K122" s="20">
        <f>VLOOKUP(A122,All!A:AM,39,0)</f>
        <v>80.288557213930346</v>
      </c>
      <c r="L122" s="20">
        <f>VLOOKUP(A122,All!A:AM,38,0)</f>
        <v>4.0345000000000004</v>
      </c>
      <c r="M122" s="97">
        <f>VLOOKUP(A122,'SYS Allocations'!A:G,2,0)</f>
        <v>0</v>
      </c>
      <c r="N122" s="97">
        <f>VLOOKUP(A122,'SYS Allocations'!A:G,3,0)</f>
        <v>0</v>
      </c>
      <c r="O122" s="97">
        <f>VLOOKUP(A122,'SYS Allocations'!A:G,4,0)</f>
        <v>0</v>
      </c>
      <c r="P122" s="97">
        <f>VLOOKUP(A122,'SYS Allocations'!A:G,5,0)</f>
        <v>0</v>
      </c>
      <c r="Q122" s="97">
        <f>VLOOKUP(A122,'SYS Allocations'!A:G,6,0)</f>
        <v>0</v>
      </c>
      <c r="R122" s="12">
        <f>VLOOKUP(A122,'SYS Allocations'!A:G,7,0)</f>
        <v>0.5</v>
      </c>
    </row>
    <row r="123" spans="1:18" hidden="1">
      <c r="A123" s="35" t="s">
        <v>139</v>
      </c>
      <c r="B123" s="41" t="str">
        <f>VLOOKUP(A123,All!A:AM,2,0)</f>
        <v>SOUTH EAST</v>
      </c>
      <c r="C123" s="42">
        <f>VLOOKUP(A123,All!A:AM,11,0)</f>
        <v>45264</v>
      </c>
      <c r="D123" s="5"/>
      <c r="E123" s="17">
        <f>VLOOKUP(A123,All!A:AM,30,0)</f>
        <v>24.202708606378334</v>
      </c>
      <c r="F123" s="17">
        <f>VLOOKUP(A123,All!A:AM,28,0)</f>
        <v>2.77</v>
      </c>
      <c r="G123" s="17">
        <f>VLOOKUP(A123,All!A:AM,31,0)</f>
        <v>14.006311676808856</v>
      </c>
      <c r="H123" s="17">
        <f>VLOOKUP(A123,All!A:AM,29,0)</f>
        <v>1.412949673</v>
      </c>
      <c r="I123" s="6">
        <f>VLOOKUP(A123,All!A:AM,33,0)</f>
        <v>-2.9795821462485059</v>
      </c>
      <c r="J123" s="6">
        <f>VLOOKUP(A123,All!A:AM,32,0)</f>
        <v>-0.25099999999997502</v>
      </c>
      <c r="K123" s="20">
        <f>VLOOKUP(A123,All!A:AM,39,0)</f>
        <v>27.708333333333329</v>
      </c>
      <c r="L123" s="20">
        <f>VLOOKUP(A123,All!A:AM,38,0)</f>
        <v>3.3249999999999993</v>
      </c>
      <c r="M123" s="97">
        <f>VLOOKUP(A123,'SYS Allocations'!A:G,2,0)</f>
        <v>0</v>
      </c>
      <c r="N123" s="97">
        <f>VLOOKUP(A123,'SYS Allocations'!A:G,3,0)</f>
        <v>0</v>
      </c>
      <c r="O123" s="97">
        <f>VLOOKUP(A123,'SYS Allocations'!A:G,4,0)</f>
        <v>0</v>
      </c>
      <c r="P123" s="97">
        <f>VLOOKUP(A123,'SYS Allocations'!A:G,5,0)</f>
        <v>0</v>
      </c>
      <c r="Q123" s="97">
        <f>VLOOKUP(A123,'SYS Allocations'!A:G,6,0)</f>
        <v>0</v>
      </c>
      <c r="R123" s="12">
        <f>VLOOKUP(A123,'SYS Allocations'!A:G,7,0)</f>
        <v>0.5</v>
      </c>
    </row>
    <row r="124" spans="1:18" hidden="1">
      <c r="A124" s="35" t="s">
        <v>140</v>
      </c>
      <c r="B124" s="41" t="str">
        <f>VLOOKUP(A124,All!A:AM,2,0)</f>
        <v>NORTHERN HOME COUNTIES</v>
      </c>
      <c r="C124" s="42">
        <f>VLOOKUP(A124,All!A:AM,11,0)</f>
        <v>45111</v>
      </c>
      <c r="D124" s="5"/>
      <c r="E124" s="17">
        <f>VLOOKUP(A124,All!A:AM,30,0)</f>
        <v>45.222896230566555</v>
      </c>
      <c r="F124" s="17">
        <f>VLOOKUP(A124,All!A:AM,28,0)</f>
        <v>12.98968</v>
      </c>
      <c r="G124" s="17">
        <f>VLOOKUP(A124,All!A:AM,31,0)</f>
        <v>11.794302564490678</v>
      </c>
      <c r="H124" s="17">
        <f>VLOOKUP(A124,All!A:AM,29,0)</f>
        <v>2.1038500000000004</v>
      </c>
      <c r="I124" s="6">
        <f>VLOOKUP(A124,All!A:AM,33,0)</f>
        <v>44.181921384986524</v>
      </c>
      <c r="J124" s="6">
        <f>VLOOKUP(A124,All!A:AM,32,0)</f>
        <v>12.454000000000001</v>
      </c>
      <c r="K124" s="20">
        <f>VLOOKUP(A124,All!A:AM,39,0)</f>
        <v>30.071111111111112</v>
      </c>
      <c r="L124" s="20">
        <f>VLOOKUP(A124,All!A:AM,38,0)</f>
        <v>6.766</v>
      </c>
      <c r="M124" s="97">
        <f>VLOOKUP(A124,'SYS Allocations'!A:G,2,0)</f>
        <v>0</v>
      </c>
      <c r="N124" s="97">
        <f>VLOOKUP(A124,'SYS Allocations'!A:G,3,0)</f>
        <v>0</v>
      </c>
      <c r="O124" s="97">
        <f>VLOOKUP(A124,'SYS Allocations'!A:G,4,0)</f>
        <v>0</v>
      </c>
      <c r="P124" s="97">
        <f>VLOOKUP(A124,'SYS Allocations'!A:G,5,0)</f>
        <v>0</v>
      </c>
      <c r="Q124" s="97">
        <f>VLOOKUP(A124,'SYS Allocations'!A:G,6,0)</f>
        <v>0</v>
      </c>
      <c r="R124" s="12">
        <f>VLOOKUP(A124,'SYS Allocations'!A:G,7,0)</f>
        <v>2</v>
      </c>
    </row>
    <row r="125" spans="1:18" hidden="1">
      <c r="A125" s="35" t="s">
        <v>141</v>
      </c>
      <c r="B125" s="41" t="str">
        <f>VLOOKUP(A125,All!A:AM,2,0)</f>
        <v>LONDON</v>
      </c>
      <c r="C125" s="42">
        <f>VLOOKUP(A125,All!A:AM,11,0)</f>
        <v>45264</v>
      </c>
      <c r="D125" s="5"/>
      <c r="E125" s="17">
        <f>VLOOKUP(A125,All!A:AM,30,0)</f>
        <v>45.355191256830601</v>
      </c>
      <c r="F125" s="17">
        <f>VLOOKUP(A125,All!A:AM,28,0)</f>
        <v>5.0663200000000002</v>
      </c>
      <c r="G125" s="17">
        <f>VLOOKUP(A125,All!A:AM,31,0)</f>
        <v>12.636505460218409</v>
      </c>
      <c r="H125" s="17">
        <f>VLOOKUP(A125,All!A:AM,29,0)</f>
        <v>0.88290000000000002</v>
      </c>
      <c r="I125" s="6">
        <f>VLOOKUP(A125,All!A:AM,33,0)</f>
        <v>60.924696820714715</v>
      </c>
      <c r="J125" s="6">
        <f>VLOOKUP(A125,All!A:AM,32,0)</f>
        <v>9.5171200000000304</v>
      </c>
      <c r="K125" s="20">
        <f>VLOOKUP(A125,All!A:AM,39,0)</f>
        <v>87.478974358974369</v>
      </c>
      <c r="L125" s="20">
        <f>VLOOKUP(A125,All!A:AM,38,0)</f>
        <v>42.646000000000001</v>
      </c>
      <c r="M125" s="97">
        <f>VLOOKUP(A125,'SYS Allocations'!A:G,2,0)</f>
        <v>0</v>
      </c>
      <c r="N125" s="97">
        <f>VLOOKUP(A125,'SYS Allocations'!A:G,3,0)</f>
        <v>0</v>
      </c>
      <c r="O125" s="97">
        <f>VLOOKUP(A125,'SYS Allocations'!A:G,4,0)</f>
        <v>0</v>
      </c>
      <c r="P125" s="97">
        <f>VLOOKUP(A125,'SYS Allocations'!A:G,5,0)</f>
        <v>0</v>
      </c>
      <c r="Q125" s="97">
        <f>VLOOKUP(A125,'SYS Allocations'!A:G,6,0)</f>
        <v>0</v>
      </c>
      <c r="R125" s="12">
        <f>VLOOKUP(A125,'SYS Allocations'!A:G,7,0)</f>
        <v>0</v>
      </c>
    </row>
    <row r="126" spans="1:18" hidden="1">
      <c r="A126" s="35" t="s">
        <v>142</v>
      </c>
      <c r="B126" s="41" t="str">
        <f>VLOOKUP(A126,All!A:AM,2,0)</f>
        <v>LONDON</v>
      </c>
      <c r="C126" s="42">
        <f>VLOOKUP(A126,All!A:AM,11,0)</f>
        <v>45232</v>
      </c>
      <c r="D126" s="5"/>
      <c r="E126" s="17">
        <f>VLOOKUP(A126,All!A:AM,30,0)</f>
        <v>46.330991412958625</v>
      </c>
      <c r="F126" s="17">
        <f>VLOOKUP(A126,All!A:AM,28,0)</f>
        <v>5.1753200000000001</v>
      </c>
      <c r="G126" s="17">
        <f>VLOOKUP(A126,All!A:AM,31,0)</f>
        <v>14.196567862714508</v>
      </c>
      <c r="H126" s="17">
        <f>VLOOKUP(A126,All!A:AM,29,0)</f>
        <v>0.9919</v>
      </c>
      <c r="I126" s="6">
        <f>VLOOKUP(A126,All!A:AM,33,0)</f>
        <v>61.622470091773387</v>
      </c>
      <c r="J126" s="6">
        <f>VLOOKUP(A126,All!A:AM,32,0)</f>
        <v>9.6261200000000304</v>
      </c>
      <c r="K126" s="20">
        <f>VLOOKUP(A126,All!A:AM,39,0)</f>
        <v>87.702564102564111</v>
      </c>
      <c r="L126" s="20">
        <f>VLOOKUP(A126,All!A:AM,38,0)</f>
        <v>42.755000000000003</v>
      </c>
      <c r="M126" s="97">
        <f>VLOOKUP(A126,'SYS Allocations'!A:G,2,0)</f>
        <v>0</v>
      </c>
      <c r="N126" s="97">
        <f>VLOOKUP(A126,'SYS Allocations'!A:G,3,0)</f>
        <v>0</v>
      </c>
      <c r="O126" s="97">
        <f>VLOOKUP(A126,'SYS Allocations'!A:G,4,0)</f>
        <v>0</v>
      </c>
      <c r="P126" s="97">
        <f>VLOOKUP(A126,'SYS Allocations'!A:G,5,0)</f>
        <v>0</v>
      </c>
      <c r="Q126" s="97">
        <f>VLOOKUP(A126,'SYS Allocations'!A:G,6,0)</f>
        <v>0</v>
      </c>
      <c r="R126" s="12">
        <f>VLOOKUP(A126,'SYS Allocations'!A:G,7,0)</f>
        <v>0</v>
      </c>
    </row>
    <row r="127" spans="1:18" hidden="1">
      <c r="A127" s="35" t="s">
        <v>143</v>
      </c>
      <c r="B127" s="41" t="str">
        <f>VLOOKUP(A127,All!A:AM,2,0)</f>
        <v>ANGLIA</v>
      </c>
      <c r="C127" s="42">
        <f>VLOOKUP(A127,All!A:AM,11,0)</f>
        <v>44880</v>
      </c>
      <c r="D127" s="5"/>
      <c r="E127" s="17">
        <f>VLOOKUP(A127,All!A:AM,30,0)</f>
        <v>53.605570386524278</v>
      </c>
      <c r="F127" s="17">
        <f>VLOOKUP(A127,All!A:AM,28,0)</f>
        <v>13.68666</v>
      </c>
      <c r="G127" s="17">
        <f>VLOOKUP(A127,All!A:AM,31,0)</f>
        <v>47.702448543500722</v>
      </c>
      <c r="H127" s="17">
        <f>VLOOKUP(A127,All!A:AM,29,0)</f>
        <v>10.8047</v>
      </c>
      <c r="I127" s="6">
        <f>VLOOKUP(A127,All!A:AM,33,0)</f>
        <v>17.903775781769792</v>
      </c>
      <c r="J127" s="6">
        <f>VLOOKUP(A127,All!A:AM,32,0)</f>
        <v>2.5832999999999999</v>
      </c>
      <c r="K127" s="20">
        <f>VLOOKUP(A127,All!A:AM,39,0)</f>
        <v>82.451111111111103</v>
      </c>
      <c r="L127" s="20">
        <f>VLOOKUP(A127,All!A:AM,38,0)</f>
        <v>55.654499999999999</v>
      </c>
      <c r="M127" s="97">
        <f>VLOOKUP(A127,'SYS Allocations'!A:G,2,0)</f>
        <v>0</v>
      </c>
      <c r="N127" s="97">
        <f>VLOOKUP(A127,'SYS Allocations'!A:G,3,0)</f>
        <v>0</v>
      </c>
      <c r="O127" s="97">
        <f>VLOOKUP(A127,'SYS Allocations'!A:G,4,0)</f>
        <v>0</v>
      </c>
      <c r="P127" s="97">
        <f>VLOOKUP(A127,'SYS Allocations'!A:G,5,0)</f>
        <v>0</v>
      </c>
      <c r="Q127" s="97">
        <f>VLOOKUP(A127,'SYS Allocations'!A:G,6,0)</f>
        <v>0</v>
      </c>
      <c r="R127" s="12">
        <f>VLOOKUP(A127,'SYS Allocations'!A:G,7,0)</f>
        <v>1</v>
      </c>
    </row>
    <row r="128" spans="1:18" hidden="1">
      <c r="A128" s="35" t="s">
        <v>144</v>
      </c>
      <c r="B128" s="41" t="str">
        <f>VLOOKUP(A128,All!A:AM,2,0)</f>
        <v>LONDON</v>
      </c>
      <c r="C128" s="42">
        <f>VLOOKUP(A128,All!A:AM,11,0)</f>
        <v>44062</v>
      </c>
      <c r="D128" s="5"/>
      <c r="E128" s="17">
        <f>VLOOKUP(A128,All!A:AM,30,0)</f>
        <v>35.258121522033392</v>
      </c>
      <c r="F128" s="17">
        <f>VLOOKUP(A128,All!A:AM,28,0)</f>
        <v>22.505400000000002</v>
      </c>
      <c r="G128" s="17">
        <f>VLOOKUP(A128,All!A:AM,31,0)</f>
        <v>12.238786952089704</v>
      </c>
      <c r="H128" s="17">
        <f>VLOOKUP(A128,All!A:AM,29,0)</f>
        <v>5.7629999999999999</v>
      </c>
      <c r="I128" s="6">
        <f>VLOOKUP(A128,All!A:AM,33,0)</f>
        <v>22.511363124971872</v>
      </c>
      <c r="J128" s="6">
        <f>VLOOKUP(A128,All!A:AM,32,0)</f>
        <v>12.0054</v>
      </c>
      <c r="K128" s="20">
        <f>VLOOKUP(A128,All!A:AM,39,0)</f>
        <v>38.777777777777779</v>
      </c>
      <c r="L128" s="20">
        <f>VLOOKUP(A128,All!A:AM,38,0)</f>
        <v>26.175000000000004</v>
      </c>
      <c r="M128" s="97">
        <f>VLOOKUP(A128,'SYS Allocations'!A:G,2,0)</f>
        <v>0</v>
      </c>
      <c r="N128" s="97" t="str">
        <f>VLOOKUP(A128,'SYS Allocations'!A:G,3,0)</f>
        <v>RA</v>
      </c>
      <c r="O128" s="97">
        <f>VLOOKUP(A128,'SYS Allocations'!A:G,4,0)</f>
        <v>0</v>
      </c>
      <c r="P128" s="97">
        <f>VLOOKUP(A128,'SYS Allocations'!A:G,5,0)</f>
        <v>0</v>
      </c>
      <c r="Q128" s="97">
        <f>VLOOKUP(A128,'SYS Allocations'!A:G,6,0)</f>
        <v>0</v>
      </c>
      <c r="R128" s="12">
        <f>VLOOKUP(A128,'SYS Allocations'!A:G,7,0)</f>
        <v>5.9</v>
      </c>
    </row>
    <row r="129" spans="1:18" hidden="1">
      <c r="A129" s="35" t="s">
        <v>145</v>
      </c>
      <c r="B129" s="41" t="str">
        <f>VLOOKUP(A129,All!A:AM,2,0)</f>
        <v>NORTH EAST</v>
      </c>
      <c r="C129" s="42">
        <f>VLOOKUP(A129,All!A:AM,11,0)</f>
        <v>44652.541666666701</v>
      </c>
      <c r="D129" s="5"/>
      <c r="E129" s="17">
        <f>VLOOKUP(A129,All!A:AM,30,0)</f>
        <v>54.854740061162083</v>
      </c>
      <c r="F129" s="17">
        <f>VLOOKUP(A129,All!A:AM,28,0)</f>
        <v>7.1750000000000007</v>
      </c>
      <c r="G129" s="17">
        <f>VLOOKUP(A129,All!A:AM,31,0)</f>
        <v>40.138881849054698</v>
      </c>
      <c r="H129" s="17">
        <f>VLOOKUP(A129,All!A:AM,29,0)</f>
        <v>3.9595000000000002</v>
      </c>
      <c r="I129" s="6">
        <f>VLOOKUP(A129,All!A:AM,33,0)</f>
        <v>41.585549224437912</v>
      </c>
      <c r="J129" s="6">
        <f>VLOOKUP(A129,All!A:AM,32,0)</f>
        <v>4.2037999999999798</v>
      </c>
      <c r="K129" s="20">
        <f>VLOOKUP(A129,All!A:AM,39,0)</f>
        <v>34.388888888888886</v>
      </c>
      <c r="L129" s="20">
        <f>VLOOKUP(A129,All!A:AM,38,0)</f>
        <v>3.0949999999999998</v>
      </c>
      <c r="M129" s="97">
        <f>VLOOKUP(A129,'SYS Allocations'!A:G,2,0)</f>
        <v>0</v>
      </c>
      <c r="N129" s="97">
        <f>VLOOKUP(A129,'SYS Allocations'!A:G,3,0)</f>
        <v>0</v>
      </c>
      <c r="O129" s="97">
        <f>VLOOKUP(A129,'SYS Allocations'!A:G,4,0)</f>
        <v>0</v>
      </c>
      <c r="P129" s="97">
        <f>VLOOKUP(A129,'SYS Allocations'!A:G,5,0)</f>
        <v>0</v>
      </c>
      <c r="Q129" s="97">
        <f>VLOOKUP(A129,'SYS Allocations'!A:G,6,0)</f>
        <v>0</v>
      </c>
      <c r="R129" s="12">
        <f>VLOOKUP(A129,'SYS Allocations'!A:G,7,0)</f>
        <v>1</v>
      </c>
    </row>
    <row r="130" spans="1:18" hidden="1">
      <c r="A130" s="35" t="s">
        <v>146</v>
      </c>
      <c r="B130" s="41" t="str">
        <f>VLOOKUP(A130,All!A:AM,2,0)</f>
        <v>LONDON</v>
      </c>
      <c r="C130" s="42">
        <f>VLOOKUP(A130,All!A:AM,11,0)</f>
        <v>45264</v>
      </c>
      <c r="D130" s="5"/>
      <c r="E130" s="17">
        <f>VLOOKUP(A130,All!A:AM,30,0)</f>
        <v>0.71940642703163371</v>
      </c>
      <c r="F130" s="17">
        <f>VLOOKUP(A130,All!A:AM,28,0)</f>
        <v>0.28699999999999992</v>
      </c>
      <c r="G130" s="17">
        <f>VLOOKUP(A130,All!A:AM,31,0)</f>
        <v>-41.11338736973368</v>
      </c>
      <c r="H130" s="17">
        <f>VLOOKUP(A130,All!A:AM,29,0)</f>
        <v>-11.5395</v>
      </c>
      <c r="I130" s="6">
        <f>VLOOKUP(A130,All!A:AM,33,0)</f>
        <v>-11.400814544799958</v>
      </c>
      <c r="J130" s="6">
        <f>VLOOKUP(A130,All!A:AM,32,0)</f>
        <v>-4.0533999999999981</v>
      </c>
      <c r="K130" s="20">
        <f>VLOOKUP(A130,All!A:AM,39,0)</f>
        <v>46.112925170068031</v>
      </c>
      <c r="L130" s="20">
        <f>VLOOKUP(A130,All!A:AM,38,0)</f>
        <v>33.893000000000001</v>
      </c>
      <c r="M130" s="97">
        <f>VLOOKUP(A130,'SYS Allocations'!A:G,2,0)</f>
        <v>0</v>
      </c>
      <c r="N130" s="97" t="str">
        <f>VLOOKUP(A130,'SYS Allocations'!A:G,3,0)</f>
        <v>RA</v>
      </c>
      <c r="O130" s="97">
        <f>VLOOKUP(A130,'SYS Allocations'!A:G,4,0)</f>
        <v>0</v>
      </c>
      <c r="P130" s="97">
        <f>VLOOKUP(A130,'SYS Allocations'!A:G,5,0)</f>
        <v>0</v>
      </c>
      <c r="Q130" s="97">
        <f>VLOOKUP(A130,'SYS Allocations'!A:G,6,0)</f>
        <v>0</v>
      </c>
      <c r="R130" s="12">
        <f>VLOOKUP(A130,'SYS Allocations'!A:G,7,0)</f>
        <v>4.4000000000000004</v>
      </c>
    </row>
    <row r="131" spans="1:18" hidden="1">
      <c r="A131" s="35" t="s">
        <v>147</v>
      </c>
      <c r="B131" s="41" t="str">
        <f>VLOOKUP(A131,All!A:AM,2,0)</f>
        <v>SCOTLAND</v>
      </c>
      <c r="C131" s="42">
        <f>VLOOKUP(A131,All!A:AM,11,0)</f>
        <v>45264</v>
      </c>
      <c r="D131" s="5"/>
      <c r="E131" s="17">
        <f>VLOOKUP(A131,All!A:AM,30,0)</f>
        <v>-4.3507482328169695</v>
      </c>
      <c r="F131" s="17">
        <f>VLOOKUP(A131,All!A:AM,28,0)</f>
        <v>-0.55542000000000069</v>
      </c>
      <c r="G131" s="17">
        <f>VLOOKUP(A131,All!A:AM,31,0)</f>
        <v>-40.639351358199342</v>
      </c>
      <c r="H131" s="17">
        <f>VLOOKUP(A131,All!A:AM,29,0)</f>
        <v>-3.8494000000000002</v>
      </c>
      <c r="I131" s="6">
        <f>VLOOKUP(A131,All!A:AM,33,0)</f>
        <v>-31.781220322887187</v>
      </c>
      <c r="J131" s="6">
        <f>VLOOKUP(A131,All!A:AM,32,0)</f>
        <v>-3.2127000000000203</v>
      </c>
      <c r="K131" s="20">
        <f>VLOOKUP(A131,All!A:AM,39,0)</f>
        <v>-18.413333333333338</v>
      </c>
      <c r="L131" s="20">
        <f>VLOOKUP(A131,All!A:AM,38,0)</f>
        <v>-2.0715000000000003</v>
      </c>
      <c r="M131" s="97">
        <f>VLOOKUP(A131,'SYS Allocations'!A:G,2,0)</f>
        <v>0</v>
      </c>
      <c r="N131" s="97" t="str">
        <f>VLOOKUP(A131,'SYS Allocations'!A:G,3,0)</f>
        <v>RA</v>
      </c>
      <c r="O131" s="97">
        <f>VLOOKUP(A131,'SYS Allocations'!A:G,4,0)</f>
        <v>0</v>
      </c>
      <c r="P131" s="97">
        <f>VLOOKUP(A131,'SYS Allocations'!A:G,5,0)</f>
        <v>0</v>
      </c>
      <c r="Q131" s="97">
        <f>VLOOKUP(A131,'SYS Allocations'!A:G,6,0)</f>
        <v>0</v>
      </c>
      <c r="R131" s="12">
        <f>VLOOKUP(A131,'SYS Allocations'!A:G,7,0)</f>
        <v>6.4</v>
      </c>
    </row>
    <row r="132" spans="1:18" hidden="1">
      <c r="A132" s="35" t="s">
        <v>148</v>
      </c>
      <c r="B132" s="41" t="str">
        <f>VLOOKUP(A132,All!A:AM,2,0)</f>
        <v>SCOTLAND</v>
      </c>
      <c r="C132" s="42">
        <f>VLOOKUP(A132,All!A:AM,11,0)</f>
        <v>45264</v>
      </c>
      <c r="D132" s="5"/>
      <c r="E132" s="17">
        <f>VLOOKUP(A132,All!A:AM,30,0)</f>
        <v>20.425847245199773</v>
      </c>
      <c r="F132" s="17">
        <f>VLOOKUP(A132,All!A:AM,28,0)</f>
        <v>2.6075799999999996</v>
      </c>
      <c r="G132" s="17">
        <f>VLOOKUP(A132,All!A:AM,31,0)</f>
        <v>1.6906628282747833</v>
      </c>
      <c r="H132" s="17">
        <f>VLOOKUP(A132,All!A:AM,29,0)</f>
        <v>0.17469956399999997</v>
      </c>
      <c r="I132" s="6">
        <f>VLOOKUP(A132,All!A:AM,33,0)</f>
        <v>9.5575142450142465</v>
      </c>
      <c r="J132" s="6">
        <f>VLOOKUP(A132,All!A:AM,32,0)</f>
        <v>1.0735000000000001</v>
      </c>
      <c r="K132" s="20">
        <f>VLOOKUP(A132,All!A:AM,39,0)</f>
        <v>3.2523809523809515</v>
      </c>
      <c r="L132" s="20">
        <f>VLOOKUP(A132,All!A:AM,38,0)</f>
        <v>0.34149999999999991</v>
      </c>
      <c r="M132" s="97">
        <f>VLOOKUP(A132,'SYS Allocations'!A:G,2,0)</f>
        <v>0</v>
      </c>
      <c r="N132" s="97">
        <f>VLOOKUP(A132,'SYS Allocations'!A:G,3,0)</f>
        <v>0</v>
      </c>
      <c r="O132" s="97">
        <f>VLOOKUP(A132,'SYS Allocations'!A:G,4,0)</f>
        <v>0</v>
      </c>
      <c r="P132" s="97">
        <f>VLOOKUP(A132,'SYS Allocations'!A:G,5,0)</f>
        <v>0</v>
      </c>
      <c r="Q132" s="97">
        <f>VLOOKUP(A132,'SYS Allocations'!A:G,6,0)</f>
        <v>0</v>
      </c>
      <c r="R132" s="12">
        <f>VLOOKUP(A132,'SYS Allocations'!A:G,7,0)</f>
        <v>4</v>
      </c>
    </row>
    <row r="133" spans="1:18" hidden="1">
      <c r="A133" s="35" t="s">
        <v>149</v>
      </c>
      <c r="B133" s="41" t="str">
        <f>VLOOKUP(A133,All!A:AM,2,0)</f>
        <v>LONDON</v>
      </c>
      <c r="C133" s="42">
        <f>VLOOKUP(A133,All!A:AM,11,0)</f>
        <v>44369</v>
      </c>
      <c r="D133" s="5"/>
      <c r="E133" s="17">
        <f>VLOOKUP(A133,All!A:AM,30,0)</f>
        <v>25.379702383565252</v>
      </c>
      <c r="F133" s="17">
        <f>VLOOKUP(A133,All!A:AM,28,0)</f>
        <v>11.563499999999999</v>
      </c>
      <c r="G133" s="17">
        <f>VLOOKUP(A133,All!A:AM,31,0)</f>
        <v>3.2828390583884497</v>
      </c>
      <c r="H133" s="17">
        <f>VLOOKUP(A133,All!A:AM,29,0)</f>
        <v>1.1539999999999999</v>
      </c>
      <c r="I133" s="6">
        <f>VLOOKUP(A133,All!A:AM,33,0)</f>
        <v>4.3739593177624752</v>
      </c>
      <c r="J133" s="6">
        <f>VLOOKUP(A133,All!A:AM,32,0)</f>
        <v>1.5550999999999995</v>
      </c>
      <c r="K133" s="20">
        <f>VLOOKUP(A133,All!A:AM,39,0)</f>
        <v>77.334333333333333</v>
      </c>
      <c r="L133" s="20">
        <f>VLOOKUP(A133,All!A:AM,38,0)</f>
        <v>116.00149999999999</v>
      </c>
      <c r="M133" s="97">
        <f>VLOOKUP(A133,'SYS Allocations'!A:G,2,0)</f>
        <v>0</v>
      </c>
      <c r="N133" s="97" t="str">
        <f>VLOOKUP(A133,'SYS Allocations'!A:G,3,0)</f>
        <v>RA</v>
      </c>
      <c r="O133" s="97">
        <f>VLOOKUP(A133,'SYS Allocations'!A:G,4,0)</f>
        <v>0</v>
      </c>
      <c r="P133" s="97">
        <f>VLOOKUP(A133,'SYS Allocations'!A:G,5,0)</f>
        <v>0</v>
      </c>
      <c r="Q133" s="97" t="str">
        <f>VLOOKUP(A133,'SYS Allocations'!A:G,6,0)</f>
        <v>OPEX</v>
      </c>
      <c r="R133" s="12">
        <f>VLOOKUP(A133,'SYS Allocations'!A:G,7,0)</f>
        <v>10.4</v>
      </c>
    </row>
    <row r="134" spans="1:18" hidden="1">
      <c r="A134" s="35" t="s">
        <v>150</v>
      </c>
      <c r="B134" s="41" t="str">
        <f>VLOOKUP(A134,All!A:AM,2,0)</f>
        <v>LONDON</v>
      </c>
      <c r="C134" s="42">
        <f>VLOOKUP(A134,All!A:AM,11,0)</f>
        <v>45264</v>
      </c>
      <c r="D134" s="5"/>
      <c r="E134" s="17">
        <f>VLOOKUP(A134,All!A:AM,30,0)</f>
        <v>25.032697209519903</v>
      </c>
      <c r="F134" s="17">
        <f>VLOOKUP(A134,All!A:AM,28,0)</f>
        <v>10.4886</v>
      </c>
      <c r="G134" s="17">
        <f>VLOOKUP(A134,All!A:AM,31,0)</f>
        <v>-44.087155963302756</v>
      </c>
      <c r="H134" s="17">
        <f>VLOOKUP(A134,All!A:AM,29,0)</f>
        <v>-9.6110000000000007</v>
      </c>
      <c r="I134" s="6">
        <f>VLOOKUP(A134,All!A:AM,33,0)</f>
        <v>36.218729694606886</v>
      </c>
      <c r="J134" s="6">
        <f>VLOOKUP(A134,All!A:AM,32,0)</f>
        <v>17.837</v>
      </c>
      <c r="K134" s="20">
        <f>VLOOKUP(A134,All!A:AM,39,0)</f>
        <v>25.211904761904758</v>
      </c>
      <c r="L134" s="20">
        <f>VLOOKUP(A134,All!A:AM,38,0)</f>
        <v>10.588999999999999</v>
      </c>
      <c r="M134" s="97"/>
      <c r="N134" s="97"/>
      <c r="O134" s="97"/>
      <c r="P134" s="97"/>
      <c r="Q134" s="97" t="str">
        <f>VLOOKUP(A134,'SYS Allocations'!A:G,6,0)</f>
        <v>OPEX</v>
      </c>
      <c r="R134" s="12">
        <f>VLOOKUP(A134,'SYS Allocations'!A:G,7,0)</f>
        <v>1</v>
      </c>
    </row>
    <row r="135" spans="1:18" hidden="1">
      <c r="A135" s="35" t="s">
        <v>151</v>
      </c>
      <c r="B135" s="41" t="str">
        <f>VLOOKUP(A135,All!A:AM,2,0)</f>
        <v>ANGLIA</v>
      </c>
      <c r="C135" s="42">
        <f>VLOOKUP(A135,All!A:AM,11,0)</f>
        <v>44854</v>
      </c>
      <c r="D135" s="5"/>
      <c r="E135" s="17">
        <f>VLOOKUP(A135,All!A:AM,30,0)</f>
        <v>44.271068331077359</v>
      </c>
      <c r="F135" s="17">
        <f>VLOOKUP(A135,All!A:AM,28,0)</f>
        <v>17.6615</v>
      </c>
      <c r="G135" s="17">
        <f>VLOOKUP(A135,All!A:AM,31,0)</f>
        <v>20.78916896766723</v>
      </c>
      <c r="H135" s="17">
        <f>VLOOKUP(A135,All!A:AM,29,0)</f>
        <v>5.835</v>
      </c>
      <c r="I135" s="6">
        <f>VLOOKUP(A135,All!A:AM,33,0)</f>
        <v>37.467654470995903</v>
      </c>
      <c r="J135" s="6">
        <f>VLOOKUP(A135,All!A:AM,32,0)</f>
        <v>13.321100000000001</v>
      </c>
      <c r="K135" s="20">
        <f>VLOOKUP(A135,All!A:AM,39,0)</f>
        <v>1.1888888888888853</v>
      </c>
      <c r="L135" s="20">
        <f>VLOOKUP(A135,All!A:AM,38,0)</f>
        <v>0.26749999999999918</v>
      </c>
      <c r="M135" s="97">
        <f>VLOOKUP(A135,'SYS Allocations'!A:G,2,0)</f>
        <v>0</v>
      </c>
      <c r="N135" s="97" t="str">
        <f>VLOOKUP(A135,'SYS Allocations'!A:G,3,0)</f>
        <v>RA</v>
      </c>
      <c r="O135" s="97">
        <f>VLOOKUP(A135,'SYS Allocations'!A:G,4,0)</f>
        <v>0</v>
      </c>
      <c r="P135" s="97">
        <f>VLOOKUP(A135,'SYS Allocations'!A:G,5,0)</f>
        <v>0</v>
      </c>
      <c r="Q135" s="97">
        <f>VLOOKUP(A135,'SYS Allocations'!A:G,6,0)</f>
        <v>0</v>
      </c>
      <c r="R135" s="12">
        <f>VLOOKUP(A135,'SYS Allocations'!A:G,7,0)</f>
        <v>6.7</v>
      </c>
    </row>
    <row r="136" spans="1:18" hidden="1">
      <c r="A136" s="35" t="s">
        <v>152</v>
      </c>
      <c r="B136" s="41" t="str">
        <f>VLOOKUP(A136,All!A:AM,2,0)</f>
        <v>THAMES VALLEY</v>
      </c>
      <c r="C136" s="42">
        <f>VLOOKUP(A136,All!A:AM,11,0)</f>
        <v>44383.583333333299</v>
      </c>
      <c r="D136" s="5"/>
      <c r="E136" s="17">
        <f>VLOOKUP(A136,All!A:AM,30,0)</f>
        <v>15.471311475409834</v>
      </c>
      <c r="F136" s="17">
        <f>VLOOKUP(A136,All!A:AM,28,0)</f>
        <v>0.98753999999999997</v>
      </c>
      <c r="G136" s="17">
        <f>VLOOKUP(A136,All!A:AM,31,0)</f>
        <v>-14.583333333333334</v>
      </c>
      <c r="H136" s="17">
        <f>VLOOKUP(A136,All!A:AM,29,0)</f>
        <v>-0.68669999999999998</v>
      </c>
      <c r="I136" s="6">
        <f>VLOOKUP(A136,All!A:AM,33,0)</f>
        <v>41.445929051414282</v>
      </c>
      <c r="J136" s="6">
        <f>VLOOKUP(A136,All!A:AM,32,0)</f>
        <v>3.8190599999999999</v>
      </c>
      <c r="K136" s="20">
        <f>VLOOKUP(A136,All!A:AM,39,0)</f>
        <v>40.049999999999997</v>
      </c>
      <c r="L136" s="20">
        <f>VLOOKUP(A136,All!A:AM,38,0)</f>
        <v>3.6044999999999998</v>
      </c>
      <c r="M136" s="97">
        <f>VLOOKUP(A136,'SYS Allocations'!A:G,2,0)</f>
        <v>0</v>
      </c>
      <c r="N136" s="97">
        <f>VLOOKUP(A136,'SYS Allocations'!A:G,3,0)</f>
        <v>0</v>
      </c>
      <c r="O136" s="97">
        <f>VLOOKUP(A136,'SYS Allocations'!A:G,4,0)</f>
        <v>0</v>
      </c>
      <c r="P136" s="97">
        <f>VLOOKUP(A136,'SYS Allocations'!A:G,5,0)</f>
        <v>0</v>
      </c>
      <c r="Q136" s="97">
        <f>VLOOKUP(A136,'SYS Allocations'!A:G,6,0)</f>
        <v>0</v>
      </c>
      <c r="R136" s="12">
        <f>VLOOKUP(A136,'SYS Allocations'!A:G,7,0)</f>
        <v>0</v>
      </c>
    </row>
    <row r="137" spans="1:18" hidden="1">
      <c r="A137" s="35" t="s">
        <v>153</v>
      </c>
      <c r="B137" s="41" t="str">
        <f>VLOOKUP(A137,All!A:AM,2,0)</f>
        <v>ANGLIA</v>
      </c>
      <c r="C137" s="42">
        <f>VLOOKUP(A137,All!A:AM,11,0)</f>
        <v>44413.708333333299</v>
      </c>
      <c r="D137" s="5"/>
      <c r="E137" s="17">
        <f>VLOOKUP(A137,All!A:AM,30,0)</f>
        <v>86.666666666666671</v>
      </c>
      <c r="F137" s="17">
        <f>VLOOKUP(A137,All!A:AM,28,0)</f>
        <v>5.6680000000000001</v>
      </c>
      <c r="G137" s="17">
        <f>VLOOKUP(A137,All!A:AM,31,0)</f>
        <v>87.933634992458522</v>
      </c>
      <c r="H137" s="17">
        <f>VLOOKUP(A137,All!A:AM,29,0)</f>
        <v>6.3547000000000002</v>
      </c>
      <c r="I137" s="6">
        <f>VLOOKUP(A137,All!A:AM,33,0)</f>
        <v>51.36099955377064</v>
      </c>
      <c r="J137" s="6">
        <f>VLOOKUP(A137,All!A:AM,32,0)</f>
        <v>0.92079999999999995</v>
      </c>
      <c r="K137" s="20">
        <f>VLOOKUP(A137,All!A:AM,39,0)</f>
        <v>76.74666666666667</v>
      </c>
      <c r="L137" s="20">
        <f>VLOOKUP(A137,All!A:AM,38,0)</f>
        <v>2.8780000000000001</v>
      </c>
      <c r="M137" s="97">
        <f>VLOOKUP(A137,'SYS Allocations'!A:G,2,0)</f>
        <v>0</v>
      </c>
      <c r="N137" s="97">
        <f>VLOOKUP(A137,'SYS Allocations'!A:G,3,0)</f>
        <v>0</v>
      </c>
      <c r="O137" s="97">
        <f>VLOOKUP(A137,'SYS Allocations'!A:G,4,0)</f>
        <v>0</v>
      </c>
      <c r="P137" s="97">
        <f>VLOOKUP(A137,'SYS Allocations'!A:G,5,0)</f>
        <v>0</v>
      </c>
      <c r="Q137" s="97">
        <f>VLOOKUP(A137,'SYS Allocations'!A:G,6,0)</f>
        <v>0</v>
      </c>
      <c r="R137" s="12">
        <f>VLOOKUP(A137,'SYS Allocations'!A:G,7,0)</f>
        <v>0</v>
      </c>
    </row>
    <row r="138" spans="1:18" hidden="1">
      <c r="A138" s="35" t="s">
        <v>154</v>
      </c>
      <c r="B138" s="41" t="str">
        <f>VLOOKUP(A138,All!A:AM,2,0)</f>
        <v>NORTH WEST</v>
      </c>
      <c r="C138" s="42">
        <f>VLOOKUP(A138,All!A:AM,11,0)</f>
        <v>45264</v>
      </c>
      <c r="D138" s="5"/>
      <c r="E138" s="17">
        <f>VLOOKUP(A138,All!A:AM,30,0)</f>
        <v>39.6564959643054</v>
      </c>
      <c r="F138" s="17">
        <f>VLOOKUP(A138,All!A:AM,28,0)</f>
        <v>5.0625799999999996</v>
      </c>
      <c r="G138" s="17">
        <f>VLOOKUP(A138,All!A:AM,31,0)</f>
        <v>18.671677875022436</v>
      </c>
      <c r="H138" s="17">
        <f>VLOOKUP(A138,All!A:AM,29,0)</f>
        <v>1.7686000000000002</v>
      </c>
      <c r="I138" s="6">
        <f>VLOOKUP(A138,All!A:AM,33,0)</f>
        <v>23.794119974675329</v>
      </c>
      <c r="J138" s="6">
        <f>VLOOKUP(A138,All!A:AM,32,0)</f>
        <v>2.40529999999998</v>
      </c>
      <c r="K138" s="20">
        <f>VLOOKUP(A138,All!A:AM,39,0)</f>
        <v>65.762222222222221</v>
      </c>
      <c r="L138" s="20">
        <f>VLOOKUP(A138,All!A:AM,38,0)</f>
        <v>14.7965</v>
      </c>
      <c r="M138" s="97">
        <f>VLOOKUP(A138,'SYS Allocations'!A:G,2,0)</f>
        <v>0</v>
      </c>
      <c r="N138" s="97">
        <f>VLOOKUP(A138,'SYS Allocations'!A:G,3,0)</f>
        <v>0</v>
      </c>
      <c r="O138" s="97">
        <f>VLOOKUP(A138,'SYS Allocations'!A:G,4,0)</f>
        <v>0</v>
      </c>
      <c r="P138" s="97">
        <f>VLOOKUP(A138,'SYS Allocations'!A:G,5,0)</f>
        <v>0</v>
      </c>
      <c r="Q138" s="97">
        <f>VLOOKUP(A138,'SYS Allocations'!A:G,6,0)</f>
        <v>0</v>
      </c>
      <c r="R138" s="12">
        <f>VLOOKUP(A138,'SYS Allocations'!A:G,7,0)</f>
        <v>1</v>
      </c>
    </row>
    <row r="139" spans="1:18" hidden="1">
      <c r="A139" s="35" t="s">
        <v>155</v>
      </c>
      <c r="B139" s="41" t="str">
        <f>VLOOKUP(A139,All!A:AM,2,0)</f>
        <v>MIDLANDS</v>
      </c>
      <c r="C139" s="42">
        <f>VLOOKUP(A139,All!A:AM,11,0)</f>
        <v>45264</v>
      </c>
      <c r="D139" s="5"/>
      <c r="E139" s="17">
        <f>VLOOKUP(A139,All!A:AM,30,0)</f>
        <v>41.162014120026768</v>
      </c>
      <c r="F139" s="17">
        <f>VLOOKUP(A139,All!A:AM,28,0)</f>
        <v>45.32244</v>
      </c>
      <c r="G139" s="17">
        <f>VLOOKUP(A139,All!A:AM,31,0)</f>
        <v>15.417988022607428</v>
      </c>
      <c r="H139" s="17">
        <f>VLOOKUP(A139,All!A:AM,29,0)</f>
        <v>11.809300000000002</v>
      </c>
      <c r="I139" s="6">
        <f>VLOOKUP(A139,All!A:AM,33,0)</f>
        <v>32.240521517360484</v>
      </c>
      <c r="J139" s="6">
        <f>VLOOKUP(A139,All!A:AM,32,0)</f>
        <v>30.825240000000001</v>
      </c>
      <c r="K139" s="20">
        <f>VLOOKUP(A139,All!A:AM,39,0)</f>
        <v>21.472727272727269</v>
      </c>
      <c r="L139" s="20">
        <f>VLOOKUP(A139,All!A:AM,38,0)</f>
        <v>17.714999999999996</v>
      </c>
      <c r="M139" s="97">
        <f>VLOOKUP(A139,'SYS Allocations'!A:G,2,0)</f>
        <v>0</v>
      </c>
      <c r="N139" s="97" t="str">
        <f>VLOOKUP(A139,'SYS Allocations'!A:G,3,0)</f>
        <v>RA</v>
      </c>
      <c r="O139" s="97">
        <f>VLOOKUP(A139,'SYS Allocations'!A:G,4,0)</f>
        <v>0</v>
      </c>
      <c r="P139" s="97">
        <f>VLOOKUP(A139,'SYS Allocations'!A:G,5,0)</f>
        <v>0</v>
      </c>
      <c r="Q139" s="97">
        <f>VLOOKUP(A139,'SYS Allocations'!A:G,6,0)</f>
        <v>0</v>
      </c>
      <c r="R139" s="12">
        <f>VLOOKUP(A139,'SYS Allocations'!A:G,7,0)</f>
        <v>14.1</v>
      </c>
    </row>
    <row r="140" spans="1:18" hidden="1">
      <c r="A140" s="37" t="s">
        <v>156</v>
      </c>
      <c r="B140" s="41" t="str">
        <f>VLOOKUP(A140,All!A:AM,2,0)</f>
        <v>NORTH EAST</v>
      </c>
      <c r="C140" s="42">
        <f>VLOOKUP(A140,All!A:AM,11,0)</f>
        <v>44713.541666666701</v>
      </c>
      <c r="D140" s="19"/>
      <c r="E140" s="17">
        <f>VLOOKUP(A140,All!A:AM,30,0)</f>
        <v>85.389610389610397</v>
      </c>
      <c r="F140" s="17">
        <f>VLOOKUP(A140,All!A:AM,28,0)</f>
        <v>14.333500000000001</v>
      </c>
      <c r="G140" s="17">
        <f>VLOOKUP(A140,All!A:AM,31,0)</f>
        <v>86.15384615384616</v>
      </c>
      <c r="H140" s="17">
        <f>VLOOKUP(A140,All!A:AM,29,0)</f>
        <v>15.26</v>
      </c>
      <c r="I140" s="6">
        <f>VLOOKUP(A140,All!A:AM,33,0)</f>
        <v>54.400937081659976</v>
      </c>
      <c r="J140" s="6">
        <f>VLOOKUP(A140,All!A:AM,32,0)</f>
        <v>2.9258999999999999</v>
      </c>
      <c r="K140" s="330">
        <f>VLOOKUP(A140,All!A:AM,39,0)</f>
        <v>70.706249999999997</v>
      </c>
      <c r="L140" s="330">
        <f>VLOOKUP(A140,All!A:AM,38,0)</f>
        <v>16.9695</v>
      </c>
      <c r="M140" s="97">
        <f>VLOOKUP(A140,'SYS Allocations'!A:G,2,0)</f>
        <v>0</v>
      </c>
      <c r="N140" s="97">
        <f>VLOOKUP(A140,'SYS Allocations'!A:G,3,0)</f>
        <v>0</v>
      </c>
      <c r="O140" s="97">
        <f>VLOOKUP(A140,'SYS Allocations'!A:G,4,0)</f>
        <v>0</v>
      </c>
      <c r="P140" s="97">
        <f>VLOOKUP(A140,'SYS Allocations'!A:G,5,0)</f>
        <v>0</v>
      </c>
      <c r="Q140" s="97">
        <f>VLOOKUP(A140,'SYS Allocations'!A:G,6,0)</f>
        <v>0</v>
      </c>
      <c r="R140" s="12">
        <f>VLOOKUP(A140,'SYS Allocations'!A:G,7,0)</f>
        <v>0</v>
      </c>
    </row>
    <row r="141" spans="1:18" hidden="1">
      <c r="A141" s="37" t="s">
        <v>157</v>
      </c>
      <c r="B141" s="41" t="str">
        <f>VLOOKUP(A141,All!A:AM,2,0)</f>
        <v>NORTH EAST</v>
      </c>
      <c r="C141" s="42">
        <f>VLOOKUP(A141,All!A:AM,11,0)</f>
        <v>44700.645833333299</v>
      </c>
      <c r="D141" s="19"/>
      <c r="E141" s="17">
        <f>VLOOKUP(A141,All!A:AM,30,0)</f>
        <v>72.72727272727272</v>
      </c>
      <c r="F141" s="17">
        <f>VLOOKUP(A141,All!A:AM,28,0)</f>
        <v>12.208</v>
      </c>
      <c r="G141" s="17">
        <f>VLOOKUP(A141,All!A:AM,31,0)</f>
        <v>74.15384615384616</v>
      </c>
      <c r="H141" s="17">
        <f>VLOOKUP(A141,All!A:AM,29,0)</f>
        <v>13.134499999999999</v>
      </c>
      <c r="I141" s="6">
        <f>VLOOKUP(A141,All!A:AM,33,0)</f>
        <v>14.881749219098635</v>
      </c>
      <c r="J141" s="6">
        <f>VLOOKUP(A141,All!A:AM,32,0)</f>
        <v>0.800400000000001</v>
      </c>
      <c r="K141" s="331"/>
      <c r="L141" s="331"/>
      <c r="M141" s="97">
        <f>VLOOKUP(A141,'SYS Allocations'!A:G,2,0)</f>
        <v>0</v>
      </c>
      <c r="N141" s="97">
        <f>VLOOKUP(A141,'SYS Allocations'!A:G,3,0)</f>
        <v>0</v>
      </c>
      <c r="O141" s="97">
        <f>VLOOKUP(A141,'SYS Allocations'!A:G,4,0)</f>
        <v>0</v>
      </c>
      <c r="P141" s="97">
        <f>VLOOKUP(A141,'SYS Allocations'!A:G,5,0)</f>
        <v>0</v>
      </c>
      <c r="Q141" s="97">
        <f>VLOOKUP(A141,'SYS Allocations'!A:G,6,0)</f>
        <v>0</v>
      </c>
      <c r="R141" s="12">
        <f>VLOOKUP(A141,'SYS Allocations'!A:G,7,0)</f>
        <v>0</v>
      </c>
    </row>
    <row r="142" spans="1:18" hidden="1">
      <c r="A142" s="38" t="s">
        <v>158</v>
      </c>
      <c r="B142" s="41" t="str">
        <f>VLOOKUP(A142,All!A:AM,2,0)</f>
        <v>NORTH EAST</v>
      </c>
      <c r="C142" s="42">
        <f>VLOOKUP(A142,All!A:AM,11,0)</f>
        <v>45264</v>
      </c>
      <c r="D142" s="5"/>
      <c r="E142" s="17">
        <f>VLOOKUP(A142,All!A:AM,30,0)</f>
        <v>43.837082372565369</v>
      </c>
      <c r="F142" s="17">
        <f>VLOOKUP(A142,All!A:AM,28,0)</f>
        <v>71.482499999999987</v>
      </c>
      <c r="G142" s="17">
        <f>VLOOKUP(A142,All!A:AM,31,0)</f>
        <v>33.842736401069132</v>
      </c>
      <c r="H142" s="17">
        <f>VLOOKUP(A142,All!A:AM,29,0)</f>
        <v>46.848500000000001</v>
      </c>
      <c r="I142" s="6">
        <f>VLOOKUP(A142,All!A:AM,33,0)</f>
        <v>14.13762131917265</v>
      </c>
      <c r="J142" s="6">
        <f>VLOOKUP(A142,All!A:AM,32,0)</f>
        <v>15.079300000000103</v>
      </c>
      <c r="K142" s="330">
        <f>VLOOKUP(A142,All!A:AM,39,0)</f>
        <v>15.534102564102565</v>
      </c>
      <c r="L142" s="330">
        <f>VLOOKUP(A142,All!A:AM,38,0)</f>
        <v>30.291499999999999</v>
      </c>
      <c r="M142" s="97" t="str">
        <f>VLOOKUP(A142,'SYS Allocations'!A:G,2,0)</f>
        <v>P-Core</v>
      </c>
      <c r="N142" s="97" t="str">
        <f>VLOOKUP(A142,'SYS Allocations'!A:G,3,0)</f>
        <v>RA</v>
      </c>
      <c r="O142" s="97" t="str">
        <f>VLOOKUP(A142,'SYS Allocations'!A:G,4,0)</f>
        <v>PX</v>
      </c>
      <c r="P142" s="97">
        <f>VLOOKUP(A142,'SYS Allocations'!A:G,5,0)</f>
        <v>0</v>
      </c>
      <c r="Q142" s="97" t="str">
        <f>VLOOKUP(A142,'SYS Allocations'!A:G,6,0)</f>
        <v>OPEX</v>
      </c>
      <c r="R142" s="12">
        <f>VLOOKUP(A142,'SYS Allocations'!A:G,7,0)</f>
        <v>14.899999999999999</v>
      </c>
    </row>
    <row r="143" spans="1:18" hidden="1">
      <c r="A143" s="38" t="s">
        <v>159</v>
      </c>
      <c r="B143" s="41" t="str">
        <f>VLOOKUP(A143,All!A:AM,2,0)</f>
        <v>NORTH EAST</v>
      </c>
      <c r="C143" s="42">
        <f>VLOOKUP(A143,All!A:AM,11,0)</f>
        <v>45264</v>
      </c>
      <c r="D143" s="5"/>
      <c r="E143" s="17">
        <f>VLOOKUP(A143,All!A:AM,30,0)</f>
        <v>55.804353869770708</v>
      </c>
      <c r="F143" s="17">
        <f>VLOOKUP(A143,All!A:AM,28,0)</f>
        <v>92.335000000000008</v>
      </c>
      <c r="G143" s="17">
        <f>VLOOKUP(A143,All!A:AM,31,0)</f>
        <v>48.293648689257743</v>
      </c>
      <c r="H143" s="17">
        <f>VLOOKUP(A143,All!A:AM,29,0)</f>
        <v>68.3005</v>
      </c>
      <c r="I143" s="6">
        <f>VLOOKUP(A143,All!A:AM,33,0)</f>
        <v>31.439666681667585</v>
      </c>
      <c r="J143" s="6">
        <f>VLOOKUP(A143,All!A:AM,32,0)</f>
        <v>33.533800000000099</v>
      </c>
      <c r="K143" s="331"/>
      <c r="L143" s="331"/>
      <c r="M143" s="97">
        <f>VLOOKUP(A143,'SYS Allocations'!A:G,2,0)</f>
        <v>0</v>
      </c>
      <c r="N143" s="97">
        <f>VLOOKUP(A143,'SYS Allocations'!A:G,3,0)</f>
        <v>0</v>
      </c>
      <c r="O143" s="97">
        <f>VLOOKUP(A143,'SYS Allocations'!A:G,4,0)</f>
        <v>0</v>
      </c>
      <c r="P143" s="97">
        <f>VLOOKUP(A143,'SYS Allocations'!A:G,5,0)</f>
        <v>0</v>
      </c>
      <c r="Q143" s="97">
        <f>VLOOKUP(A143,'SYS Allocations'!A:G,6,0)</f>
        <v>0</v>
      </c>
      <c r="R143" s="12">
        <f>VLOOKUP(A143,'SYS Allocations'!A:G,7,0)</f>
        <v>18.300000000000004</v>
      </c>
    </row>
    <row r="144" spans="1:18" hidden="1">
      <c r="A144" s="35" t="s">
        <v>160</v>
      </c>
      <c r="B144" s="41" t="str">
        <f>VLOOKUP(A144,All!A:AM,2,0)</f>
        <v>NORTH EAST</v>
      </c>
      <c r="C144" s="42">
        <f>VLOOKUP(A144,All!A:AM,11,0)</f>
        <v>44637.666666666701</v>
      </c>
      <c r="D144" s="5"/>
      <c r="E144" s="17">
        <f>VLOOKUP(A144,All!A:AM,30,0)</f>
        <v>63.080344731720885</v>
      </c>
      <c r="F144" s="17">
        <f>VLOOKUP(A144,All!A:AM,28,0)</f>
        <v>11.345000000000001</v>
      </c>
      <c r="G144" s="17">
        <f>VLOOKUP(A144,All!A:AM,31,0)</f>
        <v>36.378661939780102</v>
      </c>
      <c r="H144" s="17">
        <f>VLOOKUP(A144,All!A:AM,29,0)</f>
        <v>3.7967499999999998</v>
      </c>
      <c r="I144" s="6">
        <f>VLOOKUP(A144,All!A:AM,33,0)</f>
        <v>64.665815240527891</v>
      </c>
      <c r="J144" s="6">
        <f>VLOOKUP(A144,All!A:AM,32,0)</f>
        <v>12.152000000000001</v>
      </c>
      <c r="K144" s="20">
        <f>VLOOKUP(A144,All!A:AM,39,0)</f>
        <v>72.333333333333329</v>
      </c>
      <c r="L144" s="20">
        <f>VLOOKUP(A144,All!A:AM,38,0)</f>
        <v>17.36</v>
      </c>
      <c r="M144" s="97">
        <f>VLOOKUP(A144,'SYS Allocations'!A:G,2,0)</f>
        <v>0</v>
      </c>
      <c r="N144" s="97">
        <f>VLOOKUP(A144,'SYS Allocations'!A:G,3,0)</f>
        <v>0</v>
      </c>
      <c r="O144" s="97">
        <f>VLOOKUP(A144,'SYS Allocations'!A:G,4,0)</f>
        <v>0</v>
      </c>
      <c r="P144" s="97">
        <f>VLOOKUP(A144,'SYS Allocations'!A:G,5,0)</f>
        <v>0</v>
      </c>
      <c r="Q144" s="97">
        <f>VLOOKUP(A144,'SYS Allocations'!A:G,6,0)</f>
        <v>0</v>
      </c>
      <c r="R144" s="12">
        <f>VLOOKUP(A144,'SYS Allocations'!A:G,7,0)</f>
        <v>0.1</v>
      </c>
    </row>
    <row r="145" spans="1:18" hidden="1">
      <c r="A145" s="35" t="s">
        <v>161</v>
      </c>
      <c r="B145" s="41" t="str">
        <f>VLOOKUP(A145,All!A:AM,2,0)</f>
        <v>NORTH EAST</v>
      </c>
      <c r="C145" s="42">
        <f>VLOOKUP(A145,All!A:AM,11,0)</f>
        <v>45264</v>
      </c>
      <c r="D145" s="5"/>
      <c r="E145" s="17">
        <f>VLOOKUP(A145,All!A:AM,30,0)</f>
        <v>32.33447311846983</v>
      </c>
      <c r="F145" s="17">
        <f>VLOOKUP(A145,All!A:AM,28,0)</f>
        <v>17.543340000000001</v>
      </c>
      <c r="G145" s="17">
        <f>VLOOKUP(A145,All!A:AM,31,0)</f>
        <v>-4.5350486050603935</v>
      </c>
      <c r="H145" s="17">
        <f>VLOOKUP(A145,All!A:AM,29,0)</f>
        <v>-1.5926999999999998</v>
      </c>
      <c r="I145" s="6">
        <f>VLOOKUP(A145,All!A:AM,33,0)</f>
        <v>31.160276315197333</v>
      </c>
      <c r="J145" s="6">
        <f>VLOOKUP(A145,All!A:AM,32,0)</f>
        <v>16.617899999999999</v>
      </c>
      <c r="K145" s="20">
        <f>VLOOKUP(A145,All!A:AM,39,0)</f>
        <v>72.805555555555557</v>
      </c>
      <c r="L145" s="20">
        <f>VLOOKUP(A145,All!A:AM,38,0)</f>
        <v>98.287500000000009</v>
      </c>
      <c r="M145" s="97">
        <f>VLOOKUP(A145,'SYS Allocations'!A:G,2,0)</f>
        <v>0</v>
      </c>
      <c r="N145" s="97" t="str">
        <f>VLOOKUP(A145,'SYS Allocations'!A:G,3,0)</f>
        <v>RA</v>
      </c>
      <c r="O145" s="97">
        <f>VLOOKUP(A145,'SYS Allocations'!A:G,4,0)</f>
        <v>0</v>
      </c>
      <c r="P145" s="97">
        <f>VLOOKUP(A145,'SYS Allocations'!A:G,5,0)</f>
        <v>0</v>
      </c>
      <c r="Q145" s="97">
        <f>VLOOKUP(A145,'SYS Allocations'!A:G,6,0)</f>
        <v>0</v>
      </c>
      <c r="R145" s="12">
        <f>VLOOKUP(A145,'SYS Allocations'!A:G,7,0)</f>
        <v>8.1</v>
      </c>
    </row>
    <row r="146" spans="1:18" hidden="1">
      <c r="A146" s="35" t="s">
        <v>162</v>
      </c>
      <c r="B146" s="41" t="str">
        <f>VLOOKUP(A146,All!A:AM,2,0)</f>
        <v>SCOTLAND</v>
      </c>
      <c r="C146" s="42">
        <f>VLOOKUP(A146,All!A:AM,11,0)</f>
        <v>45264</v>
      </c>
      <c r="D146" s="5"/>
      <c r="E146" s="17">
        <f>VLOOKUP(A146,All!A:AM,30,0)</f>
        <v>42.773902311714274</v>
      </c>
      <c r="F146" s="17">
        <f>VLOOKUP(A146,All!A:AM,28,0)</f>
        <v>23.207339999999999</v>
      </c>
      <c r="G146" s="17">
        <f>VLOOKUP(A146,All!A:AM,31,0)</f>
        <v>11.592605880443513</v>
      </c>
      <c r="H146" s="17">
        <f>VLOOKUP(A146,All!A:AM,29,0)</f>
        <v>4.0712999999999999</v>
      </c>
      <c r="I146" s="6">
        <f>VLOOKUP(A146,All!A:AM,33,0)</f>
        <v>41.780860447324606</v>
      </c>
      <c r="J146" s="6">
        <f>VLOOKUP(A146,All!A:AM,32,0)</f>
        <v>22.2819</v>
      </c>
      <c r="K146" s="20">
        <f>VLOOKUP(A146,All!A:AM,39,0)</f>
        <v>54.002222222222215</v>
      </c>
      <c r="L146" s="20">
        <f>VLOOKUP(A146,All!A:AM,38,0)</f>
        <v>36.451499999999996</v>
      </c>
      <c r="M146" s="97">
        <f>VLOOKUP(A146,'SYS Allocations'!A:G,2,0)</f>
        <v>0</v>
      </c>
      <c r="N146" s="97">
        <f>VLOOKUP(A146,'SYS Allocations'!A:G,3,0)</f>
        <v>0</v>
      </c>
      <c r="O146" s="97">
        <f>VLOOKUP(A146,'SYS Allocations'!A:G,4,0)</f>
        <v>0</v>
      </c>
      <c r="P146" s="97">
        <f>VLOOKUP(A146,'SYS Allocations'!A:G,5,0)</f>
        <v>0</v>
      </c>
      <c r="Q146" s="97">
        <f>VLOOKUP(A146,'SYS Allocations'!A:G,6,0)</f>
        <v>0</v>
      </c>
      <c r="R146" s="12">
        <f>VLOOKUP(A146,'SYS Allocations'!A:G,7,0)</f>
        <v>2</v>
      </c>
    </row>
    <row r="147" spans="1:18" hidden="1">
      <c r="A147" s="35" t="s">
        <v>163</v>
      </c>
      <c r="B147" s="41" t="str">
        <f>VLOOKUP(A147,All!A:AM,2,0)</f>
        <v>NORTH WEST</v>
      </c>
      <c r="C147" s="42">
        <f>VLOOKUP(A147,All!A:AM,11,0)</f>
        <v>45264</v>
      </c>
      <c r="D147" s="5"/>
      <c r="E147" s="17">
        <f>VLOOKUP(A147,All!A:AM,30,0)</f>
        <v>36.062182430499647</v>
      </c>
      <c r="F147" s="17">
        <f>VLOOKUP(A147,All!A:AM,28,0)</f>
        <v>9.782919999999999</v>
      </c>
      <c r="G147" s="17">
        <f>VLOOKUP(A147,All!A:AM,31,0)</f>
        <v>-43.229919322207444</v>
      </c>
      <c r="H147" s="17">
        <f>VLOOKUP(A147,All!A:AM,29,0)</f>
        <v>-5.2350999999999992</v>
      </c>
      <c r="I147" s="6">
        <f>VLOOKUP(A147,All!A:AM,33,0)</f>
        <v>51.214504297736362</v>
      </c>
      <c r="J147" s="6">
        <f>VLOOKUP(A147,All!A:AM,32,0)</f>
        <v>18.208599999999997</v>
      </c>
      <c r="K147" s="20">
        <f>VLOOKUP(A147,All!A:AM,39,0)</f>
        <v>22.911111111111108</v>
      </c>
      <c r="L147" s="20">
        <f>VLOOKUP(A147,All!A:AM,38,0)</f>
        <v>5.1549999999999994</v>
      </c>
      <c r="M147" s="97">
        <f>VLOOKUP(A147,'SYS Allocations'!A:G,2,0)</f>
        <v>0</v>
      </c>
      <c r="N147" s="97" t="str">
        <f>VLOOKUP(A147,'SYS Allocations'!A:G,3,0)</f>
        <v>RA</v>
      </c>
      <c r="O147" s="97">
        <f>VLOOKUP(A147,'SYS Allocations'!A:G,4,0)</f>
        <v>0</v>
      </c>
      <c r="P147" s="97">
        <f>VLOOKUP(A147,'SYS Allocations'!A:G,5,0)</f>
        <v>0</v>
      </c>
      <c r="Q147" s="97">
        <f>VLOOKUP(A147,'SYS Allocations'!A:G,6,0)</f>
        <v>0</v>
      </c>
      <c r="R147" s="12">
        <f>VLOOKUP(A147,'SYS Allocations'!A:G,7,0)</f>
        <v>5.9</v>
      </c>
    </row>
    <row r="148" spans="1:18" hidden="1">
      <c r="A148" s="35" t="s">
        <v>164</v>
      </c>
      <c r="B148" s="41" t="str">
        <f>VLOOKUP(A148,All!A:AM,2,0)</f>
        <v>MIDLANDS</v>
      </c>
      <c r="C148" s="42">
        <f>VLOOKUP(A148,All!A:AM,11,0)</f>
        <v>44707.604166666701</v>
      </c>
      <c r="D148" s="33"/>
      <c r="E148" s="17">
        <f>VLOOKUP(A148,All!A:AM,30,0)</f>
        <v>51.502732240437162</v>
      </c>
      <c r="F148" s="17">
        <f>VLOOKUP(A148,All!A:AM,28,0)</f>
        <v>8.2186000000000003</v>
      </c>
      <c r="G148" s="17">
        <f>VLOOKUP(A148,All!A:AM,31,0)</f>
        <v>-27.927927927927929</v>
      </c>
      <c r="H148" s="17">
        <f>VLOOKUP(A148,All!A:AM,29,0)</f>
        <v>-1.6895</v>
      </c>
      <c r="I148" s="6">
        <f>VLOOKUP(A148,All!A:AM,33,0)</f>
        <v>64.242810674946398</v>
      </c>
      <c r="J148" s="6">
        <f>VLOOKUP(A148,All!A:AM,32,0)</f>
        <v>13.904199999999999</v>
      </c>
      <c r="K148" s="20">
        <f>VLOOKUP(A148,All!A:AM,39,0)</f>
        <v>63.147619047619045</v>
      </c>
      <c r="L148" s="20">
        <f>VLOOKUP(A148,All!A:AM,38,0)</f>
        <v>13.260999999999999</v>
      </c>
      <c r="M148" s="97">
        <f>VLOOKUP(A148,'SYS Allocations'!A:G,2,0)</f>
        <v>0</v>
      </c>
      <c r="N148" s="97">
        <f>VLOOKUP(A148,'SYS Allocations'!A:G,3,0)</f>
        <v>0</v>
      </c>
      <c r="O148" s="97">
        <f>VLOOKUP(A148,'SYS Allocations'!A:G,4,0)</f>
        <v>0</v>
      </c>
      <c r="P148" s="97">
        <f>VLOOKUP(A148,'SYS Allocations'!A:G,5,0)</f>
        <v>0</v>
      </c>
      <c r="Q148" s="97">
        <f>VLOOKUP(A148,'SYS Allocations'!A:G,6,0)</f>
        <v>0</v>
      </c>
      <c r="R148" s="12">
        <f>VLOOKUP(A148,'SYS Allocations'!A:G,7,0)</f>
        <v>0</v>
      </c>
    </row>
    <row r="149" spans="1:18" hidden="1">
      <c r="A149" s="35" t="s">
        <v>165</v>
      </c>
      <c r="B149" s="41" t="str">
        <f>VLOOKUP(A149,All!A:AM,2,0)</f>
        <v>NORTH WEST</v>
      </c>
      <c r="C149" s="42">
        <f>VLOOKUP(A149,All!A:AM,11,0)</f>
        <v>45264</v>
      </c>
      <c r="D149" s="32"/>
      <c r="E149" s="17">
        <f>VLOOKUP(A149,All!A:AM,30,0)</f>
        <v>63.190649666059507</v>
      </c>
      <c r="F149" s="17">
        <f>VLOOKUP(A149,All!A:AM,28,0)</f>
        <v>9.0753400000000006</v>
      </c>
      <c r="G149" s="17">
        <f>VLOOKUP(A149,All!A:AM,31,0)</f>
        <v>70.190534726490483</v>
      </c>
      <c r="H149" s="17">
        <f>VLOOKUP(A149,All!A:AM,29,0)</f>
        <v>12.447800000000001</v>
      </c>
      <c r="I149" s="6">
        <f>VLOOKUP(A149,All!A:AM,33,0)</f>
        <v>-52.965856481481481</v>
      </c>
      <c r="J149" s="6">
        <f>VLOOKUP(A149,All!A:AM,32,0)</f>
        <v>-1.8305</v>
      </c>
      <c r="K149" s="20">
        <f>VLOOKUP(A149,All!A:AM,39,0)</f>
        <v>53.008888888888883</v>
      </c>
      <c r="L149" s="20">
        <f>VLOOKUP(A149,All!A:AM,38,0)</f>
        <v>5.9634999999999998</v>
      </c>
      <c r="M149" s="97">
        <f>VLOOKUP(A149,'SYS Allocations'!A:G,2,0)</f>
        <v>0</v>
      </c>
      <c r="N149" s="97">
        <f>VLOOKUP(A149,'SYS Allocations'!A:G,3,0)</f>
        <v>0</v>
      </c>
      <c r="O149" s="97">
        <f>VLOOKUP(A149,'SYS Allocations'!A:G,4,0)</f>
        <v>0</v>
      </c>
      <c r="P149" s="97">
        <f>VLOOKUP(A149,'SYS Allocations'!A:G,5,0)</f>
        <v>0</v>
      </c>
      <c r="Q149" s="97">
        <f>VLOOKUP(A149,'SYS Allocations'!A:G,6,0)</f>
        <v>0</v>
      </c>
      <c r="R149" s="12">
        <f>VLOOKUP(A149,'SYS Allocations'!A:G,7,0)</f>
        <v>0</v>
      </c>
    </row>
    <row r="150" spans="1:18" hidden="1">
      <c r="A150" s="35" t="s">
        <v>166</v>
      </c>
      <c r="B150" s="41" t="str">
        <f>VLOOKUP(A150,All!A:AM,2,0)</f>
        <v>NORTH WEST</v>
      </c>
      <c r="C150" s="42">
        <f>VLOOKUP(A150,All!A:AM,11,0)</f>
        <v>45264</v>
      </c>
      <c r="D150" s="32"/>
      <c r="E150" s="17">
        <f>VLOOKUP(A150,All!A:AM,30,0)</f>
        <v>54.755101017696909</v>
      </c>
      <c r="F150" s="17">
        <f>VLOOKUP(A150,All!A:AM,28,0)</f>
        <v>21.844000000000001</v>
      </c>
      <c r="G150" s="17">
        <f>VLOOKUP(A150,All!A:AM,31,0)</f>
        <v>35.690745524182773</v>
      </c>
      <c r="H150" s="17">
        <f>VLOOKUP(A150,All!A:AM,29,0)</f>
        <v>10.0175</v>
      </c>
      <c r="I150" s="6">
        <f>VLOOKUP(A150,All!A:AM,33,0)</f>
        <v>49.231582737050545</v>
      </c>
      <c r="J150" s="6">
        <f>VLOOKUP(A150,All!A:AM,32,0)</f>
        <v>17.503600000000002</v>
      </c>
      <c r="K150" s="20">
        <f>VLOOKUP(A150,All!A:AM,39,0)</f>
        <v>51.866666666666667</v>
      </c>
      <c r="L150" s="20">
        <f>VLOOKUP(A150,All!A:AM,38,0)</f>
        <v>19.45</v>
      </c>
      <c r="M150" s="97">
        <f>VLOOKUP(A150,'SYS Allocations'!A:G,2,0)</f>
        <v>0</v>
      </c>
      <c r="N150" s="97" t="str">
        <f>VLOOKUP(A150,'SYS Allocations'!A:G,3,0)</f>
        <v>RA</v>
      </c>
      <c r="O150" s="97">
        <f>VLOOKUP(A150,'SYS Allocations'!A:G,4,0)</f>
        <v>0</v>
      </c>
      <c r="P150" s="97">
        <f>VLOOKUP(A150,'SYS Allocations'!A:G,5,0)</f>
        <v>0</v>
      </c>
      <c r="Q150" s="97">
        <f>VLOOKUP(A150,'SYS Allocations'!A:G,6,0)</f>
        <v>0</v>
      </c>
      <c r="R150" s="12">
        <f>VLOOKUP(A150,'SYS Allocations'!A:G,7,0)</f>
        <v>1.7</v>
      </c>
    </row>
    <row r="151" spans="1:18" hidden="1">
      <c r="A151" s="35" t="s">
        <v>167</v>
      </c>
      <c r="B151" s="41" t="str">
        <f>VLOOKUP(A151,All!A:AM,2,0)</f>
        <v>LONDON</v>
      </c>
      <c r="C151" s="42">
        <f>VLOOKUP(A151,All!A:AM,11,0)</f>
        <v>44944</v>
      </c>
      <c r="D151" s="32"/>
      <c r="E151" s="17">
        <f>VLOOKUP(A151,All!A:AM,30,0)</f>
        <v>19.558373808238887</v>
      </c>
      <c r="F151" s="17">
        <f>VLOOKUP(A151,All!A:AM,28,0)</f>
        <v>21.744999999999997</v>
      </c>
      <c r="G151" s="17">
        <f>VLOOKUP(A151,All!A:AM,31,0)</f>
        <v>6.228047182175624</v>
      </c>
      <c r="H151" s="17">
        <f>VLOOKUP(A151,All!A:AM,29,0)</f>
        <v>5.9400000000000013</v>
      </c>
      <c r="I151" s="6">
        <f>VLOOKUP(A151,All!A:AM,33,0)</f>
        <v>21.283093930432329</v>
      </c>
      <c r="J151" s="6">
        <f>VLOOKUP(A151,All!A:AM,32,0)</f>
        <v>24.180999999999997</v>
      </c>
      <c r="K151" s="20">
        <f>VLOOKUP(A151,All!A:AM,39,0)</f>
        <v>-25.522807017543862</v>
      </c>
      <c r="L151" s="20">
        <f>VLOOKUP(A151,All!A:AM,38,0)</f>
        <v>-18.185000000000002</v>
      </c>
      <c r="M151" s="97">
        <f>VLOOKUP(A151,'SYS Allocations'!A:G,2,0)</f>
        <v>0</v>
      </c>
      <c r="N151" s="97">
        <f>VLOOKUP(A151,'SYS Allocations'!A:G,3,0)</f>
        <v>0</v>
      </c>
      <c r="O151" s="97">
        <f>VLOOKUP(A151,'SYS Allocations'!A:G,4,0)</f>
        <v>0</v>
      </c>
      <c r="P151" s="97">
        <f>VLOOKUP(A151,'SYS Allocations'!A:G,5,0)</f>
        <v>0</v>
      </c>
      <c r="Q151" s="97">
        <f>VLOOKUP(A151,'SYS Allocations'!A:G,6,0)</f>
        <v>0</v>
      </c>
      <c r="R151" s="12">
        <f>VLOOKUP(A151,'SYS Allocations'!A:G,7,0)</f>
        <v>11.5</v>
      </c>
    </row>
    <row r="152" spans="1:18" hidden="1">
      <c r="A152" s="35" t="s">
        <v>168</v>
      </c>
      <c r="B152" s="41" t="str">
        <f>VLOOKUP(A152,All!A:AM,2,0)</f>
        <v>NORTHERN HOME COUNTIES</v>
      </c>
      <c r="C152" s="42">
        <f>VLOOKUP(A152,All!A:AM,11,0)</f>
        <v>44676.708333333299</v>
      </c>
      <c r="D152" s="32"/>
      <c r="E152" s="17">
        <f>VLOOKUP(A152,All!A:AM,30,0)</f>
        <v>60.856269113149857</v>
      </c>
      <c r="F152" s="17">
        <f>VLOOKUP(A152,All!A:AM,28,0)</f>
        <v>21.89</v>
      </c>
      <c r="G152" s="17">
        <f>VLOOKUP(A152,All!A:AM,31,0)</f>
        <v>48.8418566627305</v>
      </c>
      <c r="H152" s="17">
        <f>VLOOKUP(A152,All!A:AM,29,0)</f>
        <v>13.442500000000001</v>
      </c>
      <c r="I152" s="6">
        <f>VLOOKUP(A152,All!A:AM,33,0)</f>
        <v>49.934573590487574</v>
      </c>
      <c r="J152" s="6">
        <f>VLOOKUP(A152,All!A:AM,32,0)</f>
        <v>14.043200000000001</v>
      </c>
      <c r="K152" s="20">
        <f>VLOOKUP(A152,All!A:AM,39,0)</f>
        <v>37.422222222222224</v>
      </c>
      <c r="L152" s="20">
        <f>VLOOKUP(A152,All!A:AM,38,0)</f>
        <v>8.42</v>
      </c>
      <c r="M152" s="97">
        <f>VLOOKUP(A152,'SYS Allocations'!A:G,2,0)</f>
        <v>0</v>
      </c>
      <c r="N152" s="97">
        <f>VLOOKUP(A152,'SYS Allocations'!A:G,3,0)</f>
        <v>0</v>
      </c>
      <c r="O152" s="97">
        <f>VLOOKUP(A152,'SYS Allocations'!A:G,4,0)</f>
        <v>0</v>
      </c>
      <c r="P152" s="97">
        <f>VLOOKUP(A152,'SYS Allocations'!A:G,5,0)</f>
        <v>0</v>
      </c>
      <c r="Q152" s="97">
        <f>VLOOKUP(A152,'SYS Allocations'!A:G,6,0)</f>
        <v>0</v>
      </c>
      <c r="R152" s="12">
        <f>VLOOKUP(A152,'SYS Allocations'!A:G,7,0)</f>
        <v>1</v>
      </c>
    </row>
    <row r="153" spans="1:18" hidden="1">
      <c r="A153" s="35" t="s">
        <v>169</v>
      </c>
      <c r="B153" s="41" t="str">
        <f>VLOOKUP(A153,All!A:AM,2,0)</f>
        <v>NORTH WEST</v>
      </c>
      <c r="C153" s="42">
        <f>VLOOKUP(A153,All!A:AM,11,0)</f>
        <v>45264</v>
      </c>
      <c r="D153" s="32"/>
      <c r="E153" s="17">
        <f>VLOOKUP(A153,All!A:AM,30,0)</f>
        <v>70.882946190383237</v>
      </c>
      <c r="F153" s="17">
        <f>VLOOKUP(A153,All!A:AM,28,0)</f>
        <v>53.16272</v>
      </c>
      <c r="G153" s="17">
        <f>VLOOKUP(A153,All!A:AM,31,0)</f>
        <v>56.4554175498346</v>
      </c>
      <c r="H153" s="17">
        <f>VLOOKUP(A153,All!A:AM,29,0)</f>
        <v>28.312899999999999</v>
      </c>
      <c r="I153" s="6">
        <f>VLOOKUP(A153,All!A:AM,33,0)</f>
        <v>69.288623374285663</v>
      </c>
      <c r="J153" s="6">
        <f>VLOOKUP(A153,All!A:AM,32,0)</f>
        <v>49.269200000000197</v>
      </c>
      <c r="K153" s="330">
        <f>VLOOKUP(A153,All!A:AM,39,0)</f>
        <v>31.520555555555557</v>
      </c>
      <c r="L153" s="330">
        <f>VLOOKUP(A153,All!A:AM,38,0)</f>
        <v>28.368500000000001</v>
      </c>
      <c r="M153" s="97">
        <f>VLOOKUP(A153,'SYS Allocations'!A:G,2,0)</f>
        <v>0</v>
      </c>
      <c r="N153" s="97">
        <f>VLOOKUP(A153,'SYS Allocations'!A:G,3,0)</f>
        <v>0</v>
      </c>
      <c r="O153" s="97">
        <f>VLOOKUP(A153,'SYS Allocations'!A:G,4,0)</f>
        <v>0</v>
      </c>
      <c r="P153" s="97">
        <f>VLOOKUP(A153,'SYS Allocations'!A:G,5,0)</f>
        <v>0</v>
      </c>
      <c r="Q153" s="97">
        <f>VLOOKUP(A153,'SYS Allocations'!A:G,6,0)</f>
        <v>0</v>
      </c>
      <c r="R153" s="12">
        <f>VLOOKUP(A153,'SYS Allocations'!A:G,7,0)</f>
        <v>2</v>
      </c>
    </row>
    <row r="154" spans="1:18" hidden="1">
      <c r="A154" s="35" t="s">
        <v>170</v>
      </c>
      <c r="B154" s="41" t="str">
        <f>VLOOKUP(A154,All!A:AM,2,0)</f>
        <v>NORTH WEST</v>
      </c>
      <c r="C154" s="42">
        <f>VLOOKUP(A154,All!A:AM,11,0)</f>
        <v>45264</v>
      </c>
      <c r="D154" s="32"/>
      <c r="E154" s="17">
        <f>VLOOKUP(A154,All!A:AM,30,0)</f>
        <v>39.177998525360508</v>
      </c>
      <c r="F154" s="17">
        <f>VLOOKUP(A154,All!A:AM,28,0)</f>
        <v>25.632660000000005</v>
      </c>
      <c r="G154" s="17">
        <f>VLOOKUP(A154,All!A:AM,31,0)</f>
        <v>-4.2186644737014349</v>
      </c>
      <c r="H154" s="17">
        <f>VLOOKUP(A154,All!A:AM,29,0)</f>
        <v>-1.6107999999999976</v>
      </c>
      <c r="I154" s="6">
        <f>VLOOKUP(A154,All!A:AM,33,0)</f>
        <v>44.037312677197399</v>
      </c>
      <c r="J154" s="6">
        <f>VLOOKUP(A154,All!A:AM,32,0)</f>
        <v>31.3137000000002</v>
      </c>
      <c r="K154" s="331"/>
      <c r="L154" s="331"/>
      <c r="M154" s="97">
        <f>VLOOKUP(A154,'SYS Allocations'!A:G,2,0)</f>
        <v>0</v>
      </c>
      <c r="N154" s="97" t="str">
        <f>VLOOKUP(A154,'SYS Allocations'!A:G,3,0)</f>
        <v>RA</v>
      </c>
      <c r="O154" s="97" t="str">
        <f>VLOOKUP(A154,'SYS Allocations'!A:G,4,0)</f>
        <v>PX</v>
      </c>
      <c r="P154" s="97">
        <f>VLOOKUP(A154,'SYS Allocations'!A:G,5,0)</f>
        <v>0</v>
      </c>
      <c r="Q154" s="97" t="str">
        <f>VLOOKUP(A154,'SYS Allocations'!A:G,6,0)</f>
        <v>OPEX</v>
      </c>
      <c r="R154" s="12">
        <f>VLOOKUP(A154,'SYS Allocations'!A:G,7,0)</f>
        <v>21.099999999999998</v>
      </c>
    </row>
    <row r="155" spans="1:18" hidden="1">
      <c r="A155" s="35" t="s">
        <v>171</v>
      </c>
      <c r="B155" s="41" t="str">
        <f>VLOOKUP(A155,All!A:AM,2,0)</f>
        <v>NORTH WEST</v>
      </c>
      <c r="C155" s="42">
        <f>VLOOKUP(A155,All!A:AM,11,0)</f>
        <v>0</v>
      </c>
      <c r="D155" s="32"/>
      <c r="E155" s="17">
        <f>VLOOKUP(A155,All!A:AM,30,0)</f>
        <v>0</v>
      </c>
      <c r="F155" s="17">
        <f>VLOOKUP(A155,All!A:AM,28,0)</f>
        <v>0</v>
      </c>
      <c r="G155" s="17">
        <f>VLOOKUP(A155,All!A:AM,31,0)</f>
        <v>0</v>
      </c>
      <c r="H155" s="17">
        <f>VLOOKUP(A155,All!A:AM,29,0)</f>
        <v>0</v>
      </c>
      <c r="I155" s="6">
        <f>VLOOKUP(A155,All!A:AM,33,0)</f>
        <v>0</v>
      </c>
      <c r="J155" s="6">
        <f>VLOOKUP(A155,All!A:AM,32,0)</f>
        <v>0</v>
      </c>
      <c r="K155" s="96">
        <f>VLOOKUP(A155,All!A:AM,39,0)</f>
        <v>0</v>
      </c>
      <c r="L155" s="96">
        <f>VLOOKUP(A155,All!A:AM,38,0)</f>
        <v>0</v>
      </c>
      <c r="M155" s="97">
        <f>VLOOKUP(A155,'SYS Allocations'!A:G,2,0)</f>
        <v>0</v>
      </c>
      <c r="N155" s="97">
        <f>VLOOKUP(A155,'SYS Allocations'!A:G,3,0)</f>
        <v>0</v>
      </c>
      <c r="O155" s="97">
        <f>VLOOKUP(A155,'SYS Allocations'!A:G,4,0)</f>
        <v>0</v>
      </c>
      <c r="P155" s="97">
        <f>VLOOKUP(A155,'SYS Allocations'!A:G,5,0)</f>
        <v>0</v>
      </c>
      <c r="Q155" s="97">
        <f>VLOOKUP(A155,'SYS Allocations'!A:G,6,0)</f>
        <v>0</v>
      </c>
      <c r="R155" s="12">
        <f>VLOOKUP(A155,'SYS Allocations'!A:G,7,0)</f>
        <v>0</v>
      </c>
    </row>
    <row r="156" spans="1:18" hidden="1">
      <c r="A156" s="38" t="s">
        <v>172</v>
      </c>
      <c r="B156" s="41" t="str">
        <f>VLOOKUP(A156,All!A:AM,2,0)</f>
        <v>NORTH WEST</v>
      </c>
      <c r="C156" s="42">
        <f>VLOOKUP(A156,All!A:AM,11,0)</f>
        <v>45264</v>
      </c>
      <c r="D156" s="32"/>
      <c r="E156" s="17">
        <f>VLOOKUP(A156,All!A:AM,30,0)</f>
        <v>46.526449854017912</v>
      </c>
      <c r="F156" s="17">
        <f>VLOOKUP(A156,All!A:AM,28,0)</f>
        <v>46.774380000000001</v>
      </c>
      <c r="G156" s="17">
        <f>VLOOKUP(A156,All!A:AM,31,0)</f>
        <v>42.174082810831045</v>
      </c>
      <c r="H156" s="17">
        <f>VLOOKUP(A156,All!A:AM,29,0)</f>
        <v>39.207599999999999</v>
      </c>
      <c r="I156" s="6">
        <f>VLOOKUP(A156,All!A:AM,33,0)</f>
        <v>-0.80273165024078186</v>
      </c>
      <c r="J156" s="6">
        <f>VLOOKUP(A156,All!A:AM,32,0)</f>
        <v>-0.42810000000000992</v>
      </c>
      <c r="K156" s="330">
        <f>VLOOKUP(A156,All!A:AM,39,0)</f>
        <v>19.175555555555562</v>
      </c>
      <c r="L156" s="330">
        <f>VLOOKUP(A156,All!A:AM,38,0)</f>
        <v>21.572500000000005</v>
      </c>
      <c r="M156" s="97" t="str">
        <f>VLOOKUP(A156,'SYS Allocations'!A:G,2,0)</f>
        <v>P-Core</v>
      </c>
      <c r="N156" s="97">
        <f>VLOOKUP(A156,'SYS Allocations'!A:G,3,0)</f>
        <v>0</v>
      </c>
      <c r="O156" s="97">
        <f>VLOOKUP(A156,'SYS Allocations'!A:G,4,0)</f>
        <v>0</v>
      </c>
      <c r="P156" s="97">
        <f>VLOOKUP(A156,'SYS Allocations'!A:G,5,0)</f>
        <v>0</v>
      </c>
      <c r="Q156" s="97">
        <f>VLOOKUP(A156,'SYS Allocations'!A:G,6,0)</f>
        <v>0</v>
      </c>
      <c r="R156" s="12">
        <f>VLOOKUP(A156,'SYS Allocations'!A:G,7,0)</f>
        <v>4</v>
      </c>
    </row>
    <row r="157" spans="1:18" hidden="1">
      <c r="A157" s="38" t="s">
        <v>173</v>
      </c>
      <c r="B157" s="41" t="str">
        <f>VLOOKUP(A157,All!A:AM,2,0)</f>
        <v>NORTH WEST</v>
      </c>
      <c r="C157" s="42">
        <f>VLOOKUP(A157,All!A:AM,11,0)</f>
        <v>45264</v>
      </c>
      <c r="D157" s="32"/>
      <c r="E157" s="17">
        <f>VLOOKUP(A157,All!A:AM,30,0)</f>
        <v>63.028016306704835</v>
      </c>
      <c r="F157" s="17">
        <f>VLOOKUP(A157,All!A:AM,28,0)</f>
        <v>63.363880000000002</v>
      </c>
      <c r="G157" s="17">
        <f>VLOOKUP(A157,All!A:AM,31,0)</f>
        <v>60.018759526321965</v>
      </c>
      <c r="H157" s="17">
        <f>VLOOKUP(A157,All!A:AM,29,0)</f>
        <v>55.7971</v>
      </c>
      <c r="I157" s="6">
        <f>VLOOKUP(A157,All!A:AM,33,0)</f>
        <v>30.304291736045482</v>
      </c>
      <c r="J157" s="6">
        <f>VLOOKUP(A157,All!A:AM,32,0)</f>
        <v>16.1614</v>
      </c>
      <c r="K157" s="331"/>
      <c r="L157" s="331"/>
      <c r="M157" s="97">
        <f>VLOOKUP(A157,'SYS Allocations'!A:G,2,0)</f>
        <v>0</v>
      </c>
      <c r="N157" s="97">
        <f>VLOOKUP(A157,'SYS Allocations'!A:G,3,0)</f>
        <v>0</v>
      </c>
      <c r="O157" s="97">
        <f>VLOOKUP(A157,'SYS Allocations'!A:G,4,0)</f>
        <v>0</v>
      </c>
      <c r="P157" s="97">
        <f>VLOOKUP(A157,'SYS Allocations'!A:G,5,0)</f>
        <v>0</v>
      </c>
      <c r="Q157" s="97">
        <f>VLOOKUP(A157,'SYS Allocations'!A:G,6,0)</f>
        <v>0</v>
      </c>
      <c r="R157" s="12">
        <f>VLOOKUP(A157,'SYS Allocations'!A:G,7,0)</f>
        <v>0</v>
      </c>
    </row>
    <row r="158" spans="1:18" hidden="1">
      <c r="A158" s="37" t="s">
        <v>174</v>
      </c>
      <c r="B158" s="41" t="str">
        <f>VLOOKUP(A158,All!A:AM,2,0)</f>
        <v>NORTH WEST</v>
      </c>
      <c r="C158" s="42">
        <f>VLOOKUP(A158,All!A:AM,11,0)</f>
        <v>45264</v>
      </c>
      <c r="D158" s="32"/>
      <c r="E158" s="17">
        <f>VLOOKUP(A158,All!A:AM,30,0)</f>
        <v>42.173950179366336</v>
      </c>
      <c r="F158" s="17">
        <f>VLOOKUP(A158,All!A:AM,28,0)</f>
        <v>83.9405</v>
      </c>
      <c r="G158" s="17">
        <f>VLOOKUP(A158,All!A:AM,31,0)</f>
        <v>28.775469158531486</v>
      </c>
      <c r="H158" s="17">
        <f>VLOOKUP(A158,All!A:AM,29,0)</f>
        <v>46.498999999999995</v>
      </c>
      <c r="I158" s="6">
        <f>VLOOKUP(A158,All!A:AM,33,0)</f>
        <v>19.070431686242671</v>
      </c>
      <c r="J158" s="6">
        <f>VLOOKUP(A158,All!A:AM,32,0)</f>
        <v>27.120899999999896</v>
      </c>
      <c r="K158" s="330">
        <f>VLOOKUP(A158,All!A:AM,39,0)</f>
        <v>37.580133333333336</v>
      </c>
      <c r="L158" s="330">
        <f>VLOOKUP(A158,All!A:AM,38,0)</f>
        <v>140.9255</v>
      </c>
      <c r="M158" s="97" t="str">
        <f>VLOOKUP(A158,'SYS Allocations'!A:G,2,0)</f>
        <v>P-Core</v>
      </c>
      <c r="N158" s="97" t="str">
        <f>VLOOKUP(A158,'SYS Allocations'!A:G,3,0)</f>
        <v>RA</v>
      </c>
      <c r="O158" s="97" t="str">
        <f>VLOOKUP(A158,'SYS Allocations'!A:G,4,0)</f>
        <v>PX</v>
      </c>
      <c r="P158" s="97">
        <f>VLOOKUP(A158,'SYS Allocations'!A:G,5,0)</f>
        <v>0</v>
      </c>
      <c r="Q158" s="97" t="str">
        <f>VLOOKUP(A158,'SYS Allocations'!A:G,6,0)</f>
        <v>OPEX</v>
      </c>
      <c r="R158" s="12">
        <f>VLOOKUP(A158,'SYS Allocations'!A:G,7,0)</f>
        <v>17.375000000000004</v>
      </c>
    </row>
    <row r="159" spans="1:18" hidden="1">
      <c r="A159" s="37" t="s">
        <v>175</v>
      </c>
      <c r="B159" s="41" t="str">
        <f>VLOOKUP(A159,All!A:AM,2,0)</f>
        <v>NORTH WEST</v>
      </c>
      <c r="C159" s="42">
        <f>VLOOKUP(A159,All!A:AM,11,0)</f>
        <v>45264</v>
      </c>
      <c r="D159" s="32"/>
      <c r="E159" s="17">
        <f>VLOOKUP(A159,All!A:AM,30,0)</f>
        <v>40.220766301234967</v>
      </c>
      <c r="F159" s="17">
        <f>VLOOKUP(A159,All!A:AM,28,0)</f>
        <v>80.052999999999997</v>
      </c>
      <c r="G159" s="17">
        <f>VLOOKUP(A159,All!A:AM,31,0)</f>
        <v>26.369726317743702</v>
      </c>
      <c r="H159" s="17">
        <f>VLOOKUP(A159,All!A:AM,29,0)</f>
        <v>42.611499999999992</v>
      </c>
      <c r="I159" s="6">
        <f>VLOOKUP(A159,All!A:AM,33,0)</f>
        <v>16.336882903559626</v>
      </c>
      <c r="J159" s="6">
        <f>VLOOKUP(A159,All!A:AM,32,0)</f>
        <v>23.2333999999999</v>
      </c>
      <c r="K159" s="331"/>
      <c r="L159" s="331"/>
      <c r="M159" s="97">
        <f>VLOOKUP(A159,'SYS Allocations'!A:G,2,0)</f>
        <v>0</v>
      </c>
      <c r="N159" s="97">
        <f>VLOOKUP(A159,'SYS Allocations'!A:G,3,0)</f>
        <v>0</v>
      </c>
      <c r="O159" s="97">
        <f>VLOOKUP(A159,'SYS Allocations'!A:G,4,0)</f>
        <v>0</v>
      </c>
      <c r="P159" s="97">
        <f>VLOOKUP(A159,'SYS Allocations'!A:G,5,0)</f>
        <v>0</v>
      </c>
      <c r="Q159" s="97">
        <f>VLOOKUP(A159,'SYS Allocations'!A:G,6,0)</f>
        <v>0</v>
      </c>
      <c r="R159" s="12">
        <f>VLOOKUP(A159,'SYS Allocations'!A:G,7,0)</f>
        <v>17.175000000000001</v>
      </c>
    </row>
    <row r="160" spans="1:18" hidden="1">
      <c r="A160" s="35" t="s">
        <v>176</v>
      </c>
      <c r="B160" s="41" t="str">
        <f>VLOOKUP(A160,All!A:AM,2,0)</f>
        <v>NORTH EAST</v>
      </c>
      <c r="C160" s="42">
        <f>VLOOKUP(A160,All!A:AM,11,0)</f>
        <v>44391.458333333299</v>
      </c>
      <c r="D160" s="32"/>
      <c r="E160" s="17">
        <f>VLOOKUP(A160,All!A:AM,30,0)</f>
        <v>72.817460317460316</v>
      </c>
      <c r="F160" s="17">
        <f>VLOOKUP(A160,All!A:AM,28,0)</f>
        <v>20.0015</v>
      </c>
      <c r="G160" s="17">
        <f>VLOOKUP(A160,All!A:AM,31,0)</f>
        <v>73.189823874755376</v>
      </c>
      <c r="H160" s="17">
        <f>VLOOKUP(A160,All!A:AM,29,0)</f>
        <v>20.382999999999999</v>
      </c>
      <c r="I160" s="6">
        <f>VLOOKUP(A160,All!A:AM,33,0)</f>
        <v>26.138611902500593</v>
      </c>
      <c r="J160" s="6">
        <f>VLOOKUP(A160,All!A:AM,32,0)</f>
        <v>2.6422999999999801</v>
      </c>
      <c r="K160" s="20">
        <f>VLOOKUP(A160,All!A:AM,39,0)</f>
        <v>66.815555555555548</v>
      </c>
      <c r="L160" s="20">
        <f>VLOOKUP(A160,All!A:AM,38,0)</f>
        <v>15.0335</v>
      </c>
      <c r="M160" s="97">
        <f>VLOOKUP(A160,'SYS Allocations'!A:G,2,0)</f>
        <v>0</v>
      </c>
      <c r="N160" s="97">
        <f>VLOOKUP(A160,'SYS Allocations'!A:G,3,0)</f>
        <v>0</v>
      </c>
      <c r="O160" s="97">
        <f>VLOOKUP(A160,'SYS Allocations'!A:G,4,0)</f>
        <v>0</v>
      </c>
      <c r="P160" s="97">
        <f>VLOOKUP(A160,'SYS Allocations'!A:G,5,0)</f>
        <v>0</v>
      </c>
      <c r="Q160" s="97">
        <f>VLOOKUP(A160,'SYS Allocations'!A:G,6,0)</f>
        <v>0</v>
      </c>
      <c r="R160" s="12">
        <f>VLOOKUP(A160,'SYS Allocations'!A:G,7,0)</f>
        <v>0</v>
      </c>
    </row>
    <row r="161" spans="1:18" hidden="1">
      <c r="A161" s="35" t="s">
        <v>177</v>
      </c>
      <c r="B161" s="41" t="str">
        <f>VLOOKUP(A161,All!A:AM,2,0)</f>
        <v>SOUTH EAST</v>
      </c>
      <c r="C161" s="42">
        <f>VLOOKUP(A161,All!A:AM,11,0)</f>
        <v>44663</v>
      </c>
      <c r="D161" s="32"/>
      <c r="E161" s="17">
        <f>VLOOKUP(A161,All!A:AM,30,0)</f>
        <v>65.691753601589667</v>
      </c>
      <c r="F161" s="17">
        <f>VLOOKUP(A161,All!A:AM,28,0)</f>
        <v>23.06222</v>
      </c>
      <c r="G161" s="17">
        <f>VLOOKUP(A161,All!A:AM,31,0)</f>
        <v>45.459032576505429</v>
      </c>
      <c r="H161" s="17">
        <f>VLOOKUP(A161,All!A:AM,29,0)</f>
        <v>10.0389</v>
      </c>
      <c r="I161" s="6">
        <f>VLOOKUP(A161,All!A:AM,33,0)</f>
        <v>66.122980513928269</v>
      </c>
      <c r="J161" s="6">
        <f>VLOOKUP(A161,All!A:AM,32,0)</f>
        <v>23.5091</v>
      </c>
      <c r="K161" s="20">
        <f>VLOOKUP(A161,All!A:AM,39,0)</f>
        <v>64.312592592592594</v>
      </c>
      <c r="L161" s="20">
        <f>VLOOKUP(A161,All!A:AM,38,0)</f>
        <v>21.705500000000001</v>
      </c>
      <c r="M161" s="97">
        <f>VLOOKUP(A161,'SYS Allocations'!A:G,2,0)</f>
        <v>0</v>
      </c>
      <c r="N161" s="97">
        <f>VLOOKUP(A161,'SYS Allocations'!A:G,3,0)</f>
        <v>0</v>
      </c>
      <c r="O161" s="97">
        <f>VLOOKUP(A161,'SYS Allocations'!A:G,4,0)</f>
        <v>0</v>
      </c>
      <c r="P161" s="97">
        <f>VLOOKUP(A161,'SYS Allocations'!A:G,5,0)</f>
        <v>0</v>
      </c>
      <c r="Q161" s="97">
        <f>VLOOKUP(A161,'SYS Allocations'!A:G,6,0)</f>
        <v>0</v>
      </c>
      <c r="R161" s="12">
        <f>VLOOKUP(A161,'SYS Allocations'!A:G,7,0)</f>
        <v>0</v>
      </c>
    </row>
    <row r="162" spans="1:18" hidden="1">
      <c r="A162" s="35" t="s">
        <v>178</v>
      </c>
      <c r="B162" s="41" t="str">
        <f>VLOOKUP(A162,All!A:AM,2,0)</f>
        <v>SCOTLAND</v>
      </c>
      <c r="C162" s="42">
        <f>VLOOKUP(A162,All!A:AM,11,0)</f>
        <v>44564.486111111102</v>
      </c>
      <c r="D162" s="32"/>
      <c r="E162" s="17">
        <f>VLOOKUP(A162,All!A:AM,30,0)</f>
        <v>-20.438328236493373</v>
      </c>
      <c r="F162" s="17">
        <f>VLOOKUP(A162,All!A:AM,28,0)</f>
        <v>-1.0024999999999999</v>
      </c>
      <c r="G162" s="17">
        <f>VLOOKUP(A162,All!A:AM,31,0)</f>
        <v>9.7239250834987898E-2</v>
      </c>
      <c r="H162" s="17">
        <f>VLOOKUP(A162,All!A:AM,29,0)</f>
        <v>5.7499999999999218E-3</v>
      </c>
      <c r="I162" s="6">
        <f>VLOOKUP(A162,All!A:AM,33,0)</f>
        <v>-70.934606481481481</v>
      </c>
      <c r="J162" s="6">
        <f>VLOOKUP(A162,All!A:AM,32,0)</f>
        <v>-2.4515000000000002</v>
      </c>
      <c r="K162" s="20">
        <f>VLOOKUP(A162,All!A:AM,39,0)</f>
        <v>1.541666666666671</v>
      </c>
      <c r="L162" s="20">
        <f>VLOOKUP(A162,All!A:AM,38,0)</f>
        <v>9.2500000000000249E-2</v>
      </c>
      <c r="M162" s="97">
        <f>VLOOKUP(A162,'SYS Allocations'!A:G,2,0)</f>
        <v>0</v>
      </c>
      <c r="N162" s="97">
        <f>VLOOKUP(A162,'SYS Allocations'!A:G,3,0)</f>
        <v>0</v>
      </c>
      <c r="O162" s="97">
        <f>VLOOKUP(A162,'SYS Allocations'!A:G,4,0)</f>
        <v>0</v>
      </c>
      <c r="P162" s="97">
        <f>VLOOKUP(A162,'SYS Allocations'!A:G,5,0)</f>
        <v>0</v>
      </c>
      <c r="Q162" s="97">
        <f>VLOOKUP(A162,'SYS Allocations'!A:G,6,0)</f>
        <v>0</v>
      </c>
      <c r="R162" s="12">
        <f>VLOOKUP(A162,'SYS Allocations'!A:G,7,0)</f>
        <v>4</v>
      </c>
    </row>
    <row r="163" spans="1:18" hidden="1">
      <c r="A163" s="35" t="s">
        <v>179</v>
      </c>
      <c r="B163" s="41" t="str">
        <f>VLOOKUP(A163,All!A:AM,2,0)</f>
        <v>NORTHERN HOME COUNTIES</v>
      </c>
      <c r="C163" s="42">
        <f>VLOOKUP(A163,All!A:AM,11,0)</f>
        <v>44553.416666666701</v>
      </c>
      <c r="D163" s="34"/>
      <c r="E163" s="17">
        <f>VLOOKUP(A163,All!A:AM,30,0)</f>
        <v>41.409467231019342</v>
      </c>
      <c r="F163" s="17">
        <f>VLOOKUP(A163,All!A:AM,28,0)</f>
        <v>18.502279999999999</v>
      </c>
      <c r="G163" s="17">
        <f>VLOOKUP(A163,All!A:AM,31,0)</f>
        <v>23.119618461393888</v>
      </c>
      <c r="H163" s="17">
        <f>VLOOKUP(A163,All!A:AM,29,0)</f>
        <v>7.8726000000000003</v>
      </c>
      <c r="I163" s="6">
        <f>VLOOKUP(A163,All!A:AM,33,0)</f>
        <v>26.367512713199222</v>
      </c>
      <c r="J163" s="6">
        <f>VLOOKUP(A163,All!A:AM,32,0)</f>
        <v>9.3745999999999992</v>
      </c>
      <c r="K163" s="20">
        <f>VLOOKUP(A163,All!A:AM,39,0)</f>
        <v>51.520370370370372</v>
      </c>
      <c r="L163" s="20">
        <f>VLOOKUP(A163,All!A:AM,38,0)</f>
        <v>27.821000000000002</v>
      </c>
      <c r="M163" s="97">
        <f>VLOOKUP(A163,'SYS Allocations'!A:G,2,0)</f>
        <v>0</v>
      </c>
      <c r="N163" s="97">
        <f>VLOOKUP(A163,'SYS Allocations'!A:G,3,0)</f>
        <v>0</v>
      </c>
      <c r="O163" s="97">
        <f>VLOOKUP(A163,'SYS Allocations'!A:G,4,0)</f>
        <v>0</v>
      </c>
      <c r="P163" s="97">
        <f>VLOOKUP(A163,'SYS Allocations'!A:G,5,0)</f>
        <v>0</v>
      </c>
      <c r="Q163" s="97">
        <f>VLOOKUP(A163,'SYS Allocations'!A:G,6,0)</f>
        <v>0</v>
      </c>
      <c r="R163" s="12">
        <f>VLOOKUP(A163,'SYS Allocations'!A:G,7,0)</f>
        <v>1</v>
      </c>
    </row>
    <row r="164" spans="1:18" hidden="1">
      <c r="A164" s="35" t="s">
        <v>180</v>
      </c>
      <c r="B164" s="41" t="str">
        <f>VLOOKUP(A164,All!A:AM,2,0)</f>
        <v>THAMES VALLEY</v>
      </c>
      <c r="C164" s="42">
        <f>VLOOKUP(A164,All!A:AM,11,0)</f>
        <v>45098</v>
      </c>
      <c r="D164" s="5"/>
      <c r="E164" s="17">
        <f>VLOOKUP(A164,All!A:AM,30,0)</f>
        <v>45.042743953294405</v>
      </c>
      <c r="F164" s="17">
        <f>VLOOKUP(A164,All!A:AM,28,0)</f>
        <v>12.961499999999999</v>
      </c>
      <c r="G164" s="17">
        <f>VLOOKUP(A164,All!A:AM,31,0)</f>
        <v>18.718680132603502</v>
      </c>
      <c r="H164" s="17">
        <f>VLOOKUP(A164,All!A:AM,29,0)</f>
        <v>3.6420000000000003</v>
      </c>
      <c r="I164" s="6">
        <f>VLOOKUP(A164,All!A:AM,33,0)</f>
        <v>41.614611022505763</v>
      </c>
      <c r="J164" s="6">
        <f>VLOOKUP(A164,All!A:AM,32,0)</f>
        <v>11.2719</v>
      </c>
      <c r="K164" s="20">
        <f>VLOOKUP(A164,All!A:AM,39,0)</f>
        <v>52.077272727272721</v>
      </c>
      <c r="L164" s="20">
        <f>VLOOKUP(A164,All!A:AM,38,0)</f>
        <v>17.185499999999998</v>
      </c>
      <c r="M164" s="97">
        <f>VLOOKUP(A164,'SYS Allocations'!A:G,2,0)</f>
        <v>0</v>
      </c>
      <c r="N164" s="97">
        <f>VLOOKUP(A164,'SYS Allocations'!A:G,3,0)</f>
        <v>0</v>
      </c>
      <c r="O164" s="97">
        <f>VLOOKUP(A164,'SYS Allocations'!A:G,4,0)</f>
        <v>0</v>
      </c>
      <c r="P164" s="97">
        <f>VLOOKUP(A164,'SYS Allocations'!A:G,5,0)</f>
        <v>0</v>
      </c>
      <c r="Q164" s="97">
        <f>VLOOKUP(A164,'SYS Allocations'!A:G,6,0)</f>
        <v>0</v>
      </c>
      <c r="R164" s="12">
        <f>VLOOKUP(A164,'SYS Allocations'!A:G,7,0)</f>
        <v>0.5</v>
      </c>
    </row>
    <row r="165" spans="1:18" hidden="1">
      <c r="A165" s="35" t="s">
        <v>181</v>
      </c>
      <c r="B165" s="41" t="str">
        <f>VLOOKUP(A165,All!A:AM,2,0)</f>
        <v>MIDLANDS</v>
      </c>
      <c r="C165" s="42">
        <f>VLOOKUP(A165,All!A:AM,11,0)</f>
        <v>44624.375</v>
      </c>
      <c r="D165" s="5"/>
      <c r="E165" s="17">
        <f>VLOOKUP(A165,All!A:AM,30,0)</f>
        <v>74.141295862607336</v>
      </c>
      <c r="F165" s="17">
        <f>VLOOKUP(A165,All!A:AM,28,0)</f>
        <v>8.2818199999999997</v>
      </c>
      <c r="G165" s="17">
        <f>VLOOKUP(A165,All!A:AM,31,0)</f>
        <v>71.59699892818864</v>
      </c>
      <c r="H165" s="17">
        <f>VLOOKUP(A165,All!A:AM,29,0)</f>
        <v>7.2812000000000001</v>
      </c>
      <c r="I165" s="6">
        <f>VLOOKUP(A165,All!A:AM,33,0)</f>
        <v>59.720827755466367</v>
      </c>
      <c r="J165" s="6">
        <f>VLOOKUP(A165,All!A:AM,32,0)</f>
        <v>4.2827000000000099</v>
      </c>
      <c r="K165" s="20">
        <f>VLOOKUP(A165,All!A:AM,39,0)</f>
        <v>74.324444444444438</v>
      </c>
      <c r="L165" s="20">
        <f>VLOOKUP(A165,All!A:AM,38,0)</f>
        <v>8.3614999999999995</v>
      </c>
      <c r="M165" s="97">
        <f>VLOOKUP(A165,'SYS Allocations'!A:G,2,0)</f>
        <v>0</v>
      </c>
      <c r="N165" s="97">
        <f>VLOOKUP(A165,'SYS Allocations'!A:G,3,0)</f>
        <v>0</v>
      </c>
      <c r="O165" s="97">
        <f>VLOOKUP(A165,'SYS Allocations'!A:G,4,0)</f>
        <v>0</v>
      </c>
      <c r="P165" s="97">
        <f>VLOOKUP(A165,'SYS Allocations'!A:G,5,0)</f>
        <v>0</v>
      </c>
      <c r="Q165" s="97">
        <f>VLOOKUP(A165,'SYS Allocations'!A:G,6,0)</f>
        <v>0</v>
      </c>
      <c r="R165" s="12">
        <f>VLOOKUP(A165,'SYS Allocations'!A:G,7,0)</f>
        <v>0</v>
      </c>
    </row>
    <row r="166" spans="1:18" hidden="1">
      <c r="A166" s="35" t="s">
        <v>182</v>
      </c>
      <c r="B166" s="41" t="str">
        <f>VLOOKUP(A166,All!A:AM,2,0)</f>
        <v>MIDLANDS</v>
      </c>
      <c r="C166" s="42">
        <f>VLOOKUP(A166,All!A:AM,11,0)</f>
        <v>44498.708333333299</v>
      </c>
      <c r="D166" s="5"/>
      <c r="E166" s="17">
        <f>VLOOKUP(A166,All!A:AM,30,0)</f>
        <v>31.995830617803847</v>
      </c>
      <c r="F166" s="17">
        <f>VLOOKUP(A166,All!A:AM,28,0)</f>
        <v>15.317299999999999</v>
      </c>
      <c r="G166" s="17">
        <f>VLOOKUP(A166,All!A:AM,31,0)</f>
        <v>11.503907577302073</v>
      </c>
      <c r="H166" s="17">
        <f>VLOOKUP(A166,All!A:AM,29,0)</f>
        <v>4.2320000000000002</v>
      </c>
      <c r="I166" s="6">
        <f>VLOOKUP(A166,All!A:AM,33,0)</f>
        <v>14.119710878970164</v>
      </c>
      <c r="J166" s="6">
        <f>VLOOKUP(A166,All!A:AM,32,0)</f>
        <v>5.3525000000000098</v>
      </c>
      <c r="K166" s="20">
        <f>VLOOKUP(A166,All!A:AM,39,0)</f>
        <v>67.362907268170432</v>
      </c>
      <c r="L166" s="20">
        <f>VLOOKUP(A166,All!A:AM,38,0)</f>
        <v>67.194500000000005</v>
      </c>
      <c r="M166" s="97">
        <f>VLOOKUP(A166,'SYS Allocations'!A:G,2,0)</f>
        <v>0</v>
      </c>
      <c r="N166" s="97">
        <f>VLOOKUP(A166,'SYS Allocations'!A:G,3,0)</f>
        <v>0</v>
      </c>
      <c r="O166" s="97">
        <f>VLOOKUP(A166,'SYS Allocations'!A:G,4,0)</f>
        <v>0</v>
      </c>
      <c r="P166" s="97">
        <f>VLOOKUP(A166,'SYS Allocations'!A:G,5,0)</f>
        <v>0</v>
      </c>
      <c r="Q166" s="97">
        <f>VLOOKUP(A166,'SYS Allocations'!A:G,6,0)</f>
        <v>0</v>
      </c>
      <c r="R166" s="12">
        <f>VLOOKUP(A166,'SYS Allocations'!A:G,7,0)</f>
        <v>1</v>
      </c>
    </row>
    <row r="167" spans="1:18" hidden="1">
      <c r="A167" s="35" t="s">
        <v>183</v>
      </c>
      <c r="B167" s="41" t="str">
        <f>VLOOKUP(A167,All!A:AM,2,0)</f>
        <v>MIDLANDS</v>
      </c>
      <c r="C167" s="42">
        <f>VLOOKUP(A167,All!A:AM,11,0)</f>
        <v>44729.636111111096</v>
      </c>
      <c r="D167" s="5"/>
      <c r="E167" s="17">
        <f>VLOOKUP(A167,All!A:AM,30,0)</f>
        <v>59.224999999999994</v>
      </c>
      <c r="F167" s="17">
        <f>VLOOKUP(A167,All!A:AM,28,0)</f>
        <v>12.911049999999999</v>
      </c>
      <c r="G167" s="17">
        <f>VLOOKUP(A167,All!A:AM,31,0)</f>
        <v>49.269051321928458</v>
      </c>
      <c r="H167" s="17">
        <f>VLOOKUP(A167,All!A:AM,29,0)</f>
        <v>8.6327999999999996</v>
      </c>
      <c r="I167" s="6">
        <f>VLOOKUP(A167,All!A:AM,33,0)</f>
        <v>41.378139179065037</v>
      </c>
      <c r="J167" s="6">
        <f>VLOOKUP(A167,All!A:AM,32,0)</f>
        <v>6.2742499999999897</v>
      </c>
      <c r="K167" s="20">
        <f>VLOOKUP(A167,All!A:AM,39,0)</f>
        <v>80.24677777777778</v>
      </c>
      <c r="L167" s="20">
        <f>VLOOKUP(A167,All!A:AM,38,0)</f>
        <v>36.111049999999999</v>
      </c>
      <c r="M167" s="97">
        <f>VLOOKUP(A167,'SYS Allocations'!A:G,2,0)</f>
        <v>0</v>
      </c>
      <c r="N167" s="97">
        <f>VLOOKUP(A167,'SYS Allocations'!A:G,3,0)</f>
        <v>0</v>
      </c>
      <c r="O167" s="97">
        <f>VLOOKUP(A167,'SYS Allocations'!A:G,4,0)</f>
        <v>0</v>
      </c>
      <c r="P167" s="97">
        <f>VLOOKUP(A167,'SYS Allocations'!A:G,5,0)</f>
        <v>0</v>
      </c>
      <c r="Q167" s="97">
        <f>VLOOKUP(A167,'SYS Allocations'!A:G,6,0)</f>
        <v>0</v>
      </c>
      <c r="R167" s="12">
        <f>VLOOKUP(A167,'SYS Allocations'!A:G,7,0)</f>
        <v>0</v>
      </c>
    </row>
    <row r="168" spans="1:18" hidden="1">
      <c r="A168" s="35" t="s">
        <v>184</v>
      </c>
      <c r="B168" s="41" t="str">
        <f>VLOOKUP(A168,All!A:AM,2,0)</f>
        <v>ANGLIA</v>
      </c>
      <c r="C168" s="42">
        <f>VLOOKUP(A168,All!A:AM,11,0)</f>
        <v>45264</v>
      </c>
      <c r="D168" s="5"/>
      <c r="E168" s="17">
        <f>VLOOKUP(A168,All!A:AM,30,0)</f>
        <v>24.273282532043247</v>
      </c>
      <c r="F168" s="17">
        <f>VLOOKUP(A168,All!A:AM,28,0)</f>
        <v>2.3240599999999998</v>
      </c>
      <c r="G168" s="17">
        <f>VLOOKUP(A168,All!A:AM,31,0)</f>
        <v>-33.570981172395982</v>
      </c>
      <c r="H168" s="17">
        <f>VLOOKUP(A168,All!A:AM,29,0)</f>
        <v>-1.8222999999999989</v>
      </c>
      <c r="I168" s="6">
        <f>VLOOKUP(A168,All!A:AM,33,0)</f>
        <v>60.657372679758986</v>
      </c>
      <c r="J168" s="6">
        <f>VLOOKUP(A168,All!A:AM,32,0)</f>
        <v>11.17862</v>
      </c>
      <c r="K168" s="20">
        <f>VLOOKUP(A168,All!A:AM,39,0)</f>
        <v>35.551111111111112</v>
      </c>
      <c r="L168" s="20">
        <f>VLOOKUP(A168,All!A:AM,38,0)</f>
        <v>3.9994999999999998</v>
      </c>
      <c r="M168" s="97">
        <f>VLOOKUP(A168,'SYS Allocations'!A:G,2,0)</f>
        <v>0</v>
      </c>
      <c r="N168" s="97" t="str">
        <f>VLOOKUP(A168,'SYS Allocations'!A:G,3,0)</f>
        <v>RA</v>
      </c>
      <c r="O168" s="97">
        <f>VLOOKUP(A168,'SYS Allocations'!A:G,4,0)</f>
        <v>0</v>
      </c>
      <c r="P168" s="97">
        <f>VLOOKUP(A168,'SYS Allocations'!A:G,5,0)</f>
        <v>0</v>
      </c>
      <c r="Q168" s="97">
        <f>VLOOKUP(A168,'SYS Allocations'!A:G,6,0)</f>
        <v>0</v>
      </c>
      <c r="R168" s="12">
        <f>VLOOKUP(A168,'SYS Allocations'!A:G,7,0)</f>
        <v>2.4</v>
      </c>
    </row>
    <row r="169" spans="1:18" hidden="1">
      <c r="A169" s="35" t="s">
        <v>185</v>
      </c>
      <c r="B169" s="41" t="str">
        <f>VLOOKUP(A169,All!A:AM,2,0)</f>
        <v>ANGLIA</v>
      </c>
      <c r="C169" s="42">
        <f>VLOOKUP(A169,All!A:AM,11,0)</f>
        <v>44565.75</v>
      </c>
      <c r="D169" s="5"/>
      <c r="E169" s="17">
        <f>VLOOKUP(A169,All!A:AM,30,0)</f>
        <v>50.910353613546484</v>
      </c>
      <c r="F169" s="17">
        <f>VLOOKUP(A169,All!A:AM,28,0)</f>
        <v>13.810919999999999</v>
      </c>
      <c r="G169" s="17">
        <f>VLOOKUP(A169,All!A:AM,31,0)</f>
        <v>15.944745836528719</v>
      </c>
      <c r="H169" s="17">
        <f>VLOOKUP(A169,All!A:AM,29,0)</f>
        <v>2.5261499999999999</v>
      </c>
      <c r="I169" s="6">
        <f>VLOOKUP(A169,All!A:AM,33,0)</f>
        <v>52.756492124308224</v>
      </c>
      <c r="J169" s="6">
        <f>VLOOKUP(A169,All!A:AM,32,0)</f>
        <v>14.871</v>
      </c>
      <c r="K169" s="20">
        <f>VLOOKUP(A169,All!A:AM,39,0)</f>
        <v>40.813333333333333</v>
      </c>
      <c r="L169" s="20">
        <f>VLOOKUP(A169,All!A:AM,38,0)</f>
        <v>9.1829999999999998</v>
      </c>
      <c r="M169" s="97">
        <f>VLOOKUP(A169,'SYS Allocations'!A:G,2,0)</f>
        <v>0</v>
      </c>
      <c r="N169" s="97">
        <f>VLOOKUP(A169,'SYS Allocations'!A:G,3,0)</f>
        <v>0</v>
      </c>
      <c r="O169" s="97">
        <f>VLOOKUP(A169,'SYS Allocations'!A:G,4,0)</f>
        <v>0</v>
      </c>
      <c r="P169" s="97">
        <f>VLOOKUP(A169,'SYS Allocations'!A:G,5,0)</f>
        <v>0</v>
      </c>
      <c r="Q169" s="97">
        <f>VLOOKUP(A169,'SYS Allocations'!A:G,6,0)</f>
        <v>0</v>
      </c>
      <c r="R169" s="12">
        <f>VLOOKUP(A169,'SYS Allocations'!A:G,7,0)</f>
        <v>1</v>
      </c>
    </row>
    <row r="170" spans="1:18" hidden="1">
      <c r="A170" s="35" t="s">
        <v>186</v>
      </c>
      <c r="B170" s="41" t="str">
        <f>VLOOKUP(A170,All!A:AM,2,0)</f>
        <v>NORTH WEST</v>
      </c>
      <c r="C170" s="42">
        <f>VLOOKUP(A170,All!A:AM,11,0)</f>
        <v>45264</v>
      </c>
      <c r="D170" s="5"/>
      <c r="E170" s="17">
        <f>VLOOKUP(A170,All!A:AM,30,0)</f>
        <v>55.5352935278488</v>
      </c>
      <c r="F170" s="17">
        <f>VLOOKUP(A170,All!A:AM,28,0)</f>
        <v>8.8620999999999999</v>
      </c>
      <c r="G170" s="17">
        <f>VLOOKUP(A170,All!A:AM,31,0)</f>
        <v>39.162308153991255</v>
      </c>
      <c r="H170" s="17">
        <f>VLOOKUP(A170,All!A:AM,29,0)</f>
        <v>4.5674999999999999</v>
      </c>
      <c r="I170" s="6">
        <f>VLOOKUP(A170,All!A:AM,33,0)</f>
        <v>52.419558173469092</v>
      </c>
      <c r="J170" s="6">
        <f>VLOOKUP(A170,All!A:AM,32,0)</f>
        <v>7.8171400000000206</v>
      </c>
      <c r="K170" s="20">
        <f>VLOOKUP(A170,All!A:AM,39,0)</f>
        <v>32.423809523809524</v>
      </c>
      <c r="L170" s="20">
        <f>VLOOKUP(A170,All!A:AM,38,0)</f>
        <v>3.4044999999999996</v>
      </c>
      <c r="M170" s="97">
        <f>VLOOKUP(A170,'SYS Allocations'!A:G,2,0)</f>
        <v>0</v>
      </c>
      <c r="N170" s="97" t="str">
        <f>VLOOKUP(A170,'SYS Allocations'!A:G,3,0)</f>
        <v>RA</v>
      </c>
      <c r="O170" s="97">
        <f>VLOOKUP(A170,'SYS Allocations'!A:G,4,0)</f>
        <v>0</v>
      </c>
      <c r="P170" s="97">
        <f>VLOOKUP(A170,'SYS Allocations'!A:G,5,0)</f>
        <v>0</v>
      </c>
      <c r="Q170" s="97">
        <f>VLOOKUP(A170,'SYS Allocations'!A:G,6,0)</f>
        <v>0</v>
      </c>
      <c r="R170" s="12">
        <f>VLOOKUP(A170,'SYS Allocations'!A:G,7,0)</f>
        <v>1.7</v>
      </c>
    </row>
    <row r="171" spans="1:18" hidden="1">
      <c r="A171" s="35" t="s">
        <v>187</v>
      </c>
      <c r="B171" s="41" t="str">
        <f>VLOOKUP(A171,All!A:AM,2,0)</f>
        <v>NORTH EAST</v>
      </c>
      <c r="C171" s="42">
        <f>VLOOKUP(A171,All!A:AM,11,0)</f>
        <v>45264</v>
      </c>
      <c r="D171" s="5"/>
      <c r="E171" s="17">
        <f>VLOOKUP(A171,All!A:AM,30,0)</f>
        <v>13.445024476152129</v>
      </c>
      <c r="F171" s="17">
        <f>VLOOKUP(A171,All!A:AM,28,0)</f>
        <v>6.6510600000000011</v>
      </c>
      <c r="G171" s="17">
        <f>VLOOKUP(A171,All!A:AM,31,0)</f>
        <v>-20.018668169089885</v>
      </c>
      <c r="H171" s="17">
        <f>VLOOKUP(A171,All!A:AM,29,0)</f>
        <v>-7.1417999999999999</v>
      </c>
      <c r="I171" s="6">
        <f>VLOOKUP(A171,All!A:AM,33,0)</f>
        <v>-1.344154737559641</v>
      </c>
      <c r="J171" s="6">
        <f>VLOOKUP(A171,All!A:AM,32,0)</f>
        <v>-0.56789999999999807</v>
      </c>
      <c r="K171" s="20">
        <f>VLOOKUP(A171,All!A:AM,39,0)</f>
        <v>4.8500000000000023</v>
      </c>
      <c r="L171" s="20">
        <f>VLOOKUP(A171,All!A:AM,38,0)</f>
        <v>2.182500000000001</v>
      </c>
      <c r="M171" s="97">
        <f>VLOOKUP(A171,'SYS Allocations'!A:G,2,0)</f>
        <v>0</v>
      </c>
      <c r="N171" s="97" t="str">
        <f>VLOOKUP(A171,'SYS Allocations'!A:G,3,0)</f>
        <v>RA</v>
      </c>
      <c r="O171" s="97">
        <f>VLOOKUP(A171,'SYS Allocations'!A:G,4,0)</f>
        <v>0</v>
      </c>
      <c r="P171" s="97">
        <f>VLOOKUP(A171,'SYS Allocations'!A:G,5,0)</f>
        <v>0</v>
      </c>
      <c r="Q171" s="97" t="str">
        <f>VLOOKUP(A171,'SYS Allocations'!A:G,6,0)</f>
        <v>OPEX</v>
      </c>
      <c r="R171" s="12">
        <f>VLOOKUP(A171,'SYS Allocations'!A:G,7,0)</f>
        <v>20.2</v>
      </c>
    </row>
    <row r="172" spans="1:18" hidden="1">
      <c r="A172" s="35" t="s">
        <v>188</v>
      </c>
      <c r="B172" s="41" t="str">
        <f>VLOOKUP(A172,All!A:AM,2,0)</f>
        <v>NORTH EAST</v>
      </c>
      <c r="C172" s="42">
        <f>VLOOKUP(A172,All!A:AM,11,0)</f>
        <v>44638.5</v>
      </c>
      <c r="D172" s="5"/>
      <c r="E172" s="17">
        <f>VLOOKUP(A172,All!A:AM,30,0)</f>
        <v>60.974456007568584</v>
      </c>
      <c r="F172" s="17">
        <f>VLOOKUP(A172,All!A:AM,28,0)</f>
        <v>11.240080000000001</v>
      </c>
      <c r="G172" s="17">
        <f>VLOOKUP(A172,All!A:AM,31,0)</f>
        <v>56.550362080315992</v>
      </c>
      <c r="H172" s="17">
        <f>VLOOKUP(A172,All!A:AM,29,0)</f>
        <v>9.3630999999999993</v>
      </c>
      <c r="I172" s="6">
        <f>VLOOKUP(A172,All!A:AM,33,0)</f>
        <v>28.834283000949469</v>
      </c>
      <c r="J172" s="6">
        <f>VLOOKUP(A172,All!A:AM,32,0)</f>
        <v>2.9147999999999801</v>
      </c>
      <c r="K172" s="20">
        <f>VLOOKUP(A172,All!A:AM,39,0)</f>
        <v>68.026666666666671</v>
      </c>
      <c r="L172" s="20">
        <f>VLOOKUP(A172,All!A:AM,38,0)</f>
        <v>15.306000000000001</v>
      </c>
      <c r="M172" s="97">
        <f>VLOOKUP(A172,'SYS Allocations'!A:G,2,0)</f>
        <v>0</v>
      </c>
      <c r="N172" s="97">
        <f>VLOOKUP(A172,'SYS Allocations'!A:G,3,0)</f>
        <v>0</v>
      </c>
      <c r="O172" s="97">
        <f>VLOOKUP(A172,'SYS Allocations'!A:G,4,0)</f>
        <v>0</v>
      </c>
      <c r="P172" s="97">
        <f>VLOOKUP(A172,'SYS Allocations'!A:G,5,0)</f>
        <v>0</v>
      </c>
      <c r="Q172" s="97">
        <f>VLOOKUP(A172,'SYS Allocations'!A:G,6,0)</f>
        <v>0</v>
      </c>
      <c r="R172" s="12">
        <f>VLOOKUP(A172,'SYS Allocations'!A:G,7,0)</f>
        <v>0</v>
      </c>
    </row>
    <row r="173" spans="1:18" hidden="1">
      <c r="A173" s="35" t="s">
        <v>189</v>
      </c>
      <c r="B173" s="41" t="str">
        <f>VLOOKUP(A173,All!A:AM,2,0)</f>
        <v>WALES</v>
      </c>
      <c r="C173" s="42">
        <f>VLOOKUP(A173,All!A:AM,11,0)</f>
        <v>44532.583333333299</v>
      </c>
      <c r="D173" s="5"/>
      <c r="E173" s="17">
        <f>VLOOKUP(A173,All!A:AM,30,0)</f>
        <v>29.999999999999996</v>
      </c>
      <c r="F173" s="17">
        <f>VLOOKUP(A173,All!A:AM,28,0)</f>
        <v>3.597</v>
      </c>
      <c r="G173" s="17">
        <f>VLOOKUP(A173,All!A:AM,31,0)</f>
        <v>10.109731968701015</v>
      </c>
      <c r="H173" s="17">
        <f>VLOOKUP(A173,All!A:AM,29,0)</f>
        <v>0.94393956400000101</v>
      </c>
      <c r="I173" s="6">
        <f>VLOOKUP(A173,All!A:AM,33,0)</f>
        <v>28.043552812071248</v>
      </c>
      <c r="J173" s="6">
        <f>VLOOKUP(A173,All!A:AM,32,0)</f>
        <v>3.2709999999999901</v>
      </c>
      <c r="K173" s="20">
        <f>VLOOKUP(A173,All!A:AM,39,0)</f>
        <v>62.697777777777773</v>
      </c>
      <c r="L173" s="20">
        <f>VLOOKUP(A173,All!A:AM,38,0)</f>
        <v>14.106999999999999</v>
      </c>
      <c r="M173" s="97">
        <f>VLOOKUP(A173,'SYS Allocations'!A:G,2,0)</f>
        <v>0</v>
      </c>
      <c r="N173" s="97">
        <f>VLOOKUP(A173,'SYS Allocations'!A:G,3,0)</f>
        <v>0</v>
      </c>
      <c r="O173" s="97">
        <f>VLOOKUP(A173,'SYS Allocations'!A:G,4,0)</f>
        <v>0</v>
      </c>
      <c r="P173" s="97">
        <f>VLOOKUP(A173,'SYS Allocations'!A:G,5,0)</f>
        <v>0</v>
      </c>
      <c r="Q173" s="97">
        <f>VLOOKUP(A173,'SYS Allocations'!A:G,6,0)</f>
        <v>0</v>
      </c>
      <c r="R173" s="12">
        <f>VLOOKUP(A173,'SYS Allocations'!A:G,7,0)</f>
        <v>0</v>
      </c>
    </row>
    <row r="174" spans="1:18" hidden="1">
      <c r="A174" s="40" t="s">
        <v>190</v>
      </c>
      <c r="B174" s="41" t="str">
        <f>VLOOKUP(A174,All!A:AM,2,0)</f>
        <v>WALES</v>
      </c>
      <c r="C174" s="42">
        <f>VLOOKUP(A174,All!A:AM,11,0)</f>
        <v>44355.416666666701</v>
      </c>
      <c r="D174" s="19"/>
      <c r="E174" s="17">
        <f>VLOOKUP(A174,All!A:AM,30,0)</f>
        <v>55.89640672782874</v>
      </c>
      <c r="F174" s="17">
        <f>VLOOKUP(A174,All!A:AM,28,0)</f>
        <v>14.622499999999999</v>
      </c>
      <c r="G174" s="17">
        <f>VLOOKUP(A174,All!A:AM,31,0)</f>
        <v>44.143206409915038</v>
      </c>
      <c r="H174" s="17">
        <f>VLOOKUP(A174,All!A:AM,29,0)</f>
        <v>9.1180000000000003</v>
      </c>
      <c r="I174" s="6">
        <f>VLOOKUP(A174,All!A:AM,33,0)</f>
        <v>38.604193273733401</v>
      </c>
      <c r="J174" s="6">
        <f>VLOOKUP(A174,All!A:AM,32,0)</f>
        <v>7.2544999999999806</v>
      </c>
      <c r="K174" s="330">
        <f>VLOOKUP(A174,All!A:AM,39,0)</f>
        <v>52.56111111111111</v>
      </c>
      <c r="L174" s="330">
        <f>VLOOKUP(A174,All!A:AM,38,0)</f>
        <v>23.6525</v>
      </c>
      <c r="M174" s="97">
        <f>VLOOKUP(A174,'SYS Allocations'!A:G,2,0)</f>
        <v>0</v>
      </c>
      <c r="N174" s="97">
        <f>VLOOKUP(A174,'SYS Allocations'!A:G,3,0)</f>
        <v>0</v>
      </c>
      <c r="O174" s="97">
        <f>VLOOKUP(A174,'SYS Allocations'!A:G,4,0)</f>
        <v>0</v>
      </c>
      <c r="P174" s="97">
        <f>VLOOKUP(A174,'SYS Allocations'!A:G,5,0)</f>
        <v>0</v>
      </c>
      <c r="Q174" s="97">
        <f>VLOOKUP(A174,'SYS Allocations'!A:G,6,0)</f>
        <v>0</v>
      </c>
      <c r="R174" s="12">
        <f>VLOOKUP(A174,'SYS Allocations'!A:G,7,0)</f>
        <v>2</v>
      </c>
    </row>
    <row r="175" spans="1:18" hidden="1">
      <c r="A175" s="40" t="s">
        <v>191</v>
      </c>
      <c r="B175" s="41" t="str">
        <f>VLOOKUP(A175,All!A:AM,2,0)</f>
        <v>WALES</v>
      </c>
      <c r="C175" s="42">
        <f>VLOOKUP(A175,All!A:AM,11,0)</f>
        <v>44355.5</v>
      </c>
      <c r="D175" s="19"/>
      <c r="E175" s="17">
        <f>VLOOKUP(A175,All!A:AM,30,0)</f>
        <v>50</v>
      </c>
      <c r="F175" s="17">
        <f>VLOOKUP(A175,All!A:AM,28,0)</f>
        <v>9.81</v>
      </c>
      <c r="G175" s="17">
        <f>VLOOKUP(A175,All!A:AM,31,0)</f>
        <v>21.397379912663755</v>
      </c>
      <c r="H175" s="17">
        <f>VLOOKUP(A175,All!A:AM,29,0)</f>
        <v>2.6705000000000001</v>
      </c>
      <c r="I175" s="6">
        <f>VLOOKUP(A175,All!A:AM,33,0)</f>
        <v>47.796934865900276</v>
      </c>
      <c r="J175" s="6">
        <f>VLOOKUP(A175,All!A:AM,32,0)</f>
        <v>8.9819999999999798</v>
      </c>
      <c r="K175" s="331"/>
      <c r="L175" s="331"/>
      <c r="M175" s="97">
        <f>VLOOKUP(A175,'SYS Allocations'!A:G,2,0)</f>
        <v>0</v>
      </c>
      <c r="N175" s="97">
        <f>VLOOKUP(A175,'SYS Allocations'!A:G,3,0)</f>
        <v>0</v>
      </c>
      <c r="O175" s="97">
        <f>VLOOKUP(A175,'SYS Allocations'!A:G,4,0)</f>
        <v>0</v>
      </c>
      <c r="P175" s="97">
        <f>VLOOKUP(A175,'SYS Allocations'!A:G,5,0)</f>
        <v>0</v>
      </c>
      <c r="Q175" s="97">
        <f>VLOOKUP(A175,'SYS Allocations'!A:G,6,0)</f>
        <v>0</v>
      </c>
      <c r="R175" s="12">
        <f>VLOOKUP(A175,'SYS Allocations'!A:G,7,0)</f>
        <v>0</v>
      </c>
    </row>
    <row r="176" spans="1:18" hidden="1">
      <c r="A176" s="80" t="s">
        <v>192</v>
      </c>
      <c r="B176" s="41" t="str">
        <f>VLOOKUP(A176,All!A:AM,2,0)</f>
        <v>SOUTH WEST</v>
      </c>
      <c r="C176" s="42">
        <f>VLOOKUP(A176,All!A:AM,11,0)</f>
        <v>45264</v>
      </c>
      <c r="D176" s="5"/>
      <c r="E176" s="17">
        <f>VLOOKUP(A176,All!A:AM,30,0)</f>
        <v>68.431223695173173</v>
      </c>
      <c r="F176" s="17">
        <f>VLOOKUP(A176,All!A:AM,28,0)</f>
        <v>22.93196</v>
      </c>
      <c r="G176" s="17">
        <f>VLOOKUP(A176,All!A:AM,31,0)</f>
        <v>60.912184506017077</v>
      </c>
      <c r="H176" s="17">
        <f>VLOOKUP(A176,All!A:AM,29,0)</f>
        <v>16.485700000000001</v>
      </c>
      <c r="I176" s="6">
        <f>VLOOKUP(A176,All!A:AM,33,0)</f>
        <v>53.969124199387366</v>
      </c>
      <c r="J176" s="6">
        <f>VLOOKUP(A176,All!A:AM,32,0)</f>
        <v>12.403400000000001</v>
      </c>
      <c r="K176" s="20">
        <f>VLOOKUP(A176,All!A:AM,39,0)</f>
        <v>46.610256410256405</v>
      </c>
      <c r="L176" s="20">
        <f>VLOOKUP(A176,All!A:AM,38,0)</f>
        <v>18.177999999999997</v>
      </c>
      <c r="M176" s="97">
        <f>VLOOKUP(A176,'SYS Allocations'!A:G,2,0)</f>
        <v>0</v>
      </c>
      <c r="N176" s="97" t="str">
        <f>VLOOKUP(A176,'SYS Allocations'!A:G,3,0)</f>
        <v>RA</v>
      </c>
      <c r="O176" s="97">
        <f>VLOOKUP(A176,'SYS Allocations'!A:G,4,0)</f>
        <v>0</v>
      </c>
      <c r="P176" s="97" t="str">
        <f>VLOOKUP(A176,'SYS Allocations'!A:G,5,0)</f>
        <v>AM</v>
      </c>
      <c r="Q176" s="97">
        <f>VLOOKUP(A176,'SYS Allocations'!A:G,6,0)</f>
        <v>0</v>
      </c>
      <c r="R176" s="12">
        <f>VLOOKUP(A176,'SYS Allocations'!A:G,7,0)</f>
        <v>7.2</v>
      </c>
    </row>
    <row r="177" spans="1:18" hidden="1">
      <c r="A177" s="80" t="s">
        <v>193</v>
      </c>
      <c r="B177" s="41" t="str">
        <f>VLOOKUP(A177,All!A:AM,2,0)</f>
        <v>SOUTH WEST</v>
      </c>
      <c r="C177" s="42">
        <f>VLOOKUP(A177,All!A:AM,11,0)</f>
        <v>45264</v>
      </c>
      <c r="D177" s="19"/>
      <c r="E177" s="17">
        <f>VLOOKUP(A177,All!A:AM,30,0)</f>
        <v>69.433880736332242</v>
      </c>
      <c r="F177" s="17">
        <f>VLOOKUP(A177,All!A:AM,28,0)</f>
        <v>23.267959999999999</v>
      </c>
      <c r="G177" s="17">
        <f>VLOOKUP(A177,All!A:AM,31,0)</f>
        <v>62.153654021659214</v>
      </c>
      <c r="H177" s="17">
        <f>VLOOKUP(A177,All!A:AM,29,0)</f>
        <v>16.8217</v>
      </c>
      <c r="I177" s="6">
        <f>VLOOKUP(A177,All!A:AM,33,0)</f>
        <v>55.431112503480932</v>
      </c>
      <c r="J177" s="6">
        <f>VLOOKUP(A177,All!A:AM,32,0)</f>
        <v>12.7394</v>
      </c>
      <c r="K177" s="20">
        <f>VLOOKUP(A177,All!A:AM,39,0)</f>
        <v>0</v>
      </c>
      <c r="L177" s="20">
        <f>VLOOKUP(A177,All!A:AM,38,0)</f>
        <v>0</v>
      </c>
      <c r="M177" s="97">
        <f>VLOOKUP(A177,'SYS Allocations'!A:G,2,0)</f>
        <v>0</v>
      </c>
      <c r="N177" s="97">
        <f>VLOOKUP(A177,'SYS Allocations'!A:G,3,0)</f>
        <v>0</v>
      </c>
      <c r="O177" s="97">
        <f>VLOOKUP(A177,'SYS Allocations'!A:G,4,0)</f>
        <v>0</v>
      </c>
      <c r="P177" s="97">
        <f>VLOOKUP(A177,'SYS Allocations'!A:G,5,0)</f>
        <v>0</v>
      </c>
      <c r="Q177" s="97">
        <f>VLOOKUP(A177,'SYS Allocations'!A:G,6,0)</f>
        <v>0</v>
      </c>
      <c r="R177" s="12">
        <f>VLOOKUP(A177,'SYS Allocations'!A:G,7,0)</f>
        <v>7.3000000000000007</v>
      </c>
    </row>
    <row r="178" spans="1:18" hidden="1">
      <c r="A178" s="37" t="s">
        <v>194</v>
      </c>
      <c r="B178" s="41" t="str">
        <f>VLOOKUP(A178,All!A:AM,2,0)</f>
        <v>SOUTH WEST</v>
      </c>
      <c r="C178" s="42">
        <f>VLOOKUP(A178,All!A:AM,11,0)</f>
        <v>43840</v>
      </c>
      <c r="D178" s="19"/>
      <c r="E178" s="17">
        <f>VLOOKUP(A178,All!A:AM,30,0)</f>
        <v>55.548274355613806</v>
      </c>
      <c r="F178" s="17">
        <f>VLOOKUP(A178,All!A:AM,28,0)</f>
        <v>12.715</v>
      </c>
      <c r="G178" s="17">
        <f>VLOOKUP(A178,All!A:AM,31,0)</f>
        <v>8.9281718505258461</v>
      </c>
      <c r="H178" s="17">
        <f>VLOOKUP(A178,All!A:AM,29,0)</f>
        <v>0.99750000000000005</v>
      </c>
      <c r="I178" s="6">
        <f>VLOOKUP(A178,All!A:AM,33,0)</f>
        <v>63.819906696250783</v>
      </c>
      <c r="J178" s="6">
        <f>VLOOKUP(A178,All!A:AM,32,0)</f>
        <v>17.9482</v>
      </c>
      <c r="K178" s="330">
        <f>VLOOKUP(A178,All!A:AM,39,0)</f>
        <v>72.180645161290315</v>
      </c>
      <c r="L178" s="330">
        <f>VLOOKUP(A178,All!A:AM,38,0)</f>
        <v>83.91</v>
      </c>
      <c r="M178" s="97">
        <f>VLOOKUP(A178,'SYS Allocations'!A:G,2,0)</f>
        <v>0</v>
      </c>
      <c r="N178" s="97">
        <f>VLOOKUP(A178,'SYS Allocations'!A:G,3,0)</f>
        <v>0</v>
      </c>
      <c r="O178" s="97">
        <f>VLOOKUP(A178,'SYS Allocations'!A:G,4,0)</f>
        <v>0</v>
      </c>
      <c r="P178" s="97">
        <f>VLOOKUP(A178,'SYS Allocations'!A:G,5,0)</f>
        <v>0</v>
      </c>
      <c r="Q178" s="97">
        <f>VLOOKUP(A178,'SYS Allocations'!A:G,6,0)</f>
        <v>0</v>
      </c>
      <c r="R178" s="12">
        <f>VLOOKUP(A178,'SYS Allocations'!A:G,7,0)</f>
        <v>2</v>
      </c>
    </row>
    <row r="179" spans="1:18" hidden="1">
      <c r="A179" s="37" t="s">
        <v>195</v>
      </c>
      <c r="B179" s="41" t="str">
        <f>VLOOKUP(A179,All!A:AM,2,0)</f>
        <v>SOUTH WEST</v>
      </c>
      <c r="C179" s="42">
        <f>VLOOKUP(A179,All!A:AM,11,0)</f>
        <v>44461.625</v>
      </c>
      <c r="D179" s="19"/>
      <c r="E179" s="17">
        <f>VLOOKUP(A179,All!A:AM,30,0)</f>
        <v>90.550458715596321</v>
      </c>
      <c r="F179" s="17">
        <f>VLOOKUP(A179,All!A:AM,28,0)</f>
        <v>29.61</v>
      </c>
      <c r="G179" s="17">
        <f>VLOOKUP(A179,All!A:AM,31,0)</f>
        <v>83.800786369593709</v>
      </c>
      <c r="H179" s="17">
        <f>VLOOKUP(A179,All!A:AM,29,0)</f>
        <v>15.984999999999999</v>
      </c>
      <c r="I179" s="6">
        <f>VLOOKUP(A179,All!A:AM,33,0)</f>
        <v>91.308896989334414</v>
      </c>
      <c r="J179" s="6">
        <f>VLOOKUP(A179,All!A:AM,32,0)</f>
        <v>32.4636</v>
      </c>
      <c r="K179" s="332"/>
      <c r="L179" s="332"/>
      <c r="M179" s="97">
        <f>VLOOKUP(A179,'SYS Allocations'!A:G,2,0)</f>
        <v>0</v>
      </c>
      <c r="N179" s="97">
        <f>VLOOKUP(A179,'SYS Allocations'!A:G,3,0)</f>
        <v>0</v>
      </c>
      <c r="O179" s="97">
        <f>VLOOKUP(A179,'SYS Allocations'!A:G,4,0)</f>
        <v>0</v>
      </c>
      <c r="P179" s="97">
        <f>VLOOKUP(A179,'SYS Allocations'!A:G,5,0)</f>
        <v>0</v>
      </c>
      <c r="Q179" s="97">
        <f>VLOOKUP(A179,'SYS Allocations'!A:G,6,0)</f>
        <v>0</v>
      </c>
      <c r="R179" s="12">
        <f>VLOOKUP(A179,'SYS Allocations'!A:G,7,0)</f>
        <v>2</v>
      </c>
    </row>
    <row r="180" spans="1:18" hidden="1">
      <c r="A180" s="38" t="s">
        <v>196</v>
      </c>
      <c r="B180" s="41" t="str">
        <f>VLOOKUP(A180,All!A:AM,2,0)</f>
        <v>SOUTH WEST</v>
      </c>
      <c r="C180" s="42">
        <f>VLOOKUP(A180,All!A:AM,11,0)</f>
        <v>43840</v>
      </c>
      <c r="D180" s="19"/>
      <c r="E180" s="17">
        <f>VLOOKUP(A180,All!A:AM,30,0)</f>
        <v>64.285714285714292</v>
      </c>
      <c r="F180" s="17">
        <f>VLOOKUP(A180,All!A:AM,28,0)</f>
        <v>14.715</v>
      </c>
      <c r="G180" s="17">
        <f>VLOOKUP(A180,All!A:AM,31,0)</f>
        <v>26.829268292682929</v>
      </c>
      <c r="H180" s="17">
        <f>VLOOKUP(A180,All!A:AM,29,0)</f>
        <v>2.9975000000000001</v>
      </c>
      <c r="I180" s="6">
        <f>VLOOKUP(A180,All!A:AM,33,0)</f>
        <v>70.931472947601989</v>
      </c>
      <c r="J180" s="6">
        <f>VLOOKUP(A180,All!A:AM,32,0)</f>
        <v>19.9482</v>
      </c>
      <c r="K180" s="332"/>
      <c r="L180" s="332"/>
      <c r="M180" s="97">
        <f>VLOOKUP(A180,'SYS Allocations'!A:G,2,0)</f>
        <v>0</v>
      </c>
      <c r="N180" s="97">
        <f>VLOOKUP(A180,'SYS Allocations'!A:G,3,0)</f>
        <v>0</v>
      </c>
      <c r="O180" s="97">
        <f>VLOOKUP(A180,'SYS Allocations'!A:G,4,0)</f>
        <v>0</v>
      </c>
      <c r="P180" s="97">
        <f>VLOOKUP(A180,'SYS Allocations'!A:G,5,0)</f>
        <v>0</v>
      </c>
      <c r="Q180" s="97">
        <f>VLOOKUP(A180,'SYS Allocations'!A:G,6,0)</f>
        <v>0</v>
      </c>
      <c r="R180" s="12">
        <f>VLOOKUP(A180,'SYS Allocations'!A:G,7,0)</f>
        <v>0</v>
      </c>
    </row>
    <row r="181" spans="1:18" hidden="1">
      <c r="A181" s="38" t="s">
        <v>197</v>
      </c>
      <c r="B181" s="41" t="str">
        <f>VLOOKUP(A181,All!A:AM,2,0)</f>
        <v>SOUTH WEST</v>
      </c>
      <c r="C181" s="42">
        <f>VLOOKUP(A181,All!A:AM,11,0)</f>
        <v>44461.666666666701</v>
      </c>
      <c r="D181" s="19"/>
      <c r="E181" s="17">
        <f>VLOOKUP(A181,All!A:AM,30,0)</f>
        <v>62.962962962962969</v>
      </c>
      <c r="F181" s="17">
        <f>VLOOKUP(A181,All!A:AM,28,0)</f>
        <v>18.53</v>
      </c>
      <c r="G181" s="17">
        <f>VLOOKUP(A181,All!A:AM,31,0)</f>
        <v>27.272727272727273</v>
      </c>
      <c r="H181" s="17">
        <f>VLOOKUP(A181,All!A:AM,29,0)</f>
        <v>4.0875000000000004</v>
      </c>
      <c r="I181" s="6">
        <f>VLOOKUP(A181,All!A:AM,33,0)</f>
        <v>69.342063813509739</v>
      </c>
      <c r="J181" s="6">
        <f>VLOOKUP(A181,All!A:AM,32,0)</f>
        <v>24.653600000000001</v>
      </c>
      <c r="K181" s="331"/>
      <c r="L181" s="331"/>
      <c r="M181" s="97">
        <f>VLOOKUP(A181,'SYS Allocations'!A:G,2,0)</f>
        <v>0</v>
      </c>
      <c r="N181" s="97">
        <f>VLOOKUP(A181,'SYS Allocations'!A:G,3,0)</f>
        <v>0</v>
      </c>
      <c r="O181" s="97">
        <f>VLOOKUP(A181,'SYS Allocations'!A:G,4,0)</f>
        <v>0</v>
      </c>
      <c r="P181" s="97">
        <f>VLOOKUP(A181,'SYS Allocations'!A:G,5,0)</f>
        <v>0</v>
      </c>
      <c r="Q181" s="97">
        <f>VLOOKUP(A181,'SYS Allocations'!A:G,6,0)</f>
        <v>0</v>
      </c>
      <c r="R181" s="12">
        <f>VLOOKUP(A181,'SYS Allocations'!A:G,7,0)</f>
        <v>0</v>
      </c>
    </row>
    <row r="182" spans="1:18" hidden="1">
      <c r="A182" s="37" t="s">
        <v>198</v>
      </c>
      <c r="B182" s="41" t="str">
        <f>VLOOKUP(A182,All!A:AM,2,0)</f>
        <v>SOUTH WEST</v>
      </c>
      <c r="C182" s="42">
        <f>VLOOKUP(A182,All!A:AM,11,0)</f>
        <v>45264</v>
      </c>
      <c r="D182" s="5"/>
      <c r="E182" s="17">
        <f>VLOOKUP(A182,All!A:AM,30,0)</f>
        <v>67.474151328607022</v>
      </c>
      <c r="F182" s="17">
        <f>VLOOKUP(A182,All!A:AM,28,0)</f>
        <v>31.22504</v>
      </c>
      <c r="G182" s="17">
        <f>VLOOKUP(A182,All!A:AM,31,0)</f>
        <v>63.726886493494604</v>
      </c>
      <c r="H182" s="17">
        <f>VLOOKUP(A182,All!A:AM,29,0)</f>
        <v>26.444299999999998</v>
      </c>
      <c r="I182" s="6">
        <f>VLOOKUP(A182,All!A:AM,33,0)</f>
        <v>43.52902335074134</v>
      </c>
      <c r="J182" s="6">
        <f>VLOOKUP(A182,All!A:AM,32,0)</f>
        <v>11.602399999999999</v>
      </c>
      <c r="K182" s="20">
        <f>VLOOKUP(A182,All!A:AM,39,0)</f>
        <v>84.921612822439258</v>
      </c>
      <c r="L182" s="20">
        <f>VLOOKUP(A182,All!A:AM,38,0)</f>
        <v>84.772999999999996</v>
      </c>
      <c r="M182" s="97">
        <f>VLOOKUP(A182,'SYS Allocations'!A:G,2,0)</f>
        <v>0</v>
      </c>
      <c r="N182" s="97" t="str">
        <f>VLOOKUP(A182,'SYS Allocations'!A:G,3,0)</f>
        <v>RA</v>
      </c>
      <c r="O182" s="97">
        <f>VLOOKUP(A182,'SYS Allocations'!A:G,4,0)</f>
        <v>0</v>
      </c>
      <c r="P182" s="97" t="str">
        <f>VLOOKUP(A182,'SYS Allocations'!A:G,5,0)</f>
        <v>AM</v>
      </c>
      <c r="Q182" s="97">
        <f>VLOOKUP(A182,'SYS Allocations'!A:G,6,0)</f>
        <v>0</v>
      </c>
      <c r="R182" s="12">
        <f>VLOOKUP(A182,'SYS Allocations'!A:G,7,0)</f>
        <v>12</v>
      </c>
    </row>
    <row r="183" spans="1:18" hidden="1">
      <c r="A183" s="37" t="s">
        <v>199</v>
      </c>
      <c r="B183" s="41" t="str">
        <f>VLOOKUP(A183,All!A:AM,2,0)</f>
        <v>SOUTH WEST</v>
      </c>
      <c r="C183" s="42">
        <f>VLOOKUP(A183,All!A:AM,11,0)</f>
        <v>45264</v>
      </c>
      <c r="D183" s="5"/>
      <c r="E183" s="17">
        <f>VLOOKUP(A183,All!A:AM,30,0)</f>
        <v>50.259351073448094</v>
      </c>
      <c r="F183" s="17">
        <f>VLOOKUP(A183,All!A:AM,28,0)</f>
        <v>23.258540000000004</v>
      </c>
      <c r="G183" s="17">
        <f>VLOOKUP(A183,All!A:AM,31,0)</f>
        <v>44.528789313746046</v>
      </c>
      <c r="H183" s="17">
        <f>VLOOKUP(A183,All!A:AM,29,0)</f>
        <v>18.477799999999998</v>
      </c>
      <c r="I183" s="6">
        <f>VLOOKUP(A183,All!A:AM,33,0)</f>
        <v>13.640899813914398</v>
      </c>
      <c r="J183" s="6">
        <f>VLOOKUP(A183,All!A:AM,32,0)</f>
        <v>3.6358999999999995</v>
      </c>
      <c r="K183" s="20">
        <f>VLOOKUP(A183,All!A:AM,39,0)</f>
        <v>76.9411470072627</v>
      </c>
      <c r="L183" s="20">
        <f>VLOOKUP(A183,All!A:AM,38,0)</f>
        <v>76.8065</v>
      </c>
      <c r="M183" s="97">
        <f>VLOOKUP(A183,'SYS Allocations'!A:G,2,0)</f>
        <v>0</v>
      </c>
      <c r="N183" s="97">
        <f>VLOOKUP(A183,'SYS Allocations'!A:G,3,0)</f>
        <v>0</v>
      </c>
      <c r="O183" s="97">
        <f>VLOOKUP(A183,'SYS Allocations'!A:G,4,0)</f>
        <v>0</v>
      </c>
      <c r="P183" s="97">
        <f>VLOOKUP(A183,'SYS Allocations'!A:G,5,0)</f>
        <v>0</v>
      </c>
      <c r="Q183" s="97">
        <f>VLOOKUP(A183,'SYS Allocations'!A:G,6,0)</f>
        <v>0</v>
      </c>
      <c r="R183" s="12">
        <f>VLOOKUP(A183,'SYS Allocations'!A:G,7,0)</f>
        <v>12.5</v>
      </c>
    </row>
    <row r="184" spans="1:18" hidden="1">
      <c r="A184" t="s">
        <v>200</v>
      </c>
      <c r="B184" s="41" t="str">
        <f>VLOOKUP(A184,All!A:AM,2,0)</f>
        <v>NORTH WEST</v>
      </c>
      <c r="C184" s="42">
        <f>VLOOKUP(A184,All!A:AM,11,0)</f>
        <v>44616.583333333299</v>
      </c>
      <c r="D184" s="5"/>
      <c r="E184" s="17">
        <f>VLOOKUP(A184,All!A:AM,30,0)</f>
        <v>91.999999999999986</v>
      </c>
      <c r="F184" s="17">
        <f>VLOOKUP(A184,All!A:AM,28,0)</f>
        <v>4.0111999999999997</v>
      </c>
      <c r="G184" s="17">
        <f>VLOOKUP(A184,All!A:AM,31,0)</f>
        <v>15.789473684210527</v>
      </c>
      <c r="H184" s="17">
        <f>VLOOKUP(A184,All!A:AM,29,0)</f>
        <v>6.54E-2</v>
      </c>
      <c r="I184" s="6">
        <f>VLOOKUP(A184,All!A:AM,33,0)</f>
        <v>95.635635635635623</v>
      </c>
      <c r="J184" s="6">
        <f>VLOOKUP(A184,All!A:AM,32,0)</f>
        <v>7.6431999999999798</v>
      </c>
      <c r="K184" s="20">
        <f>VLOOKUP(A184,All!A:AM,39,0)</f>
        <v>96.124444444444435</v>
      </c>
      <c r="L184" s="20">
        <f>VLOOKUP(A184,All!A:AM,38,0)</f>
        <v>8.6511999999999993</v>
      </c>
      <c r="M184" s="97">
        <f>VLOOKUP(A184,'SYS Allocations'!A:G,2,0)</f>
        <v>0</v>
      </c>
      <c r="N184" s="97">
        <f>VLOOKUP(A184,'SYS Allocations'!A:G,3,0)</f>
        <v>0</v>
      </c>
      <c r="O184" s="97">
        <f>VLOOKUP(A184,'SYS Allocations'!A:G,4,0)</f>
        <v>0</v>
      </c>
      <c r="P184" s="97">
        <f>VLOOKUP(A184,'SYS Allocations'!A:G,5,0)</f>
        <v>0</v>
      </c>
      <c r="Q184" s="97">
        <f>VLOOKUP(A184,'SYS Allocations'!A:G,6,0)</f>
        <v>0</v>
      </c>
      <c r="R184" s="12">
        <f>VLOOKUP(A184,'SYS Allocations'!A:G,7,0)</f>
        <v>0</v>
      </c>
    </row>
    <row r="185" spans="1:18" hidden="1">
      <c r="A185" s="79" t="s">
        <v>201</v>
      </c>
      <c r="B185" s="41" t="str">
        <f>VLOOKUP(A185,All!A:AM,2,0)</f>
        <v>SOUTH WEST</v>
      </c>
      <c r="C185" s="42">
        <f>VLOOKUP(A185,All!A:AM,11,0)</f>
        <v>45264</v>
      </c>
      <c r="D185" s="5"/>
      <c r="E185" s="17">
        <f>VLOOKUP(A185,All!A:AM,30,0)</f>
        <v>51.167974163792124</v>
      </c>
      <c r="F185" s="17">
        <f>VLOOKUP(A185,All!A:AM,28,0)</f>
        <v>25.312060000000002</v>
      </c>
      <c r="G185" s="17">
        <f>VLOOKUP(A185,All!A:AM,31,0)</f>
        <v>39.662601128492824</v>
      </c>
      <c r="H185" s="17">
        <f>VLOOKUP(A185,All!A:AM,29,0)</f>
        <v>15.879199999999999</v>
      </c>
      <c r="I185" s="6">
        <f>VLOOKUP(A185,All!A:AM,33,0)</f>
        <v>32.056106835875973</v>
      </c>
      <c r="J185" s="6">
        <f>VLOOKUP(A185,All!A:AM,32,0)</f>
        <v>11.3971</v>
      </c>
      <c r="K185" s="20">
        <f>VLOOKUP(A185,All!A:AM,39,0)</f>
        <v>43.563703703703695</v>
      </c>
      <c r="L185" s="20">
        <f>VLOOKUP(A185,All!A:AM,38,0)</f>
        <v>29.405499999999996</v>
      </c>
      <c r="M185" s="97">
        <f>VLOOKUP(A185,'SYS Allocations'!A:G,2,0)</f>
        <v>0</v>
      </c>
      <c r="N185" s="97" t="str">
        <f>VLOOKUP(A185,'SYS Allocations'!A:G,3,0)</f>
        <v>RA</v>
      </c>
      <c r="O185" s="97">
        <f>VLOOKUP(A185,'SYS Allocations'!A:G,4,0)</f>
        <v>0</v>
      </c>
      <c r="P185" s="97" t="str">
        <f>VLOOKUP(A185,'SYS Allocations'!A:G,5,0)</f>
        <v>AM</v>
      </c>
      <c r="Q185" s="97">
        <f>VLOOKUP(A185,'SYS Allocations'!A:G,6,0)</f>
        <v>0</v>
      </c>
      <c r="R185" s="12">
        <f>VLOOKUP(A185,'SYS Allocations'!A:G,7,0)</f>
        <v>10.15</v>
      </c>
    </row>
    <row r="186" spans="1:18" hidden="1">
      <c r="A186" s="79" t="s">
        <v>202</v>
      </c>
      <c r="B186" s="41" t="str">
        <f>VLOOKUP(A186,All!A:AM,2,0)</f>
        <v>SOUTH WEST</v>
      </c>
      <c r="C186" s="42">
        <f>VLOOKUP(A186,All!A:AM,11,0)</f>
        <v>45264</v>
      </c>
      <c r="D186" s="5"/>
      <c r="E186" s="17">
        <f>VLOOKUP(A186,All!A:AM,30,0)</f>
        <v>71.824528549042057</v>
      </c>
      <c r="F186" s="17">
        <f>VLOOKUP(A186,All!A:AM,28,0)</f>
        <v>35.530559999999994</v>
      </c>
      <c r="G186" s="17">
        <f>VLOOKUP(A186,All!A:AM,31,0)</f>
        <v>65.186071431247612</v>
      </c>
      <c r="H186" s="17">
        <f>VLOOKUP(A186,All!A:AM,29,0)</f>
        <v>26.097699999999996</v>
      </c>
      <c r="I186" s="6">
        <f>VLOOKUP(A186,All!A:AM,33,0)</f>
        <v>60.797218847036582</v>
      </c>
      <c r="J186" s="6">
        <f>VLOOKUP(A186,All!A:AM,32,0)</f>
        <v>21.615600000000001</v>
      </c>
      <c r="K186" s="20">
        <f>VLOOKUP(A186,All!A:AM,39,0)</f>
        <v>0</v>
      </c>
      <c r="L186" s="20">
        <f>VLOOKUP(A186,All!A:AM,38,0)</f>
        <v>0</v>
      </c>
      <c r="M186" s="97">
        <f>VLOOKUP(A186,'SYS Allocations'!A:G,2,0)</f>
        <v>0</v>
      </c>
      <c r="N186" s="97">
        <f>VLOOKUP(A186,'SYS Allocations'!A:G,3,0)</f>
        <v>0</v>
      </c>
      <c r="O186" s="97">
        <f>VLOOKUP(A186,'SYS Allocations'!A:G,4,0)</f>
        <v>0</v>
      </c>
      <c r="P186" s="97">
        <f>VLOOKUP(A186,'SYS Allocations'!A:G,5,0)</f>
        <v>0</v>
      </c>
      <c r="Q186" s="97">
        <f>VLOOKUP(A186,'SYS Allocations'!A:G,6,0)</f>
        <v>0</v>
      </c>
      <c r="R186" s="12">
        <f>VLOOKUP(A186,'SYS Allocations'!A:G,7,0)</f>
        <v>10.450000000000001</v>
      </c>
    </row>
    <row r="187" spans="1:18" hidden="1">
      <c r="A187" s="35" t="s">
        <v>203</v>
      </c>
      <c r="B187" s="41" t="str">
        <f>VLOOKUP(A187,All!A:AM,2,0)</f>
        <v>SCOTLAND</v>
      </c>
      <c r="C187" s="42">
        <f>VLOOKUP(A187,All!A:AM,11,0)</f>
        <v>44564.597222222197</v>
      </c>
      <c r="D187" s="5"/>
      <c r="E187" s="17">
        <f>VLOOKUP(A187,All!A:AM,30,0)</f>
        <v>54.057084607543317</v>
      </c>
      <c r="F187" s="17">
        <f>VLOOKUP(A187,All!A:AM,28,0)</f>
        <v>2.6515</v>
      </c>
      <c r="G187" s="17">
        <f>VLOOKUP(A187,All!A:AM,31,0)</f>
        <v>27.838352786717262</v>
      </c>
      <c r="H187" s="17">
        <f>VLOOKUP(A187,All!A:AM,29,0)</f>
        <v>0.86935000000000007</v>
      </c>
      <c r="I187" s="6">
        <f>VLOOKUP(A187,All!A:AM,33,0)</f>
        <v>55.867722629566963</v>
      </c>
      <c r="J187" s="6">
        <f>VLOOKUP(A187,All!A:AM,32,0)</f>
        <v>2.8527399999999998</v>
      </c>
      <c r="K187" s="20">
        <f>VLOOKUP(A187,All!A:AM,39,0)</f>
        <v>55.154228855721399</v>
      </c>
      <c r="L187" s="20">
        <f>VLOOKUP(A187,All!A:AM,38,0)</f>
        <v>2.7715000000000005</v>
      </c>
      <c r="M187" s="97">
        <f>VLOOKUP(A187,'SYS Allocations'!A:G,2,0)</f>
        <v>0</v>
      </c>
      <c r="N187" s="97">
        <f>VLOOKUP(A187,'SYS Allocations'!A:G,3,0)</f>
        <v>0</v>
      </c>
      <c r="O187" s="97">
        <f>VLOOKUP(A187,'SYS Allocations'!A:G,4,0)</f>
        <v>0</v>
      </c>
      <c r="P187" s="97">
        <f>VLOOKUP(A187,'SYS Allocations'!A:G,5,0)</f>
        <v>0</v>
      </c>
      <c r="Q187" s="97">
        <f>VLOOKUP(A187,'SYS Allocations'!A:G,6,0)</f>
        <v>0</v>
      </c>
      <c r="R187" s="12">
        <f>VLOOKUP(A187,'SYS Allocations'!A:G,7,0)</f>
        <v>1</v>
      </c>
    </row>
    <row r="188" spans="1:18" hidden="1">
      <c r="A188" s="35" t="s">
        <v>204</v>
      </c>
      <c r="B188" s="41" t="str">
        <f>VLOOKUP(A188,All!A:AM,2,0)</f>
        <v>LONDON</v>
      </c>
      <c r="C188" s="42">
        <f>VLOOKUP(A188,All!A:AM,11,0)</f>
        <v>44531</v>
      </c>
      <c r="D188" s="5"/>
      <c r="E188" s="17">
        <f>VLOOKUP(A188,All!A:AM,30,0)</f>
        <v>19.400249948076688</v>
      </c>
      <c r="F188" s="17">
        <f>VLOOKUP(A188,All!A:AM,28,0)</f>
        <v>4.3341399999999997</v>
      </c>
      <c r="G188" s="17">
        <f>VLOOKUP(A188,All!A:AM,31,0)</f>
        <v>4.8950790406321145</v>
      </c>
      <c r="H188" s="17">
        <f>VLOOKUP(A188,All!A:AM,29,0)</f>
        <v>0.92680000000000007</v>
      </c>
      <c r="I188" s="6">
        <f>VLOOKUP(A188,All!A:AM,33,0)</f>
        <v>57.990613824871033</v>
      </c>
      <c r="J188" s="6">
        <f>VLOOKUP(A188,All!A:AM,32,0)</f>
        <v>24.856539999999999</v>
      </c>
      <c r="K188" s="20">
        <f>VLOOKUP(A188,All!A:AM,39,0)</f>
        <v>51.98266666666666</v>
      </c>
      <c r="L188" s="20">
        <f>VLOOKUP(A188,All!A:AM,38,0)</f>
        <v>19.493499999999997</v>
      </c>
      <c r="M188" s="97">
        <f>VLOOKUP(A188,'SYS Allocations'!A:G,2,0)</f>
        <v>0</v>
      </c>
      <c r="N188" s="97">
        <f>VLOOKUP(A188,'SYS Allocations'!A:G,3,0)</f>
        <v>0</v>
      </c>
      <c r="O188" s="97">
        <f>VLOOKUP(A188,'SYS Allocations'!A:G,4,0)</f>
        <v>0</v>
      </c>
      <c r="P188" s="97">
        <f>VLOOKUP(A188,'SYS Allocations'!A:G,5,0)</f>
        <v>0</v>
      </c>
      <c r="Q188" s="97">
        <f>VLOOKUP(A188,'SYS Allocations'!A:G,6,0)</f>
        <v>0</v>
      </c>
      <c r="R188" s="12">
        <f>VLOOKUP(A188,'SYS Allocations'!A:G,7,0)</f>
        <v>4</v>
      </c>
    </row>
    <row r="189" spans="1:18" hidden="1">
      <c r="A189" s="35" t="s">
        <v>205</v>
      </c>
      <c r="B189" s="41" t="str">
        <f>VLOOKUP(A189,All!A:AM,2,0)</f>
        <v>ANGLIA</v>
      </c>
      <c r="C189" s="42">
        <f>VLOOKUP(A189,All!A:AM,11,0)</f>
        <v>44782</v>
      </c>
      <c r="D189" s="5"/>
      <c r="E189" s="17">
        <f>VLOOKUP(A189,All!A:AM,30,0)</f>
        <v>40.704115907153955</v>
      </c>
      <c r="F189" s="17">
        <f>VLOOKUP(A189,All!A:AM,28,0)</f>
        <v>16.238499999999998</v>
      </c>
      <c r="G189" s="17">
        <f>VLOOKUP(A189,All!A:AM,31,0)</f>
        <v>28.728099908106234</v>
      </c>
      <c r="H189" s="17">
        <f>VLOOKUP(A189,All!A:AM,29,0)</f>
        <v>9.5350000000000001</v>
      </c>
      <c r="I189" s="6">
        <f>VLOOKUP(A189,All!A:AM,33,0)</f>
        <v>9.4158778298564396</v>
      </c>
      <c r="J189" s="6">
        <f>VLOOKUP(A189,All!A:AM,32,0)</f>
        <v>2.4589000000000301</v>
      </c>
      <c r="K189" s="20">
        <f>VLOOKUP(A189,All!A:AM,39,0)</f>
        <v>61.060905349794226</v>
      </c>
      <c r="L189" s="20">
        <f>VLOOKUP(A189,All!A:AM,38,0)</f>
        <v>37.094499999999996</v>
      </c>
      <c r="M189" s="97">
        <f>VLOOKUP(A189,'SYS Allocations'!A:G,2,0)</f>
        <v>0</v>
      </c>
      <c r="N189" s="97">
        <f>VLOOKUP(A189,'SYS Allocations'!A:G,3,0)</f>
        <v>0</v>
      </c>
      <c r="O189" s="97">
        <f>VLOOKUP(A189,'SYS Allocations'!A:G,4,0)</f>
        <v>0</v>
      </c>
      <c r="P189" s="97">
        <f>VLOOKUP(A189,'SYS Allocations'!A:G,5,0)</f>
        <v>0</v>
      </c>
      <c r="Q189" s="97">
        <f>VLOOKUP(A189,'SYS Allocations'!A:G,6,0)</f>
        <v>0</v>
      </c>
      <c r="R189" s="12">
        <f>VLOOKUP(A189,'SYS Allocations'!A:G,7,0)</f>
        <v>3</v>
      </c>
    </row>
    <row r="190" spans="1:18" hidden="1">
      <c r="A190" s="35" t="s">
        <v>206</v>
      </c>
      <c r="B190" s="41" t="str">
        <f>VLOOKUP(A190,All!A:AM,2,0)</f>
        <v>SCOTLAND</v>
      </c>
      <c r="C190" s="42">
        <f>VLOOKUP(A190,All!A:AM,11,0)</f>
        <v>45264</v>
      </c>
      <c r="D190" s="5"/>
      <c r="E190" s="17">
        <f>VLOOKUP(A190,All!A:AM,30,0)</f>
        <v>38.953832494820958</v>
      </c>
      <c r="F190" s="17">
        <f>VLOOKUP(A190,All!A:AM,28,0)</f>
        <v>5.2650000000000006</v>
      </c>
      <c r="G190" s="17">
        <f>VLOOKUP(A190,All!A:AM,31,0)</f>
        <v>20.318686624818927</v>
      </c>
      <c r="H190" s="17">
        <f>VLOOKUP(A190,All!A:AM,29,0)</f>
        <v>2.1040000000000001</v>
      </c>
      <c r="I190" s="6">
        <f>VLOOKUP(A190,All!A:AM,33,0)</f>
        <v>23.295031979770844</v>
      </c>
      <c r="J190" s="6">
        <f>VLOOKUP(A190,All!A:AM,32,0)</f>
        <v>2.50579999999999</v>
      </c>
      <c r="K190" s="20">
        <f>VLOOKUP(A190,All!A:AM,39,0)</f>
        <v>26.657777777777774</v>
      </c>
      <c r="L190" s="20">
        <f>VLOOKUP(A190,All!A:AM,38,0)</f>
        <v>2.9989999999999997</v>
      </c>
      <c r="M190" s="97">
        <f>VLOOKUP(A190,'SYS Allocations'!A:G,2,0)</f>
        <v>0</v>
      </c>
      <c r="N190" s="97">
        <f>VLOOKUP(A190,'SYS Allocations'!A:G,3,0)</f>
        <v>0</v>
      </c>
      <c r="O190" s="97">
        <f>VLOOKUP(A190,'SYS Allocations'!A:G,4,0)</f>
        <v>0</v>
      </c>
      <c r="P190" s="97">
        <f>VLOOKUP(A190,'SYS Allocations'!A:G,5,0)</f>
        <v>0</v>
      </c>
      <c r="Q190" s="97">
        <f>VLOOKUP(A190,'SYS Allocations'!A:G,6,0)</f>
        <v>0</v>
      </c>
      <c r="R190" s="12">
        <f>VLOOKUP(A190,'SYS Allocations'!A:G,7,0)</f>
        <v>4</v>
      </c>
    </row>
    <row r="191" spans="1:18" hidden="1">
      <c r="A191" s="35" t="s">
        <v>207</v>
      </c>
      <c r="B191" s="41" t="str">
        <f>VLOOKUP(A191,All!A:AM,2,0)</f>
        <v>SOUTH</v>
      </c>
      <c r="C191" s="42">
        <f>VLOOKUP(A191,All!A:AM,11,0)</f>
        <v>44992</v>
      </c>
      <c r="D191" s="5"/>
      <c r="E191" s="17">
        <f>VLOOKUP(A191,All!A:AM,30,0)</f>
        <v>61.500248385494288</v>
      </c>
      <c r="F191" s="17">
        <f>VLOOKUP(A191,All!A:AM,28,0)</f>
        <v>10.795360000000001</v>
      </c>
      <c r="G191" s="17">
        <f>VLOOKUP(A191,All!A:AM,31,0)</f>
        <v>40.096614016662855</v>
      </c>
      <c r="H191" s="17">
        <f>VLOOKUP(A191,All!A:AM,29,0)</f>
        <v>4.5234991825000002</v>
      </c>
      <c r="I191" s="6">
        <f>VLOOKUP(A191,All!A:AM,33,0)</f>
        <v>61.937911147156889</v>
      </c>
      <c r="J191" s="6">
        <f>VLOOKUP(A191,All!A:AM,32,0)</f>
        <v>10.997199999999999</v>
      </c>
      <c r="K191" s="20">
        <f>VLOOKUP(A191,All!A:AM,39,0)</f>
        <v>43.683333333333337</v>
      </c>
      <c r="L191" s="20">
        <f>VLOOKUP(A191,All!A:AM,38,0)</f>
        <v>5.242</v>
      </c>
      <c r="M191" s="97">
        <f>VLOOKUP(A191,'SYS Allocations'!A:G,2,0)</f>
        <v>0</v>
      </c>
      <c r="N191" s="97">
        <f>VLOOKUP(A191,'SYS Allocations'!A:G,3,0)</f>
        <v>0</v>
      </c>
      <c r="O191" s="97">
        <f>VLOOKUP(A191,'SYS Allocations'!A:G,4,0)</f>
        <v>0</v>
      </c>
      <c r="P191" s="97">
        <f>VLOOKUP(A191,'SYS Allocations'!A:G,5,0)</f>
        <v>0</v>
      </c>
      <c r="Q191" s="97">
        <f>VLOOKUP(A191,'SYS Allocations'!A:G,6,0)</f>
        <v>0</v>
      </c>
      <c r="R191" s="12">
        <f>VLOOKUP(A191,'SYS Allocations'!A:G,7,0)</f>
        <v>0</v>
      </c>
    </row>
    <row r="192" spans="1:18" hidden="1">
      <c r="A192" s="35" t="s">
        <v>208</v>
      </c>
      <c r="B192" s="41" t="str">
        <f>VLOOKUP(A192,All!A:AM,2,0)</f>
        <v>SOUTH</v>
      </c>
      <c r="C192" s="42">
        <f>VLOOKUP(A192,All!A:AM,11,0)</f>
        <v>45264</v>
      </c>
      <c r="D192" s="5"/>
      <c r="E192" s="17">
        <f>VLOOKUP(A192,All!A:AM,30,0)</f>
        <v>62.377321962022883</v>
      </c>
      <c r="F192" s="17">
        <f>VLOOKUP(A192,All!A:AM,28,0)</f>
        <v>33.843339999999998</v>
      </c>
      <c r="G192" s="17">
        <f>VLOOKUP(A192,All!A:AM,31,0)</f>
        <v>41.877516386767581</v>
      </c>
      <c r="H192" s="17">
        <f>VLOOKUP(A192,All!A:AM,29,0)</f>
        <v>14.7073</v>
      </c>
      <c r="I192" s="6">
        <f>VLOOKUP(A192,All!A:AM,33,0)</f>
        <v>61.724457345153979</v>
      </c>
      <c r="J192" s="6">
        <f>VLOOKUP(A192,All!A:AM,32,0)</f>
        <v>32.917899999999996</v>
      </c>
      <c r="K192" s="20">
        <f>VLOOKUP(A192,All!A:AM,39,0)</f>
        <v>54.638888888888893</v>
      </c>
      <c r="L192" s="20">
        <f>VLOOKUP(A192,All!A:AM,38,0)</f>
        <v>24.587500000000002</v>
      </c>
      <c r="M192" s="97">
        <f>VLOOKUP(A192,'SYS Allocations'!A:G,2,0)</f>
        <v>0</v>
      </c>
      <c r="N192" s="97" t="str">
        <f>VLOOKUP(A192,'SYS Allocations'!A:G,3,0)</f>
        <v>RA</v>
      </c>
      <c r="O192" s="97">
        <f>VLOOKUP(A192,'SYS Allocations'!A:G,4,0)</f>
        <v>0</v>
      </c>
      <c r="P192" s="97">
        <f>VLOOKUP(A192,'SYS Allocations'!A:G,5,0)</f>
        <v>0</v>
      </c>
      <c r="Q192" s="97">
        <f>VLOOKUP(A192,'SYS Allocations'!A:G,6,0)</f>
        <v>0</v>
      </c>
      <c r="R192" s="12">
        <f>VLOOKUP(A192,'SYS Allocations'!A:G,7,0)</f>
        <v>2.7</v>
      </c>
    </row>
    <row r="193" spans="1:18" hidden="1">
      <c r="A193" s="37" t="s">
        <v>209</v>
      </c>
      <c r="B193" s="41" t="str">
        <f>VLOOKUP(A193,All!A:AM,2,0)</f>
        <v>MIDLANDS</v>
      </c>
      <c r="C193" s="42">
        <f>VLOOKUP(A193,All!A:AM,11,0)</f>
        <v>44490.666666666701</v>
      </c>
      <c r="D193" s="19"/>
      <c r="E193" s="17">
        <f>VLOOKUP(A193,All!A:AM,30,0)</f>
        <v>79.166666666666671</v>
      </c>
      <c r="F193" s="17">
        <f>VLOOKUP(A193,All!A:AM,28,0)</f>
        <v>5.1775000000000002</v>
      </c>
      <c r="G193" s="17">
        <f>VLOOKUP(A193,All!A:AM,31,0)</f>
        <v>77.272727272727266</v>
      </c>
      <c r="H193" s="17">
        <f>VLOOKUP(A193,All!A:AM,29,0)</f>
        <v>4.6325000000000003</v>
      </c>
      <c r="I193" s="6">
        <f>VLOOKUP(A193,All!A:AM,33,0)</f>
        <v>62.000780901383315</v>
      </c>
      <c r="J193" s="6">
        <f>VLOOKUP(A193,All!A:AM,32,0)</f>
        <v>2.2231000000000001</v>
      </c>
      <c r="K193" s="330">
        <f>VLOOKUP(A193,All!A:AM,39,0)</f>
        <v>53.493333333333332</v>
      </c>
      <c r="L193" s="330">
        <f>VLOOKUP(A193,All!A:AM,38,0)</f>
        <v>4.0119999999999996</v>
      </c>
      <c r="M193" s="97">
        <f>VLOOKUP(A193,'SYS Allocations'!A:G,2,0)</f>
        <v>0</v>
      </c>
      <c r="N193" s="97">
        <f>VLOOKUP(A193,'SYS Allocations'!A:G,3,0)</f>
        <v>0</v>
      </c>
      <c r="O193" s="97">
        <f>VLOOKUP(A193,'SYS Allocations'!A:G,4,0)</f>
        <v>0</v>
      </c>
      <c r="P193" s="97">
        <f>VLOOKUP(A193,'SYS Allocations'!A:G,5,0)</f>
        <v>0</v>
      </c>
      <c r="Q193" s="97">
        <f>VLOOKUP(A193,'SYS Allocations'!A:G,6,0)</f>
        <v>0</v>
      </c>
      <c r="R193" s="12">
        <f>VLOOKUP(A193,'SYS Allocations'!A:G,7,0)</f>
        <v>0</v>
      </c>
    </row>
    <row r="194" spans="1:18" hidden="1">
      <c r="A194" s="37" t="s">
        <v>210</v>
      </c>
      <c r="B194" s="41" t="str">
        <f>VLOOKUP(A194,All!A:AM,2,0)</f>
        <v>MIDLANDS</v>
      </c>
      <c r="C194" s="42">
        <f>VLOOKUP(A194,All!A:AM,11,0)</f>
        <v>44490.708333333299</v>
      </c>
      <c r="D194" s="19"/>
      <c r="E194" s="17">
        <f>VLOOKUP(A194,All!A:AM,30,0)</f>
        <v>67.5</v>
      </c>
      <c r="F194" s="17">
        <f>VLOOKUP(A194,All!A:AM,28,0)</f>
        <v>4.4145000000000003</v>
      </c>
      <c r="G194" s="17">
        <f>VLOOKUP(A194,All!A:AM,31,0)</f>
        <v>66.949152542372886</v>
      </c>
      <c r="H194" s="17">
        <f>VLOOKUP(A194,All!A:AM,29,0)</f>
        <v>4.3055000000000003</v>
      </c>
      <c r="I194" s="6">
        <f>VLOOKUP(A194,All!A:AM,33,0)</f>
        <v>45.573684857423792</v>
      </c>
      <c r="J194" s="6">
        <f>VLOOKUP(A194,All!A:AM,32,0)</f>
        <v>1.7797799999999999</v>
      </c>
      <c r="K194" s="331"/>
      <c r="L194" s="331"/>
      <c r="M194" s="97">
        <f>VLOOKUP(A194,'SYS Allocations'!A:G,2,0)</f>
        <v>0</v>
      </c>
      <c r="N194" s="97">
        <f>VLOOKUP(A194,'SYS Allocations'!A:G,3,0)</f>
        <v>0</v>
      </c>
      <c r="O194" s="97">
        <f>VLOOKUP(A194,'SYS Allocations'!A:G,4,0)</f>
        <v>0</v>
      </c>
      <c r="P194" s="97">
        <f>VLOOKUP(A194,'SYS Allocations'!A:G,5,0)</f>
        <v>0</v>
      </c>
      <c r="Q194" s="97">
        <f>VLOOKUP(A194,'SYS Allocations'!A:G,6,0)</f>
        <v>0</v>
      </c>
      <c r="R194" s="12">
        <f>VLOOKUP(A194,'SYS Allocations'!A:G,7,0)</f>
        <v>0</v>
      </c>
    </row>
    <row r="195" spans="1:18" hidden="1">
      <c r="A195" s="35" t="s">
        <v>211</v>
      </c>
      <c r="B195" s="41" t="str">
        <f>VLOOKUP(A195,All!A:AM,2,0)</f>
        <v>SOUTH EAST</v>
      </c>
      <c r="C195" s="42">
        <f>VLOOKUP(A195,All!A:AM,11,0)</f>
        <v>44895</v>
      </c>
      <c r="D195" s="5"/>
      <c r="E195" s="17">
        <f>VLOOKUP(A195,All!A:AM,30,0)</f>
        <v>56.138027135545556</v>
      </c>
      <c r="F195" s="17">
        <f>VLOOKUP(A195,All!A:AM,28,0)</f>
        <v>19.708220000000001</v>
      </c>
      <c r="G195" s="17">
        <f>VLOOKUP(A195,All!A:AM,31,0)</f>
        <v>30.271153898403323</v>
      </c>
      <c r="H195" s="17">
        <f>VLOOKUP(A195,All!A:AM,29,0)</f>
        <v>6.6848999999999998</v>
      </c>
      <c r="I195" s="6">
        <f>VLOOKUP(A195,All!A:AM,33,0)</f>
        <v>56.689336663516492</v>
      </c>
      <c r="J195" s="6">
        <f>VLOOKUP(A195,All!A:AM,32,0)</f>
        <v>20.155100000000001</v>
      </c>
      <c r="K195" s="20">
        <f>VLOOKUP(A195,All!A:AM,39,0)</f>
        <v>54.374814814814819</v>
      </c>
      <c r="L195" s="20">
        <f>VLOOKUP(A195,All!A:AM,38,0)</f>
        <v>18.351500000000001</v>
      </c>
      <c r="M195" s="97">
        <f>VLOOKUP(A195,'SYS Allocations'!A:G,2,0)</f>
        <v>0</v>
      </c>
      <c r="N195" s="97" t="str">
        <f>VLOOKUP(A195,'SYS Allocations'!A:G,3,0)</f>
        <v>RA</v>
      </c>
      <c r="O195" s="97">
        <f>VLOOKUP(A195,'SYS Allocations'!A:G,4,0)</f>
        <v>0</v>
      </c>
      <c r="P195" s="97">
        <f>VLOOKUP(A195,'SYS Allocations'!A:G,5,0)</f>
        <v>0</v>
      </c>
      <c r="Q195" s="97">
        <f>VLOOKUP(A195,'SYS Allocations'!A:G,6,0)</f>
        <v>0</v>
      </c>
      <c r="R195" s="12">
        <f>VLOOKUP(A195,'SYS Allocations'!A:G,7,0)</f>
        <v>2.7</v>
      </c>
    </row>
    <row r="196" spans="1:18" hidden="1">
      <c r="A196" s="35" t="s">
        <v>212</v>
      </c>
      <c r="B196" s="41" t="str">
        <f>VLOOKUP(A196,All!A:AM,2,0)</f>
        <v>THAMES VALLEY</v>
      </c>
      <c r="C196" s="42">
        <f>VLOOKUP(A196,All!A:AM,11,0)</f>
        <v>44428.375</v>
      </c>
      <c r="D196" s="5"/>
      <c r="E196" s="17">
        <f>VLOOKUP(A196,All!A:AM,30,0)</f>
        <v>38.997775924381429</v>
      </c>
      <c r="F196" s="17">
        <f>VLOOKUP(A196,All!A:AM,28,0)</f>
        <v>22.444000000000003</v>
      </c>
      <c r="G196" s="17">
        <f>VLOOKUP(A196,All!A:AM,31,0)</f>
        <v>10.530071355759432</v>
      </c>
      <c r="H196" s="17">
        <f>VLOOKUP(A196,All!A:AM,29,0)</f>
        <v>4.1320000000000014</v>
      </c>
      <c r="I196" s="6">
        <f>VLOOKUP(A196,All!A:AM,33,0)</f>
        <v>34.168879288360863</v>
      </c>
      <c r="J196" s="6">
        <f>VLOOKUP(A196,All!A:AM,32,0)</f>
        <v>18.2224</v>
      </c>
      <c r="K196" s="20">
        <f>VLOOKUP(A196,All!A:AM,39,0)</f>
        <v>-11.453968253968256</v>
      </c>
      <c r="L196" s="20">
        <f>VLOOKUP(A196,All!A:AM,38,0)</f>
        <v>-3.6080000000000005</v>
      </c>
      <c r="M196" s="97">
        <f>VLOOKUP(A196,'SYS Allocations'!A:G,2,0)</f>
        <v>0</v>
      </c>
      <c r="N196" s="97">
        <f>VLOOKUP(A196,'SYS Allocations'!A:G,3,0)</f>
        <v>0</v>
      </c>
      <c r="O196" s="97">
        <f>VLOOKUP(A196,'SYS Allocations'!A:G,4,0)</f>
        <v>0</v>
      </c>
      <c r="P196" s="97" t="str">
        <f>VLOOKUP(A196,'SYS Allocations'!A:G,5,0)</f>
        <v>AM</v>
      </c>
      <c r="Q196" s="97">
        <f>VLOOKUP(A196,'SYS Allocations'!A:G,6,0)</f>
        <v>0</v>
      </c>
      <c r="R196" s="12">
        <f>VLOOKUP(A196,'SYS Allocations'!A:G,7,0)</f>
        <v>12</v>
      </c>
    </row>
    <row r="197" spans="1:18" hidden="1">
      <c r="A197" s="35" t="s">
        <v>213</v>
      </c>
      <c r="B197" s="41" t="str">
        <f>VLOOKUP(A197,All!A:AM,2,0)</f>
        <v>THAMES VALLEY</v>
      </c>
      <c r="C197" s="42">
        <f>VLOOKUP(A197,All!A:AM,11,0)</f>
        <v>45014</v>
      </c>
      <c r="D197" s="5"/>
      <c r="E197" s="17">
        <f>VLOOKUP(A197,All!A:AM,30,0)</f>
        <v>65.909090909090921</v>
      </c>
      <c r="F197" s="17">
        <f>VLOOKUP(A197,All!A:AM,28,0)</f>
        <v>23.7075</v>
      </c>
      <c r="G197" s="17">
        <f>VLOOKUP(A197,All!A:AM,31,0)</f>
        <v>62.748344370860934</v>
      </c>
      <c r="H197" s="17">
        <f>VLOOKUP(A197,All!A:AM,29,0)</f>
        <v>20.6555</v>
      </c>
      <c r="I197" s="6">
        <f>VLOOKUP(A197,All!A:AM,33,0)</f>
        <v>34.746168582375425</v>
      </c>
      <c r="J197" s="6">
        <f>VLOOKUP(A197,All!A:AM,32,0)</f>
        <v>6.5294999999999899</v>
      </c>
      <c r="K197" s="20">
        <f>VLOOKUP(A197,All!A:AM,39,0)</f>
        <v>65.9375</v>
      </c>
      <c r="L197" s="20">
        <f>VLOOKUP(A197,All!A:AM,38,0)</f>
        <v>23.737500000000001</v>
      </c>
      <c r="M197" s="97">
        <f>VLOOKUP(A197,'SYS Allocations'!A:G,2,0)</f>
        <v>0</v>
      </c>
      <c r="N197" s="97">
        <f>VLOOKUP(A197,'SYS Allocations'!A:G,3,0)</f>
        <v>0</v>
      </c>
      <c r="O197" s="97">
        <f>VLOOKUP(A197,'SYS Allocations'!A:G,4,0)</f>
        <v>0</v>
      </c>
      <c r="P197" s="97">
        <f>VLOOKUP(A197,'SYS Allocations'!A:G,5,0)</f>
        <v>0</v>
      </c>
      <c r="Q197" s="97">
        <f>VLOOKUP(A197,'SYS Allocations'!A:G,6,0)</f>
        <v>0</v>
      </c>
      <c r="R197" s="12">
        <f>VLOOKUP(A197,'SYS Allocations'!A:G,7,0)</f>
        <v>0</v>
      </c>
    </row>
    <row r="198" spans="1:18" hidden="1">
      <c r="A198" s="35" t="s">
        <v>214</v>
      </c>
      <c r="B198" s="41" t="str">
        <f>VLOOKUP(A198,All!A:AM,2,0)</f>
        <v>LONDON</v>
      </c>
      <c r="C198" s="42">
        <f>VLOOKUP(A198,All!A:AM,11,0)</f>
        <v>45264</v>
      </c>
      <c r="D198" s="5"/>
      <c r="E198" s="17">
        <f>VLOOKUP(A198,All!A:AM,30,0)</f>
        <v>83.350409836065566</v>
      </c>
      <c r="F198" s="17">
        <f>VLOOKUP(A198,All!A:AM,28,0)</f>
        <v>10.64058</v>
      </c>
      <c r="G198" s="17">
        <f>VLOOKUP(A198,All!A:AM,31,0)</f>
        <v>77.560414269275029</v>
      </c>
      <c r="H198" s="17">
        <f>VLOOKUP(A198,All!A:AM,29,0)</f>
        <v>7.3465999999999996</v>
      </c>
      <c r="I198" s="6">
        <f>VLOOKUP(A198,All!A:AM,33,0)</f>
        <v>78.97376543209856</v>
      </c>
      <c r="J198" s="6">
        <f>VLOOKUP(A198,All!A:AM,32,0)</f>
        <v>7.9832999999999803</v>
      </c>
      <c r="K198" s="20">
        <f>VLOOKUP(A198,All!A:AM,39,0)</f>
        <v>81.106666666666655</v>
      </c>
      <c r="L198" s="20">
        <f>VLOOKUP(A198,All!A:AM,38,0)</f>
        <v>9.1244999999999994</v>
      </c>
      <c r="M198" s="97">
        <f>VLOOKUP(A198,'SYS Allocations'!A:G,2,0)</f>
        <v>0</v>
      </c>
      <c r="N198" s="97">
        <f>VLOOKUP(A198,'SYS Allocations'!A:G,3,0)</f>
        <v>0</v>
      </c>
      <c r="O198" s="97">
        <f>VLOOKUP(A198,'SYS Allocations'!A:G,4,0)</f>
        <v>0</v>
      </c>
      <c r="P198" s="97">
        <f>VLOOKUP(A198,'SYS Allocations'!A:G,5,0)</f>
        <v>0</v>
      </c>
      <c r="Q198" s="97">
        <f>VLOOKUP(A198,'SYS Allocations'!A:G,6,0)</f>
        <v>0</v>
      </c>
      <c r="R198" s="12">
        <f>VLOOKUP(A198,'SYS Allocations'!A:G,7,0)</f>
        <v>0</v>
      </c>
    </row>
    <row r="199" spans="1:18" hidden="1">
      <c r="A199" s="35" t="s">
        <v>215</v>
      </c>
      <c r="B199" s="41" t="str">
        <f>VLOOKUP(A199,All!A:AM,2,0)</f>
        <v>NORTH EAST</v>
      </c>
      <c r="C199" s="42">
        <f>VLOOKUP(A199,All!A:AM,11,0)</f>
        <v>44698.5625</v>
      </c>
      <c r="D199" s="5"/>
      <c r="E199" s="17">
        <f>VLOOKUP(A199,All!A:AM,30,0)</f>
        <v>64.285714285714292</v>
      </c>
      <c r="F199" s="17">
        <f>VLOOKUP(A199,All!A:AM,28,0)</f>
        <v>14.715</v>
      </c>
      <c r="G199" s="17">
        <f>VLOOKUP(A199,All!A:AM,31,0)</f>
        <v>63.054187192118228</v>
      </c>
      <c r="H199" s="17">
        <f>VLOOKUP(A199,All!A:AM,29,0)</f>
        <v>13.952</v>
      </c>
      <c r="I199" s="6">
        <f>VLOOKUP(A199,All!A:AM,33,0)</f>
        <v>19.129867046533512</v>
      </c>
      <c r="J199" s="6">
        <f>VLOOKUP(A199,All!A:AM,32,0)</f>
        <v>1.93379999999998</v>
      </c>
      <c r="K199" s="20">
        <f>VLOOKUP(A199,All!A:AM,39,0)</f>
        <v>87.888888888888886</v>
      </c>
      <c r="L199" s="20">
        <f>VLOOKUP(A199,All!A:AM,38,0)</f>
        <v>59.325000000000003</v>
      </c>
      <c r="M199" s="97">
        <f>VLOOKUP(A199,'SYS Allocations'!A:G,2,0)</f>
        <v>0</v>
      </c>
      <c r="N199" s="97">
        <f>VLOOKUP(A199,'SYS Allocations'!A:G,3,0)</f>
        <v>0</v>
      </c>
      <c r="O199" s="97">
        <f>VLOOKUP(A199,'SYS Allocations'!A:G,4,0)</f>
        <v>0</v>
      </c>
      <c r="P199" s="97">
        <f>VLOOKUP(A199,'SYS Allocations'!A:G,5,0)</f>
        <v>0</v>
      </c>
      <c r="Q199" s="97">
        <f>VLOOKUP(A199,'SYS Allocations'!A:G,6,0)</f>
        <v>0</v>
      </c>
      <c r="R199" s="12">
        <f>VLOOKUP(A199,'SYS Allocations'!A:G,7,0)</f>
        <v>0</v>
      </c>
    </row>
    <row r="200" spans="1:18" hidden="1">
      <c r="A200" s="35" t="s">
        <v>216</v>
      </c>
      <c r="B200" s="41" t="str">
        <f>VLOOKUP(A200,All!A:AM,2,0)</f>
        <v>SOUTH WEST</v>
      </c>
      <c r="C200" s="42">
        <f>VLOOKUP(A200,All!A:AM,11,0)</f>
        <v>44356.5</v>
      </c>
      <c r="D200" s="5"/>
      <c r="E200" s="17">
        <f>VLOOKUP(A200,All!A:AM,30,0)</f>
        <v>47.222222222222221</v>
      </c>
      <c r="F200" s="17">
        <f>VLOOKUP(A200,All!A:AM,28,0)</f>
        <v>18.53</v>
      </c>
      <c r="G200" s="17">
        <f>VLOOKUP(A200,All!A:AM,31,0)</f>
        <v>-46.153846153846153</v>
      </c>
      <c r="H200" s="17">
        <f>VLOOKUP(A200,All!A:AM,29,0)</f>
        <v>-6.54</v>
      </c>
      <c r="I200" s="6">
        <f>VLOOKUP(A200,All!A:AM,33,0)</f>
        <v>63.179865733629242</v>
      </c>
      <c r="J200" s="6">
        <f>VLOOKUP(A200,All!A:AM,32,0)</f>
        <v>35.5364000000001</v>
      </c>
      <c r="K200" s="20">
        <f>VLOOKUP(A200,All!A:AM,39,0)</f>
        <v>66.730923694779108</v>
      </c>
      <c r="L200" s="20">
        <f>VLOOKUP(A200,All!A:AM,38,0)</f>
        <v>41.54</v>
      </c>
      <c r="M200" s="97">
        <f>VLOOKUP(A200,'SYS Allocations'!A:G,2,0)</f>
        <v>0</v>
      </c>
      <c r="N200" s="97">
        <f>VLOOKUP(A200,'SYS Allocations'!A:G,3,0)</f>
        <v>0</v>
      </c>
      <c r="O200" s="97">
        <f>VLOOKUP(A200,'SYS Allocations'!A:G,4,0)</f>
        <v>0</v>
      </c>
      <c r="P200" s="97">
        <f>VLOOKUP(A200,'SYS Allocations'!A:G,5,0)</f>
        <v>0</v>
      </c>
      <c r="Q200" s="97">
        <f>VLOOKUP(A200,'SYS Allocations'!A:G,6,0)</f>
        <v>0</v>
      </c>
      <c r="R200" s="12">
        <f>VLOOKUP(A200,'SYS Allocations'!A:G,7,0)</f>
        <v>0</v>
      </c>
    </row>
    <row r="201" spans="1:18" hidden="1">
      <c r="A201" s="40" t="s">
        <v>217</v>
      </c>
      <c r="B201" s="41" t="str">
        <f>VLOOKUP(A201,All!A:AM,2,0)</f>
        <v>SOUTH WEST</v>
      </c>
      <c r="C201" s="42">
        <f>VLOOKUP(A201,All!A:AM,11,0)</f>
        <v>44846</v>
      </c>
      <c r="D201" s="19"/>
      <c r="E201" s="17">
        <f>VLOOKUP(A201,All!A:AM,30,0)</f>
        <v>19.793550469720369</v>
      </c>
      <c r="F201" s="17">
        <f>VLOOKUP(A201,All!A:AM,28,0)</f>
        <v>25.900320000000001</v>
      </c>
      <c r="G201" s="17">
        <f>VLOOKUP(A201,All!A:AM,31,0)</f>
        <v>-2.3668281225920604</v>
      </c>
      <c r="H201" s="17">
        <f>VLOOKUP(A201,All!A:AM,29,0)</f>
        <v>-2.4266000000000005</v>
      </c>
      <c r="I201" s="6">
        <f>VLOOKUP(A201,All!A:AM,33,0)</f>
        <v>32.543538957532995</v>
      </c>
      <c r="J201" s="6">
        <f>VLOOKUP(A201,All!A:AM,32,0)</f>
        <v>50.632799999999804</v>
      </c>
      <c r="K201" s="330">
        <f>VLOOKUP(A201,All!A:AM,39,0)</f>
        <v>59.760218978102181</v>
      </c>
      <c r="L201" s="330">
        <f>VLOOKUP(A201,All!A:AM,38,0)</f>
        <v>245.61449999999999</v>
      </c>
      <c r="M201" s="97">
        <f>VLOOKUP(A201,'SYS Allocations'!A:G,2,0)</f>
        <v>0</v>
      </c>
      <c r="N201" s="97">
        <f>VLOOKUP(A201,'SYS Allocations'!A:G,3,0)</f>
        <v>0</v>
      </c>
      <c r="O201" s="97">
        <f>VLOOKUP(A201,'SYS Allocations'!A:G,4,0)</f>
        <v>0</v>
      </c>
      <c r="P201" s="97">
        <f>VLOOKUP(A201,'SYS Allocations'!A:G,5,0)</f>
        <v>0</v>
      </c>
      <c r="Q201" s="97">
        <f>VLOOKUP(A201,'SYS Allocations'!A:G,6,0)</f>
        <v>0</v>
      </c>
      <c r="R201" s="12">
        <f>VLOOKUP(A201,'SYS Allocations'!A:G,7,0)</f>
        <v>36.5</v>
      </c>
    </row>
    <row r="202" spans="1:18" hidden="1">
      <c r="A202" s="40" t="s">
        <v>218</v>
      </c>
      <c r="B202" s="41" t="str">
        <f>VLOOKUP(A202,All!A:AM,2,0)</f>
        <v>SOUTH WEST</v>
      </c>
      <c r="C202" s="42">
        <f>VLOOKUP(A202,All!A:AM,11,0)</f>
        <v>44846</v>
      </c>
      <c r="D202" s="19"/>
      <c r="E202" s="17">
        <f>VLOOKUP(A202,All!A:AM,30,0)</f>
        <v>38.532618645619323</v>
      </c>
      <c r="F202" s="17">
        <f>VLOOKUP(A202,All!A:AM,28,0)</f>
        <v>37.884500000000003</v>
      </c>
      <c r="G202" s="17">
        <f>VLOOKUP(A202,All!A:AM,31,0)</f>
        <v>32.998697303140332</v>
      </c>
      <c r="H202" s="17">
        <f>VLOOKUP(A202,All!A:AM,29,0)</f>
        <v>29.764000000000003</v>
      </c>
      <c r="I202" s="6">
        <f>VLOOKUP(A202,All!A:AM,33,0)</f>
        <v>29.078650894240415</v>
      </c>
      <c r="J202" s="6">
        <f>VLOOKUP(A202,All!A:AM,32,0)</f>
        <v>24.7785000000002</v>
      </c>
      <c r="K202" s="331"/>
      <c r="L202" s="331"/>
      <c r="M202" s="97" t="str">
        <f>VLOOKUP(A202,'SYS Allocations'!A:G,2,0)</f>
        <v>P-Core</v>
      </c>
      <c r="N202" s="97" t="str">
        <f>VLOOKUP(A202,'SYS Allocations'!A:G,3,0)</f>
        <v>RA</v>
      </c>
      <c r="O202" s="97" t="str">
        <f>VLOOKUP(A202,'SYS Allocations'!A:G,4,0)</f>
        <v>PX</v>
      </c>
      <c r="P202" s="97">
        <f>VLOOKUP(A202,'SYS Allocations'!A:G,5,0)</f>
        <v>0</v>
      </c>
      <c r="Q202" s="97" t="str">
        <f>VLOOKUP(A202,'SYS Allocations'!A:G,6,0)</f>
        <v>OPEX</v>
      </c>
      <c r="R202" s="12">
        <f>VLOOKUP(A202,'SYS Allocations'!A:G,7,0)</f>
        <v>13.4</v>
      </c>
    </row>
    <row r="203" spans="1:18" hidden="1">
      <c r="A203" s="35" t="s">
        <v>219</v>
      </c>
      <c r="B203" s="41" t="str">
        <f>VLOOKUP(A203,All!A:AM,2,0)</f>
        <v>SOUTH WEST</v>
      </c>
      <c r="C203" s="42">
        <f>VLOOKUP(A203,All!A:AM,11,0)</f>
        <v>44719.5625</v>
      </c>
      <c r="D203" s="5"/>
      <c r="E203" s="17">
        <f>VLOOKUP(A203,All!A:AM,30,0)</f>
        <v>16.330645161290324</v>
      </c>
      <c r="F203" s="17">
        <f>VLOOKUP(A203,All!A:AM,28,0)</f>
        <v>0.88290000000000002</v>
      </c>
      <c r="G203" s="17">
        <f>VLOOKUP(A203,All!A:AM,31,0)</f>
        <v>20.192307692307693</v>
      </c>
      <c r="H203" s="17">
        <f>VLOOKUP(A203,All!A:AM,29,0)</f>
        <v>1.1445000000000001</v>
      </c>
      <c r="I203" s="6">
        <f>VLOOKUP(A203,All!A:AM,33,0)</f>
        <v>-47.27236026462468</v>
      </c>
      <c r="J203" s="6">
        <f>VLOOKUP(A203,All!A:AM,32,0)</f>
        <v>-1.45198</v>
      </c>
      <c r="K203" s="20">
        <f>VLOOKUP(A203,All!A:AM,39,0)</f>
        <v>98.899391727493907</v>
      </c>
      <c r="L203" s="20">
        <f>VLOOKUP(A203,All!A:AM,38,0)</f>
        <v>406.47649999999999</v>
      </c>
      <c r="M203" s="97">
        <f>VLOOKUP(A203,'SYS Allocations'!A:G,2,0)</f>
        <v>0</v>
      </c>
      <c r="N203" s="97">
        <f>VLOOKUP(A203,'SYS Allocations'!A:G,3,0)</f>
        <v>0</v>
      </c>
      <c r="O203" s="97">
        <f>VLOOKUP(A203,'SYS Allocations'!A:G,4,0)</f>
        <v>0</v>
      </c>
      <c r="P203" s="97">
        <f>VLOOKUP(A203,'SYS Allocations'!A:G,5,0)</f>
        <v>0</v>
      </c>
      <c r="Q203" s="97">
        <f>VLOOKUP(A203,'SYS Allocations'!A:G,6,0)</f>
        <v>0</v>
      </c>
      <c r="R203" s="12">
        <f>VLOOKUP(A203,'SYS Allocations'!A:G,7,0)</f>
        <v>0</v>
      </c>
    </row>
    <row r="204" spans="1:18" hidden="1">
      <c r="A204" s="35" t="s">
        <v>220</v>
      </c>
      <c r="B204" s="41" t="str">
        <f>VLOOKUP(A204,All!A:AM,2,0)</f>
        <v>SOUTH WEST</v>
      </c>
      <c r="C204" s="42">
        <f>VLOOKUP(A204,All!A:AM,11,0)</f>
        <v>44413.4375</v>
      </c>
      <c r="D204" s="5"/>
      <c r="E204" s="17">
        <f>VLOOKUP(A204,All!A:AM,30,0)</f>
        <v>31.008348594363294</v>
      </c>
      <c r="F204" s="17">
        <f>VLOOKUP(A204,All!A:AM,28,0)</f>
        <v>8.4119199999999985</v>
      </c>
      <c r="G204" s="17">
        <f>VLOOKUP(A204,All!A:AM,31,0)</f>
        <v>24.057310031690125</v>
      </c>
      <c r="H204" s="17">
        <f>VLOOKUP(A204,All!A:AM,29,0)</f>
        <v>5.9288999999999996</v>
      </c>
      <c r="I204" s="6">
        <f>VLOOKUP(A204,All!A:AM,33,0)</f>
        <v>18.71655896046131</v>
      </c>
      <c r="J204" s="6">
        <f>VLOOKUP(A204,All!A:AM,32,0)</f>
        <v>4.3095999999999792</v>
      </c>
      <c r="K204" s="20">
        <f>VLOOKUP(A204,All!A:AM,39,0)</f>
        <v>50.090666666666671</v>
      </c>
      <c r="L204" s="20">
        <f>VLOOKUP(A204,All!A:AM,38,0)</f>
        <v>18.784000000000002</v>
      </c>
      <c r="M204" s="97">
        <f>VLOOKUP(A204,'SYS Allocations'!A:G,2,0)</f>
        <v>0</v>
      </c>
      <c r="N204" s="97">
        <f>VLOOKUP(A204,'SYS Allocations'!A:G,3,0)</f>
        <v>0</v>
      </c>
      <c r="O204" s="97">
        <f>VLOOKUP(A204,'SYS Allocations'!A:G,4,0)</f>
        <v>0</v>
      </c>
      <c r="P204" s="97">
        <f>VLOOKUP(A204,'SYS Allocations'!A:G,5,0)</f>
        <v>0</v>
      </c>
      <c r="Q204" s="97">
        <f>VLOOKUP(A204,'SYS Allocations'!A:G,6,0)</f>
        <v>0</v>
      </c>
      <c r="R204" s="12">
        <f>VLOOKUP(A204,'SYS Allocations'!A:G,7,0)</f>
        <v>5.2</v>
      </c>
    </row>
    <row r="205" spans="1:18" hidden="1">
      <c r="A205" s="35" t="s">
        <v>221</v>
      </c>
      <c r="B205" s="41" t="str">
        <f>VLOOKUP(A205,All!A:AM,2,0)</f>
        <v>NORTH EAST</v>
      </c>
      <c r="C205" s="42">
        <f>VLOOKUP(A205,All!A:AM,11,0)</f>
        <v>45264</v>
      </c>
      <c r="D205" s="5"/>
      <c r="E205" s="17">
        <f>VLOOKUP(A205,All!A:AM,30,0)</f>
        <v>55.885251087796455</v>
      </c>
      <c r="F205" s="17">
        <f>VLOOKUP(A205,All!A:AM,28,0)</f>
        <v>25.86204</v>
      </c>
      <c r="G205" s="17">
        <f>VLOOKUP(A205,All!A:AM,31,0)</f>
        <v>43.364506204520289</v>
      </c>
      <c r="H205" s="17">
        <f>VLOOKUP(A205,All!A:AM,29,0)</f>
        <v>15.6313</v>
      </c>
      <c r="I205" s="6">
        <f>VLOOKUP(A205,All!A:AM,33,0)</f>
        <v>42.579654380990952</v>
      </c>
      <c r="J205" s="6">
        <f>VLOOKUP(A205,All!A:AM,32,0)</f>
        <v>15.1386</v>
      </c>
      <c r="K205" s="20">
        <f>VLOOKUP(A205,All!A:AM,39,0)</f>
        <v>67.595238095238102</v>
      </c>
      <c r="L205" s="20">
        <f>VLOOKUP(A205,All!A:AM,38,0)</f>
        <v>42.585000000000001</v>
      </c>
      <c r="M205" s="97">
        <f>VLOOKUP(A205,'SYS Allocations'!A:G,2,0)</f>
        <v>0</v>
      </c>
      <c r="N205" s="97">
        <f>VLOOKUP(A205,'SYS Allocations'!A:G,3,0)</f>
        <v>0</v>
      </c>
      <c r="O205" s="97">
        <f>VLOOKUP(A205,'SYS Allocations'!A:G,4,0)</f>
        <v>0</v>
      </c>
      <c r="P205" s="97">
        <f>VLOOKUP(A205,'SYS Allocations'!A:G,5,0)</f>
        <v>0</v>
      </c>
      <c r="Q205" s="97">
        <f>VLOOKUP(A205,'SYS Allocations'!A:G,6,0)</f>
        <v>0</v>
      </c>
      <c r="R205" s="12">
        <f>VLOOKUP(A205,'SYS Allocations'!A:G,7,0)</f>
        <v>0.25</v>
      </c>
    </row>
    <row r="206" spans="1:18" hidden="1">
      <c r="A206" s="35" t="s">
        <v>222</v>
      </c>
      <c r="B206" s="41" t="str">
        <f>VLOOKUP(A206,All!A:AM,2,0)</f>
        <v>NORTH EAST</v>
      </c>
      <c r="C206" s="42">
        <f>VLOOKUP(A206,All!A:AM,11,0)</f>
        <v>45264</v>
      </c>
      <c r="D206" s="5"/>
      <c r="E206" s="17">
        <f>VLOOKUP(A206,All!A:AM,30,0)</f>
        <v>43.837419160776065</v>
      </c>
      <c r="F206" s="17">
        <f>VLOOKUP(A206,All!A:AM,28,0)</f>
        <v>17.488500000000002</v>
      </c>
      <c r="G206" s="17">
        <f>VLOOKUP(A206,All!A:AM,31,0)</f>
        <v>20.172797719782665</v>
      </c>
      <c r="H206" s="17">
        <f>VLOOKUP(A206,All!A:AM,29,0)</f>
        <v>5.6619999999999999</v>
      </c>
      <c r="I206" s="6">
        <f>VLOOKUP(A206,All!A:AM,33,0)</f>
        <v>36.981065208586472</v>
      </c>
      <c r="J206" s="6">
        <f>VLOOKUP(A206,All!A:AM,32,0)</f>
        <v>13.148099999999999</v>
      </c>
      <c r="K206" s="20">
        <f>VLOOKUP(A206,All!A:AM,39,0)</f>
        <v>80.084000000000003</v>
      </c>
      <c r="L206" s="20">
        <f>VLOOKUP(A206,All!A:AM,38,0)</f>
        <v>90.094499999999996</v>
      </c>
      <c r="M206" s="97">
        <f>VLOOKUP(A206,'SYS Allocations'!A:G,2,0)</f>
        <v>0</v>
      </c>
      <c r="N206" s="97" t="str">
        <f>VLOOKUP(A206,'SYS Allocations'!A:G,3,0)</f>
        <v>RA</v>
      </c>
      <c r="O206" s="97">
        <f>VLOOKUP(A206,'SYS Allocations'!A:G,4,0)</f>
        <v>0</v>
      </c>
      <c r="P206" s="97">
        <f>VLOOKUP(A206,'SYS Allocations'!A:G,5,0)</f>
        <v>0</v>
      </c>
      <c r="Q206" s="97">
        <f>VLOOKUP(A206,'SYS Allocations'!A:G,6,0)</f>
        <v>0</v>
      </c>
      <c r="R206" s="12">
        <f>VLOOKUP(A206,'SYS Allocations'!A:G,7,0)</f>
        <v>7.2</v>
      </c>
    </row>
    <row r="207" spans="1:18" hidden="1">
      <c r="A207" s="35" t="s">
        <v>223</v>
      </c>
      <c r="B207" s="41" t="str">
        <f>VLOOKUP(A207,All!A:AM,2,0)</f>
        <v>SOUTH</v>
      </c>
      <c r="C207" s="42">
        <f>VLOOKUP(A207,All!A:AM,11,0)</f>
        <v>45232</v>
      </c>
      <c r="D207" s="5"/>
      <c r="E207" s="17">
        <f>VLOOKUP(A207,All!A:AM,30,0)</f>
        <v>47.263024793480497</v>
      </c>
      <c r="F207" s="17">
        <f>VLOOKUP(A207,All!A:AM,28,0)</f>
        <v>27.15136</v>
      </c>
      <c r="G207" s="17">
        <f>VLOOKUP(A207,All!A:AM,31,0)</f>
        <v>22.534851134771355</v>
      </c>
      <c r="H207" s="17">
        <f>VLOOKUP(A207,All!A:AM,29,0)</f>
        <v>8.8131999999999984</v>
      </c>
      <c r="I207" s="6">
        <f>VLOOKUP(A207,All!A:AM,33,0)</f>
        <v>43.191875553155427</v>
      </c>
      <c r="J207" s="6">
        <f>VLOOKUP(A207,All!A:AM,32,0)</f>
        <v>23.034400000000002</v>
      </c>
      <c r="K207" s="20">
        <f>VLOOKUP(A207,All!A:AM,39,0)</f>
        <v>64.093629629629618</v>
      </c>
      <c r="L207" s="20">
        <f>VLOOKUP(A207,All!A:AM,38,0)</f>
        <v>54.078999999999994</v>
      </c>
      <c r="M207" s="97">
        <f>VLOOKUP(A207,'SYS Allocations'!A:G,2,0)</f>
        <v>0</v>
      </c>
      <c r="N207" s="97" t="str">
        <f>VLOOKUP(A207,'SYS Allocations'!A:G,3,0)</f>
        <v>RA</v>
      </c>
      <c r="O207" s="97">
        <f>VLOOKUP(A207,'SYS Allocations'!A:G,4,0)</f>
        <v>0</v>
      </c>
      <c r="P207" s="97">
        <f>VLOOKUP(A207,'SYS Allocations'!A:G,5,0)</f>
        <v>0</v>
      </c>
      <c r="Q207" s="97">
        <f>VLOOKUP(A207,'SYS Allocations'!A:G,6,0)</f>
        <v>0</v>
      </c>
      <c r="R207" s="12">
        <f>VLOOKUP(A207,'SYS Allocations'!A:G,7,0)</f>
        <v>3.7</v>
      </c>
    </row>
    <row r="208" spans="1:18" hidden="1">
      <c r="A208" s="35" t="s">
        <v>224</v>
      </c>
      <c r="B208" s="41" t="str">
        <f>VLOOKUP(A208,All!A:AM,2,0)</f>
        <v>THAMES VALLEY</v>
      </c>
      <c r="C208" s="42">
        <f>VLOOKUP(A208,All!A:AM,11,0)</f>
        <v>45264</v>
      </c>
      <c r="D208" s="5"/>
      <c r="E208" s="17">
        <f>VLOOKUP(A208,All!A:AM,30,0)</f>
        <v>31.169621555946787</v>
      </c>
      <c r="F208" s="17">
        <f>VLOOKUP(A208,All!A:AM,28,0)</f>
        <v>16.911339999999999</v>
      </c>
      <c r="G208" s="17">
        <f>VLOOKUP(A208,All!A:AM,31,0)</f>
        <v>-6.3346032722282022</v>
      </c>
      <c r="H208" s="17">
        <f>VLOOKUP(A208,All!A:AM,29,0)</f>
        <v>-2.2246999999999999</v>
      </c>
      <c r="I208" s="6">
        <f>VLOOKUP(A208,All!A:AM,33,0)</f>
        <v>29.975211136612515</v>
      </c>
      <c r="J208" s="6">
        <f>VLOOKUP(A208,All!A:AM,32,0)</f>
        <v>15.985900000000001</v>
      </c>
      <c r="K208" s="20">
        <f>VLOOKUP(A208,All!A:AM,39,0)</f>
        <v>40.723015873015875</v>
      </c>
      <c r="L208" s="20">
        <f>VLOOKUP(A208,All!A:AM,38,0)</f>
        <v>25.655500000000004</v>
      </c>
      <c r="M208" s="97">
        <f>VLOOKUP(A208,'SYS Allocations'!A:G,2,0)</f>
        <v>0</v>
      </c>
      <c r="N208" s="97">
        <f>VLOOKUP(A208,'SYS Allocations'!A:G,3,0)</f>
        <v>0</v>
      </c>
      <c r="O208" s="97">
        <f>VLOOKUP(A208,'SYS Allocations'!A:G,4,0)</f>
        <v>0</v>
      </c>
      <c r="P208" s="97">
        <f>VLOOKUP(A208,'SYS Allocations'!A:G,5,0)</f>
        <v>0</v>
      </c>
      <c r="Q208" s="97">
        <f>VLOOKUP(A208,'SYS Allocations'!A:G,6,0)</f>
        <v>0</v>
      </c>
      <c r="R208" s="12">
        <f>VLOOKUP(A208,'SYS Allocations'!A:G,7,0)</f>
        <v>3.5</v>
      </c>
    </row>
    <row r="209" spans="1:18" hidden="1">
      <c r="A209" s="35" t="s">
        <v>225</v>
      </c>
      <c r="B209" s="41" t="str">
        <f>VLOOKUP(A209,All!A:AM,2,0)</f>
        <v>LONDON</v>
      </c>
      <c r="C209" s="42">
        <f>VLOOKUP(A209,All!A:AM,11,0)</f>
        <v>44643.354166666701</v>
      </c>
      <c r="D209" s="5"/>
      <c r="E209" s="17">
        <f>VLOOKUP(A209,All!A:AM,30,0)</f>
        <v>44.117647058823522</v>
      </c>
      <c r="F209" s="17">
        <f>VLOOKUP(A209,All!A:AM,28,0)</f>
        <v>24.524999999999999</v>
      </c>
      <c r="G209" s="17">
        <f>VLOOKUP(A209,All!A:AM,31,0)</f>
        <v>35.593220338983052</v>
      </c>
      <c r="H209" s="17">
        <f>VLOOKUP(A209,All!A:AM,29,0)</f>
        <v>17.1675</v>
      </c>
      <c r="I209" s="6">
        <f>VLOOKUP(A209,All!A:AM,33,0)</f>
        <v>9.3765315409927865</v>
      </c>
      <c r="J209" s="6">
        <f>VLOOKUP(A209,All!A:AM,32,0)</f>
        <v>3.2141999999999999</v>
      </c>
      <c r="K209" s="20">
        <f>VLOOKUP(A209,All!A:AM,39,0)</f>
        <v>70.414285714285711</v>
      </c>
      <c r="L209" s="20">
        <f>VLOOKUP(A209,All!A:AM,38,0)</f>
        <v>73.935000000000002</v>
      </c>
      <c r="M209" s="97">
        <f>VLOOKUP(A209,'SYS Allocations'!A:G,2,0)</f>
        <v>0</v>
      </c>
      <c r="N209" s="97">
        <f>VLOOKUP(A209,'SYS Allocations'!A:G,3,0)</f>
        <v>0</v>
      </c>
      <c r="O209" s="97">
        <f>VLOOKUP(A209,'SYS Allocations'!A:G,4,0)</f>
        <v>0</v>
      </c>
      <c r="P209" s="97">
        <f>VLOOKUP(A209,'SYS Allocations'!A:G,5,0)</f>
        <v>0</v>
      </c>
      <c r="Q209" s="97">
        <f>VLOOKUP(A209,'SYS Allocations'!A:G,6,0)</f>
        <v>0</v>
      </c>
      <c r="R209" s="12">
        <f>VLOOKUP(A209,'SYS Allocations'!A:G,7,0)</f>
        <v>0</v>
      </c>
    </row>
    <row r="210" spans="1:18" hidden="1">
      <c r="A210" s="35" t="s">
        <v>226</v>
      </c>
      <c r="B210" s="41" t="str">
        <f>VLOOKUP(A210,All!A:AM,2,0)</f>
        <v>NORTH EAST</v>
      </c>
      <c r="C210" s="42">
        <f>VLOOKUP(A210,All!A:AM,11,0)</f>
        <v>45264</v>
      </c>
      <c r="D210" s="5"/>
      <c r="E210" s="17">
        <f>VLOOKUP(A210,All!A:AM,30,0)</f>
        <v>61.920529801324513</v>
      </c>
      <c r="F210" s="17">
        <f>VLOOKUP(A210,All!A:AM,28,0)</f>
        <v>8.1532</v>
      </c>
      <c r="G210" s="17">
        <f>VLOOKUP(A210,All!A:AM,31,0)</f>
        <v>61.983471074380169</v>
      </c>
      <c r="H210" s="17">
        <f>VLOOKUP(A210,All!A:AM,29,0)</f>
        <v>8.1750000000000007</v>
      </c>
      <c r="I210" s="6">
        <f>VLOOKUP(A210,All!A:AM,33,0)</f>
        <v>4.0786654423018058</v>
      </c>
      <c r="J210" s="6">
        <f>VLOOKUP(A210,All!A:AM,32,0)</f>
        <v>0.2132</v>
      </c>
      <c r="K210" s="20">
        <f>VLOOKUP(A210,All!A:AM,39,0)</f>
        <v>88.85777777777777</v>
      </c>
      <c r="L210" s="20">
        <f>VLOOKUP(A210,All!A:AM,38,0)</f>
        <v>39.985999999999997</v>
      </c>
      <c r="M210" s="97">
        <f>VLOOKUP(A210,'SYS Allocations'!A:G,2,0)</f>
        <v>0</v>
      </c>
      <c r="N210" s="97">
        <f>VLOOKUP(A210,'SYS Allocations'!A:G,3,0)</f>
        <v>0</v>
      </c>
      <c r="O210" s="97">
        <f>VLOOKUP(A210,'SYS Allocations'!A:G,4,0)</f>
        <v>0</v>
      </c>
      <c r="P210" s="97">
        <f>VLOOKUP(A210,'SYS Allocations'!A:G,5,0)</f>
        <v>0</v>
      </c>
      <c r="Q210" s="97">
        <f>VLOOKUP(A210,'SYS Allocations'!A:G,6,0)</f>
        <v>0</v>
      </c>
      <c r="R210" s="12">
        <f>VLOOKUP(A210,'SYS Allocations'!A:G,7,0)</f>
        <v>0</v>
      </c>
    </row>
    <row r="211" spans="1:18" hidden="1">
      <c r="A211" s="35" t="s">
        <v>227</v>
      </c>
      <c r="B211" s="41" t="str">
        <f>VLOOKUP(A211,All!A:AM,2,0)</f>
        <v>MIDLANDS</v>
      </c>
      <c r="C211" s="42">
        <f>VLOOKUP(A211,All!A:AM,11,0)</f>
        <v>45264</v>
      </c>
      <c r="D211" s="5"/>
      <c r="E211" s="17">
        <f>VLOOKUP(A211,All!A:AM,30,0)</f>
        <v>51.510187060645769</v>
      </c>
      <c r="F211" s="17">
        <f>VLOOKUP(A211,All!A:AM,28,0)</f>
        <v>17.292999999999999</v>
      </c>
      <c r="G211" s="17">
        <f>VLOOKUP(A211,All!A:AM,31,0)</f>
        <v>19.271014133399454</v>
      </c>
      <c r="H211" s="17">
        <f>VLOOKUP(A211,All!A:AM,29,0)</f>
        <v>3.8860000000000001</v>
      </c>
      <c r="I211" s="6">
        <f>VLOOKUP(A211,All!A:AM,33,0)</f>
        <v>54.212794203681199</v>
      </c>
      <c r="J211" s="6">
        <f>VLOOKUP(A211,All!A:AM,32,0)</f>
        <v>19.2746</v>
      </c>
      <c r="K211" s="20">
        <f>VLOOKUP(A211,All!A:AM,39,0)</f>
        <v>63.824444444444445</v>
      </c>
      <c r="L211" s="20">
        <f>VLOOKUP(A211,All!A:AM,38,0)</f>
        <v>28.721</v>
      </c>
      <c r="M211" s="97">
        <f>VLOOKUP(A211,'SYS Allocations'!A:G,2,0)</f>
        <v>0</v>
      </c>
      <c r="N211" s="97">
        <f>VLOOKUP(A211,'SYS Allocations'!A:G,3,0)</f>
        <v>0</v>
      </c>
      <c r="O211" s="97">
        <f>VLOOKUP(A211,'SYS Allocations'!A:G,4,0)</f>
        <v>0</v>
      </c>
      <c r="P211" s="97">
        <f>VLOOKUP(A211,'SYS Allocations'!A:G,5,0)</f>
        <v>0</v>
      </c>
      <c r="Q211" s="97">
        <f>VLOOKUP(A211,'SYS Allocations'!A:G,6,0)</f>
        <v>0</v>
      </c>
      <c r="R211" s="12">
        <f>VLOOKUP(A211,'SYS Allocations'!A:G,7,0)</f>
        <v>2</v>
      </c>
    </row>
    <row r="212" spans="1:18" hidden="1">
      <c r="A212" s="35" t="s">
        <v>228</v>
      </c>
      <c r="B212" s="41" t="str">
        <f>VLOOKUP(A212,All!A:AM,2,0)</f>
        <v>ANGLIA</v>
      </c>
      <c r="C212" s="42">
        <f>VLOOKUP(A212,All!A:AM,11,0)</f>
        <v>44231</v>
      </c>
      <c r="D212" s="5"/>
      <c r="E212" s="17">
        <f>VLOOKUP(A212,All!A:AM,30,0)</f>
        <v>36.742088757429407</v>
      </c>
      <c r="F212" s="17">
        <f>VLOOKUP(A212,All!A:AM,28,0)</f>
        <v>5.27684</v>
      </c>
      <c r="G212" s="17">
        <f>VLOOKUP(A212,All!A:AM,31,0)</f>
        <v>-4.577947118207037</v>
      </c>
      <c r="H212" s="17">
        <f>VLOOKUP(A212,All!A:AM,29,0)</f>
        <v>-0.39769999999999994</v>
      </c>
      <c r="I212" s="6">
        <f>VLOOKUP(A212,All!A:AM,33,0)</f>
        <v>37.035650920381457</v>
      </c>
      <c r="J212" s="6">
        <f>VLOOKUP(A212,All!A:AM,32,0)</f>
        <v>5.3437999999999999</v>
      </c>
      <c r="K212" s="20">
        <f>VLOOKUP(A212,All!A:AM,39,0)</f>
        <v>53.410256410256402</v>
      </c>
      <c r="L212" s="20">
        <f>VLOOKUP(A212,All!A:AM,38,0)</f>
        <v>10.414999999999999</v>
      </c>
      <c r="M212" s="97">
        <f>VLOOKUP(A212,'SYS Allocations'!A:G,2,0)</f>
        <v>0</v>
      </c>
      <c r="N212" s="97">
        <f>VLOOKUP(A212,'SYS Allocations'!A:G,3,0)</f>
        <v>0</v>
      </c>
      <c r="O212" s="97">
        <f>VLOOKUP(A212,'SYS Allocations'!A:G,4,0)</f>
        <v>0</v>
      </c>
      <c r="P212" s="97">
        <f>VLOOKUP(A212,'SYS Allocations'!A:G,5,0)</f>
        <v>0</v>
      </c>
      <c r="Q212" s="97">
        <f>VLOOKUP(A212,'SYS Allocations'!A:G,6,0)</f>
        <v>0</v>
      </c>
      <c r="R212" s="12">
        <f>VLOOKUP(A212,'SYS Allocations'!A:G,7,0)</f>
        <v>2</v>
      </c>
    </row>
    <row r="213" spans="1:18" hidden="1">
      <c r="A213" s="35" t="s">
        <v>229</v>
      </c>
      <c r="B213" s="41" t="str">
        <f>VLOOKUP(A213,All!A:AM,2,0)</f>
        <v>MIDLANDS</v>
      </c>
      <c r="C213" s="42">
        <f>VLOOKUP(A213,All!A:AM,11,0)</f>
        <v>45264</v>
      </c>
      <c r="D213" s="5"/>
      <c r="E213" s="17">
        <f>VLOOKUP(A213,All!A:AM,30,0)</f>
        <v>26.618037800170452</v>
      </c>
      <c r="F213" s="17">
        <f>VLOOKUP(A213,All!A:AM,28,0)</f>
        <v>4.6723600000000003</v>
      </c>
      <c r="G213" s="17">
        <f>VLOOKUP(A213,All!A:AM,31,0)</f>
        <v>-45.355857228297047</v>
      </c>
      <c r="H213" s="17">
        <f>VLOOKUP(A213,All!A:AM,29,0)</f>
        <v>-4.0192999999999994</v>
      </c>
      <c r="I213" s="6">
        <f>VLOOKUP(A213,All!A:AM,33,0)</f>
        <v>39.024274786033523</v>
      </c>
      <c r="J213" s="6">
        <f>VLOOKUP(A213,All!A:AM,32,0)</f>
        <v>8.2438000000000091</v>
      </c>
      <c r="K213" s="20">
        <f>VLOOKUP(A213,All!A:AM,39,0)</f>
        <v>28.43888888888889</v>
      </c>
      <c r="L213" s="20">
        <f>VLOOKUP(A213,All!A:AM,38,0)</f>
        <v>5.1189999999999998</v>
      </c>
      <c r="M213" s="97">
        <f>VLOOKUP(A213,'SYS Allocations'!A:G,2,0)</f>
        <v>0</v>
      </c>
      <c r="N213" s="97">
        <f>VLOOKUP(A213,'SYS Allocations'!A:G,3,0)</f>
        <v>0</v>
      </c>
      <c r="O213" s="97">
        <f>VLOOKUP(A213,'SYS Allocations'!A:G,4,0)</f>
        <v>0</v>
      </c>
      <c r="P213" s="97">
        <f>VLOOKUP(A213,'SYS Allocations'!A:G,5,0)</f>
        <v>0</v>
      </c>
      <c r="Q213" s="97">
        <f>VLOOKUP(A213,'SYS Allocations'!A:G,6,0)</f>
        <v>0</v>
      </c>
      <c r="R213" s="12">
        <f>VLOOKUP(A213,'SYS Allocations'!A:G,7,0)</f>
        <v>1</v>
      </c>
    </row>
    <row r="214" spans="1:18" hidden="1">
      <c r="A214" s="40" t="s">
        <v>230</v>
      </c>
      <c r="B214" s="41" t="str">
        <f>VLOOKUP(A214,All!A:AM,2,0)</f>
        <v>LONDON</v>
      </c>
      <c r="C214" s="42">
        <f>VLOOKUP(A214,All!A:AM,11,0)</f>
        <v>45264</v>
      </c>
      <c r="D214" s="5"/>
      <c r="E214" s="17">
        <f>VLOOKUP(A214,All!A:AM,30,0)</f>
        <v>63.603325598550441</v>
      </c>
      <c r="F214" s="17">
        <f>VLOOKUP(A214,All!A:AM,28,0)</f>
        <v>28.418779999999998</v>
      </c>
      <c r="G214" s="17">
        <f>VLOOKUP(A214,All!A:AM,31,0)</f>
        <v>48.087248536387605</v>
      </c>
      <c r="H214" s="17">
        <f>VLOOKUP(A214,All!A:AM,29,0)</f>
        <v>15.0641</v>
      </c>
      <c r="I214" s="6">
        <f>VLOOKUP(A214,All!A:AM,33,0)</f>
        <v>59.325039518178365</v>
      </c>
      <c r="J214" s="6">
        <f>VLOOKUP(A214,All!A:AM,32,0)</f>
        <v>23.719100000000001</v>
      </c>
      <c r="K214" s="330">
        <f>VLOOKUP(A214,All!A:AM,39,0)</f>
        <v>45.372266666666668</v>
      </c>
      <c r="L214" s="330">
        <f>VLOOKUP(A214,All!A:AM,38,0)</f>
        <v>85.073000000000008</v>
      </c>
      <c r="M214" s="97">
        <f>VLOOKUP(A214,'SYS Allocations'!A:G,2,0)</f>
        <v>0</v>
      </c>
      <c r="N214" s="97">
        <f>VLOOKUP(A214,'SYS Allocations'!A:G,3,0)</f>
        <v>0</v>
      </c>
      <c r="O214" s="97">
        <f>VLOOKUP(A214,'SYS Allocations'!A:G,4,0)</f>
        <v>0</v>
      </c>
      <c r="P214" s="97">
        <f>VLOOKUP(A214,'SYS Allocations'!A:G,5,0)</f>
        <v>0</v>
      </c>
      <c r="Q214" s="97">
        <f>VLOOKUP(A214,'SYS Allocations'!A:G,6,0)</f>
        <v>0</v>
      </c>
      <c r="R214" s="12">
        <f>VLOOKUP(A214,'SYS Allocations'!A:G,7,0)</f>
        <v>4</v>
      </c>
    </row>
    <row r="215" spans="1:18" hidden="1">
      <c r="A215" s="40" t="s">
        <v>231</v>
      </c>
      <c r="B215" s="41" t="str">
        <f>VLOOKUP(A215,All!A:AM,2,0)</f>
        <v>LONDON</v>
      </c>
      <c r="C215" s="42">
        <f>VLOOKUP(A215,All!A:AM,11,0)</f>
        <v>45264</v>
      </c>
      <c r="D215" s="5"/>
      <c r="E215" s="17">
        <f>VLOOKUP(A215,All!A:AM,30,0)</f>
        <v>38.136487829110777</v>
      </c>
      <c r="F215" s="17">
        <f>VLOOKUP(A215,All!A:AM,28,0)</f>
        <v>26.77694</v>
      </c>
      <c r="G215" s="17">
        <f>VLOOKUP(A215,All!A:AM,31,0)</f>
        <v>17.868920032976092</v>
      </c>
      <c r="H215" s="17">
        <f>VLOOKUP(A215,All!A:AM,29,0)</f>
        <v>9.4503000000000004</v>
      </c>
      <c r="I215" s="6">
        <f>VLOOKUP(A215,All!A:AM,33,0)</f>
        <v>22.774613130796066</v>
      </c>
      <c r="J215" s="6">
        <f>VLOOKUP(A215,All!A:AM,32,0)</f>
        <v>12.8099000000001</v>
      </c>
      <c r="K215" s="332"/>
      <c r="L215" s="332"/>
      <c r="M215" s="97">
        <f>VLOOKUP(A215,'SYS Allocations'!A:G,2,0)</f>
        <v>0</v>
      </c>
      <c r="N215" s="97">
        <f>VLOOKUP(A215,'SYS Allocations'!A:G,3,0)</f>
        <v>0</v>
      </c>
      <c r="O215" s="97">
        <f>VLOOKUP(A215,'SYS Allocations'!A:G,4,0)</f>
        <v>0</v>
      </c>
      <c r="P215" s="97">
        <f>VLOOKUP(A215,'SYS Allocations'!A:G,5,0)</f>
        <v>0</v>
      </c>
      <c r="Q215" s="97">
        <f>VLOOKUP(A215,'SYS Allocations'!A:G,6,0)</f>
        <v>0</v>
      </c>
      <c r="R215" s="12">
        <f>VLOOKUP(A215,'SYS Allocations'!A:G,7,0)</f>
        <v>0</v>
      </c>
    </row>
    <row r="216" spans="1:18" hidden="1">
      <c r="A216" s="40" t="s">
        <v>232</v>
      </c>
      <c r="B216" s="41" t="str">
        <f>VLOOKUP(A216,All!A:AM,2,0)</f>
        <v>LONDON</v>
      </c>
      <c r="C216" s="42">
        <f>VLOOKUP(A216,All!A:AM,11,0)</f>
        <v>45264</v>
      </c>
      <c r="D216" s="5"/>
      <c r="E216" s="17">
        <f>VLOOKUP(A216,All!A:AM,30,0)</f>
        <v>56.812973735237094</v>
      </c>
      <c r="F216" s="17">
        <f>VLOOKUP(A216,All!A:AM,28,0)</f>
        <v>56.209119999999999</v>
      </c>
      <c r="G216" s="17">
        <f>VLOOKUP(A216,All!A:AM,31,0)</f>
        <v>53.031392283728735</v>
      </c>
      <c r="H216" s="17">
        <f>VLOOKUP(A216,All!A:AM,29,0)</f>
        <v>48.243400000000001</v>
      </c>
      <c r="I216" s="6">
        <f>VLOOKUP(A216,All!A:AM,33,0)</f>
        <v>19.880593432638793</v>
      </c>
      <c r="J216" s="6">
        <f>VLOOKUP(A216,All!A:AM,32,0)</f>
        <v>10.602399999999999</v>
      </c>
      <c r="K216" s="331"/>
      <c r="L216" s="331"/>
      <c r="M216" s="97">
        <f>VLOOKUP(A216,'SYS Allocations'!A:G,2,0)</f>
        <v>0</v>
      </c>
      <c r="N216" s="97">
        <f>VLOOKUP(A216,'SYS Allocations'!A:G,3,0)</f>
        <v>0</v>
      </c>
      <c r="O216" s="97">
        <f>VLOOKUP(A216,'SYS Allocations'!A:G,4,0)</f>
        <v>0</v>
      </c>
      <c r="P216" s="97">
        <f>VLOOKUP(A216,'SYS Allocations'!A:G,5,0)</f>
        <v>0</v>
      </c>
      <c r="Q216" s="97">
        <f>VLOOKUP(A216,'SYS Allocations'!A:G,6,0)</f>
        <v>0</v>
      </c>
      <c r="R216" s="12">
        <f>VLOOKUP(A216,'SYS Allocations'!A:G,7,0)</f>
        <v>0</v>
      </c>
    </row>
    <row r="217" spans="1:18" hidden="1">
      <c r="A217" s="37" t="s">
        <v>233</v>
      </c>
      <c r="B217" s="41" t="str">
        <f>VLOOKUP(A217,All!A:AM,2,0)</f>
        <v>LONDON</v>
      </c>
      <c r="C217" s="42">
        <f>VLOOKUP(A217,All!A:AM,11,0)</f>
        <v>45264</v>
      </c>
      <c r="D217" s="19"/>
      <c r="E217" s="17">
        <f>VLOOKUP(A217,All!A:AM,30,0)</f>
        <v>37.690221829784413</v>
      </c>
      <c r="F217" s="17">
        <f>VLOOKUP(A217,All!A:AM,28,0)</f>
        <v>37.289619999999999</v>
      </c>
      <c r="G217" s="17">
        <f>VLOOKUP(A217,All!A:AM,31,0)</f>
        <v>22.348679275703599</v>
      </c>
      <c r="H217" s="17">
        <f>VLOOKUP(A217,All!A:AM,29,0)</f>
        <v>17.742650000000001</v>
      </c>
      <c r="I217" s="6">
        <f>VLOOKUP(A217,All!A:AM,33,0)</f>
        <v>14.549373475271679</v>
      </c>
      <c r="J217" s="6">
        <f>VLOOKUP(A217,All!A:AM,32,0)</f>
        <v>10.496500000000001</v>
      </c>
      <c r="K217" s="330">
        <f>VLOOKUP(A217,All!A:AM,39,0)</f>
        <v>40.200133868808571</v>
      </c>
      <c r="L217" s="330">
        <f>VLOOKUP(A217,All!A:AM,38,0)</f>
        <v>150.14750000000001</v>
      </c>
      <c r="M217" s="97" t="str">
        <f>VLOOKUP(A217,'SYS Allocations'!A:G,2,0)</f>
        <v>P-Core</v>
      </c>
      <c r="N217" s="97">
        <f>VLOOKUP(A217,'SYS Allocations'!A:G,3,0)</f>
        <v>0</v>
      </c>
      <c r="O217" s="97">
        <f>VLOOKUP(A217,'SYS Allocations'!A:G,4,0)</f>
        <v>0</v>
      </c>
      <c r="P217" s="97">
        <f>VLOOKUP(A217,'SYS Allocations'!A:G,5,0)</f>
        <v>0</v>
      </c>
      <c r="Q217" s="97">
        <f>VLOOKUP(A217,'SYS Allocations'!A:G,6,0)</f>
        <v>0</v>
      </c>
      <c r="R217" s="12">
        <f>VLOOKUP(A217,'SYS Allocations'!A:G,7,0)</f>
        <v>15.05</v>
      </c>
    </row>
    <row r="218" spans="1:18" hidden="1">
      <c r="A218" s="37" t="s">
        <v>234</v>
      </c>
      <c r="B218" s="41" t="str">
        <f>VLOOKUP(A218,All!A:AM,2,0)</f>
        <v>LONDON</v>
      </c>
      <c r="C218" s="42">
        <f>VLOOKUP(A218,All!A:AM,11,0)</f>
        <v>45264</v>
      </c>
      <c r="D218" s="19"/>
      <c r="E218" s="17">
        <f>VLOOKUP(A218,All!A:AM,30,0)</f>
        <v>45.62773890492344</v>
      </c>
      <c r="F218" s="17">
        <f>VLOOKUP(A218,All!A:AM,28,0)</f>
        <v>45.87088</v>
      </c>
      <c r="G218" s="17">
        <f>VLOOKUP(A218,All!A:AM,31,0)</f>
        <v>23.19095749240158</v>
      </c>
      <c r="H218" s="17">
        <f>VLOOKUP(A218,All!A:AM,29,0)</f>
        <v>16.504100000000001</v>
      </c>
      <c r="I218" s="6">
        <f>VLOOKUP(A218,All!A:AM,33,0)</f>
        <v>38.501867602718292</v>
      </c>
      <c r="J218" s="6">
        <f>VLOOKUP(A218,All!A:AM,32,0)</f>
        <v>34.2220000000002</v>
      </c>
      <c r="K218" s="332"/>
      <c r="L218" s="332"/>
      <c r="M218" s="97" t="str">
        <f>VLOOKUP(A218,'SYS Allocations'!A:G,2,0)</f>
        <v>P-Core</v>
      </c>
      <c r="N218" s="97" t="str">
        <f>VLOOKUP(A218,'SYS Allocations'!A:G,3,0)</f>
        <v>RA</v>
      </c>
      <c r="O218" s="97" t="str">
        <f>VLOOKUP(A218,'SYS Allocations'!A:G,4,0)</f>
        <v>PX</v>
      </c>
      <c r="P218" s="97">
        <f>VLOOKUP(A218,'SYS Allocations'!A:G,5,0)</f>
        <v>0</v>
      </c>
      <c r="Q218" s="97" t="str">
        <f>VLOOKUP(A218,'SYS Allocations'!A:G,6,0)</f>
        <v>OPEX</v>
      </c>
      <c r="R218" s="12">
        <f>VLOOKUP(A218,'SYS Allocations'!A:G,7,0)</f>
        <v>14.549999999999999</v>
      </c>
    </row>
    <row r="219" spans="1:18" hidden="1">
      <c r="A219" s="40" t="s">
        <v>235</v>
      </c>
      <c r="B219" s="41" t="str">
        <f>VLOOKUP(A219,All!A:AM,2,0)</f>
        <v>LONDON</v>
      </c>
      <c r="C219" s="42">
        <f>VLOOKUP(A219,All!A:AM,11,0)</f>
        <v>45264</v>
      </c>
      <c r="D219" s="19"/>
      <c r="E219" s="17">
        <f>VLOOKUP(A219,All!A:AM,30,0)</f>
        <v>31.282550397898692</v>
      </c>
      <c r="F219" s="17">
        <f>VLOOKUP(A219,All!A:AM,28,0)</f>
        <v>30.450859999999999</v>
      </c>
      <c r="G219" s="17">
        <f>VLOOKUP(A219,All!A:AM,31,0)</f>
        <v>14.327193644198589</v>
      </c>
      <c r="H219" s="17">
        <f>VLOOKUP(A219,All!A:AM,29,0)</f>
        <v>11.186199999999999</v>
      </c>
      <c r="I219" s="6">
        <f>VLOOKUP(A219,All!A:AM,33,0)</f>
        <v>5.9300605283293502</v>
      </c>
      <c r="J219" s="6">
        <f>VLOOKUP(A219,All!A:AM,32,0)</f>
        <v>4.2167000000002197</v>
      </c>
      <c r="K219" s="332"/>
      <c r="L219" s="332"/>
      <c r="M219" s="97" t="str">
        <f>VLOOKUP(A219,'SYS Allocations'!A:G,2,0)</f>
        <v>P-Core</v>
      </c>
      <c r="N219" s="97">
        <f>VLOOKUP(A219,'SYS Allocations'!A:G,3,0)</f>
        <v>0</v>
      </c>
      <c r="O219" s="97">
        <f>VLOOKUP(A219,'SYS Allocations'!A:G,4,0)</f>
        <v>0</v>
      </c>
      <c r="P219" s="97">
        <f>VLOOKUP(A219,'SYS Allocations'!A:G,5,0)</f>
        <v>0</v>
      </c>
      <c r="Q219" s="97">
        <f>VLOOKUP(A219,'SYS Allocations'!A:G,6,0)</f>
        <v>0</v>
      </c>
      <c r="R219" s="12">
        <f>VLOOKUP(A219,'SYS Allocations'!A:G,7,0)</f>
        <v>1</v>
      </c>
    </row>
    <row r="220" spans="1:18" hidden="1">
      <c r="A220" s="40" t="s">
        <v>236</v>
      </c>
      <c r="B220" s="41" t="str">
        <f>VLOOKUP(A220,All!A:AM,2,0)</f>
        <v>LONDON</v>
      </c>
      <c r="C220" s="42">
        <f>VLOOKUP(A220,All!A:AM,11,0)</f>
        <v>45264</v>
      </c>
      <c r="D220" s="19"/>
      <c r="E220" s="17">
        <f>VLOOKUP(A220,All!A:AM,30,0)</f>
        <v>25.994141828787463</v>
      </c>
      <c r="F220" s="17">
        <f>VLOOKUP(A220,All!A:AM,28,0)</f>
        <v>14.103339999999999</v>
      </c>
      <c r="G220" s="17">
        <f>VLOOKUP(A220,All!A:AM,31,0)</f>
        <v>-14.330092995973786</v>
      </c>
      <c r="H220" s="17">
        <f>VLOOKUP(A220,All!A:AM,29,0)</f>
        <v>-5.0327000000000011</v>
      </c>
      <c r="I220" s="6">
        <f>VLOOKUP(A220,All!A:AM,33,0)</f>
        <v>24.709921545685013</v>
      </c>
      <c r="J220" s="6">
        <f>VLOOKUP(A220,All!A:AM,32,0)</f>
        <v>13.177900000000001</v>
      </c>
      <c r="K220" s="331"/>
      <c r="L220" s="331"/>
      <c r="M220" s="97" t="str">
        <f>VLOOKUP(A220,'SYS Allocations'!A:G,2,0)</f>
        <v>P-Core</v>
      </c>
      <c r="N220" s="97">
        <f>VLOOKUP(A220,'SYS Allocations'!A:G,3,0)</f>
        <v>0</v>
      </c>
      <c r="O220" s="97">
        <f>VLOOKUP(A220,'SYS Allocations'!A:G,4,0)</f>
        <v>0</v>
      </c>
      <c r="P220" s="97">
        <f>VLOOKUP(A220,'SYS Allocations'!A:G,5,0)</f>
        <v>0</v>
      </c>
      <c r="Q220" s="97">
        <f>VLOOKUP(A220,'SYS Allocations'!A:G,6,0)</f>
        <v>0</v>
      </c>
      <c r="R220" s="12">
        <f>VLOOKUP(A220,'SYS Allocations'!A:G,7,0)</f>
        <v>5</v>
      </c>
    </row>
    <row r="221" spans="1:18" hidden="1">
      <c r="A221" s="35" t="s">
        <v>237</v>
      </c>
      <c r="B221" s="41" t="str">
        <f>VLOOKUP(A221,All!A:AM,2,0)</f>
        <v>NORTHERN HOME COUNTIES</v>
      </c>
      <c r="C221" s="42">
        <f>VLOOKUP(A221,All!A:AM,11,0)</f>
        <v>45264</v>
      </c>
      <c r="D221" s="19"/>
      <c r="E221" s="17">
        <f>VLOOKUP(A221,All!A:AM,30,0)</f>
        <v>66.467958271236952</v>
      </c>
      <c r="F221" s="17">
        <f>VLOOKUP(A221,All!A:AM,28,0)</f>
        <v>11.66736</v>
      </c>
      <c r="G221" s="17">
        <f>VLOOKUP(A221,All!A:AM,31,0)</f>
        <v>72.179289026275114</v>
      </c>
      <c r="H221" s="17">
        <f>VLOOKUP(A221,All!A:AM,29,0)</f>
        <v>15.270899999999999</v>
      </c>
      <c r="I221" s="6">
        <f>VLOOKUP(A221,All!A:AM,33,0)</f>
        <v>54.469507101086208</v>
      </c>
      <c r="J221" s="6">
        <f>VLOOKUP(A221,All!A:AM,32,0)</f>
        <v>7.0416000000000203</v>
      </c>
      <c r="K221" s="20">
        <f>VLOOKUP(A221,All!A:AM,39,0)</f>
        <v>47.68</v>
      </c>
      <c r="L221" s="20">
        <f>VLOOKUP(A221,All!A:AM,38,0)</f>
        <v>5.3639999999999999</v>
      </c>
      <c r="M221" s="97">
        <f>VLOOKUP(A221,'SYS Allocations'!A:G,2,0)</f>
        <v>0</v>
      </c>
      <c r="N221" s="97">
        <f>VLOOKUP(A221,'SYS Allocations'!A:G,3,0)</f>
        <v>0</v>
      </c>
      <c r="O221" s="97">
        <f>VLOOKUP(A221,'SYS Allocations'!A:G,4,0)</f>
        <v>0</v>
      </c>
      <c r="P221" s="97">
        <f>VLOOKUP(A221,'SYS Allocations'!A:G,5,0)</f>
        <v>0</v>
      </c>
      <c r="Q221" s="97">
        <f>VLOOKUP(A221,'SYS Allocations'!A:G,6,0)</f>
        <v>0</v>
      </c>
      <c r="R221" s="12">
        <f>VLOOKUP(A221,'SYS Allocations'!A:G,7,0)</f>
        <v>0</v>
      </c>
    </row>
    <row r="222" spans="1:18" hidden="1">
      <c r="A222" s="35" t="s">
        <v>238</v>
      </c>
      <c r="B222" s="41" t="str">
        <f>VLOOKUP(A222,All!A:AM,2,0)</f>
        <v>SCOTLAND</v>
      </c>
      <c r="C222" s="42">
        <f>VLOOKUP(A222,All!A:AM,11,0)</f>
        <v>44873</v>
      </c>
      <c r="D222" s="19"/>
      <c r="E222" s="17">
        <f>VLOOKUP(A222,All!A:AM,30,0)</f>
        <v>39.984709480122319</v>
      </c>
      <c r="F222" s="17">
        <f>VLOOKUP(A222,All!A:AM,28,0)</f>
        <v>6.5374999999999996</v>
      </c>
      <c r="G222" s="17">
        <f>VLOOKUP(A222,All!A:AM,31,0)</f>
        <v>29.669581422018346</v>
      </c>
      <c r="H222" s="17">
        <f>VLOOKUP(A222,All!A:AM,29,0)</f>
        <v>4.1395</v>
      </c>
      <c r="I222" s="6">
        <f>VLOOKUP(A222,All!A:AM,33,0)</f>
        <v>2.9311095283315525</v>
      </c>
      <c r="J222" s="6">
        <f>VLOOKUP(A222,All!A:AM,32,0)</f>
        <v>0.29629999999998002</v>
      </c>
      <c r="K222" s="20">
        <f>VLOOKUP(A222,All!A:AM,39,0)</f>
        <v>34.583333333333336</v>
      </c>
      <c r="L222" s="20">
        <f>VLOOKUP(A222,All!A:AM,38,0)</f>
        <v>5.1875</v>
      </c>
      <c r="M222" s="97">
        <f>VLOOKUP(A222,'SYS Allocations'!A:G,2,0)</f>
        <v>0</v>
      </c>
      <c r="N222" s="97">
        <f>VLOOKUP(A222,'SYS Allocations'!A:G,3,0)</f>
        <v>0</v>
      </c>
      <c r="O222" s="97">
        <f>VLOOKUP(A222,'SYS Allocations'!A:G,4,0)</f>
        <v>0</v>
      </c>
      <c r="P222" s="97">
        <f>VLOOKUP(A222,'SYS Allocations'!A:G,5,0)</f>
        <v>0</v>
      </c>
      <c r="Q222" s="97">
        <f>VLOOKUP(A222,'SYS Allocations'!A:G,6,0)</f>
        <v>0</v>
      </c>
      <c r="R222" s="12">
        <f>VLOOKUP(A222,'SYS Allocations'!A:G,7,0)</f>
        <v>3</v>
      </c>
    </row>
    <row r="223" spans="1:18" hidden="1">
      <c r="A223" s="35" t="s">
        <v>239</v>
      </c>
      <c r="B223" s="41" t="str">
        <f>VLOOKUP(A223,All!A:AM,2,0)</f>
        <v>WALES</v>
      </c>
      <c r="C223" s="42">
        <f>VLOOKUP(A223,All!A:AM,11,0)</f>
        <v>44392.5</v>
      </c>
      <c r="D223" s="19"/>
      <c r="E223" s="17">
        <f>VLOOKUP(A223,All!A:AM,30,0)</f>
        <v>10.297009296858901</v>
      </c>
      <c r="F223" s="17">
        <f>VLOOKUP(A223,All!A:AM,28,0)</f>
        <v>1.4788400000000004</v>
      </c>
      <c r="G223" s="17">
        <f>VLOOKUP(A223,All!A:AM,31,0)</f>
        <v>-88.505040750332881</v>
      </c>
      <c r="H223" s="17">
        <f>VLOOKUP(A223,All!A:AM,29,0)</f>
        <v>-6.0487000000000002</v>
      </c>
      <c r="I223" s="6">
        <f>VLOOKUP(A223,All!A:AM,33,0)</f>
        <v>26.000597371565004</v>
      </c>
      <c r="J223" s="6">
        <f>VLOOKUP(A223,All!A:AM,32,0)</f>
        <v>4.5265999999999806</v>
      </c>
      <c r="K223" s="20">
        <f>VLOOKUP(A223,All!A:AM,39,0)</f>
        <v>57.056666666666672</v>
      </c>
      <c r="L223" s="20">
        <f>VLOOKUP(A223,All!A:AM,38,0)</f>
        <v>17.117000000000001</v>
      </c>
      <c r="M223" s="97">
        <f>VLOOKUP(A223,'SYS Allocations'!A:G,2,0)</f>
        <v>0</v>
      </c>
      <c r="N223" s="97" t="str">
        <f>VLOOKUP(A223,'SYS Allocations'!A:G,3,0)</f>
        <v>RA</v>
      </c>
      <c r="O223" s="97">
        <f>VLOOKUP(A223,'SYS Allocations'!A:G,4,0)</f>
        <v>0</v>
      </c>
      <c r="P223" s="97">
        <f>VLOOKUP(A223,'SYS Allocations'!A:G,5,0)</f>
        <v>0</v>
      </c>
      <c r="Q223" s="97">
        <f>VLOOKUP(A223,'SYS Allocations'!A:G,6,0)</f>
        <v>0</v>
      </c>
      <c r="R223" s="12">
        <f>VLOOKUP(A223,'SYS Allocations'!A:G,7,0)</f>
        <v>3.4</v>
      </c>
    </row>
    <row r="224" spans="1:18" hidden="1">
      <c r="A224" s="35" t="s">
        <v>240</v>
      </c>
      <c r="B224" s="41" t="str">
        <f>VLOOKUP(A224,All!A:AM,2,0)</f>
        <v>MIDLANDS</v>
      </c>
      <c r="C224" s="42">
        <f>VLOOKUP(A224,All!A:AM,11,0)</f>
        <v>44502.416666666701</v>
      </c>
      <c r="D224" s="5"/>
      <c r="E224" s="17">
        <f>VLOOKUP(A224,All!A:AM,30,0)</f>
        <v>45.895372737755054</v>
      </c>
      <c r="F224" s="17">
        <f>VLOOKUP(A224,All!A:AM,28,0)</f>
        <v>18.3095</v>
      </c>
      <c r="G224" s="17">
        <f>VLOOKUP(A224,All!A:AM,31,0)</f>
        <v>35.852628513178978</v>
      </c>
      <c r="H224" s="17">
        <f>VLOOKUP(A224,All!A:AM,29,0)</f>
        <v>12.063800000000001</v>
      </c>
      <c r="I224" s="6">
        <f>VLOOKUP(A224,All!A:AM,33,0)</f>
        <v>35.36336303962436</v>
      </c>
      <c r="J224" s="6">
        <f>VLOOKUP(A224,All!A:AM,32,0)</f>
        <v>11.809100000000001</v>
      </c>
      <c r="K224" s="20">
        <f>VLOOKUP(A224,All!A:AM,39,0)</f>
        <v>52.626611796982168</v>
      </c>
      <c r="L224" s="20">
        <f>VLOOKUP(A224,All!A:AM,38,0)</f>
        <v>23.978000000000002</v>
      </c>
      <c r="M224" s="97">
        <f>VLOOKUP(A224,'SYS Allocations'!A:G,2,0)</f>
        <v>0</v>
      </c>
      <c r="N224" s="97">
        <f>VLOOKUP(A224,'SYS Allocations'!A:G,3,0)</f>
        <v>0</v>
      </c>
      <c r="O224" s="97">
        <f>VLOOKUP(A224,'SYS Allocations'!A:G,4,0)</f>
        <v>0</v>
      </c>
      <c r="P224" s="97">
        <f>VLOOKUP(A224,'SYS Allocations'!A:G,5,0)</f>
        <v>0</v>
      </c>
      <c r="Q224" s="97">
        <f>VLOOKUP(A224,'SYS Allocations'!A:G,6,0)</f>
        <v>0</v>
      </c>
      <c r="R224" s="12">
        <f>VLOOKUP(A224,'SYS Allocations'!A:G,7,0)</f>
        <v>3</v>
      </c>
    </row>
    <row r="225" spans="1:18" hidden="1">
      <c r="A225" s="40" t="s">
        <v>241</v>
      </c>
      <c r="B225" s="41" t="str">
        <f>VLOOKUP(A225,All!A:AM,2,0)</f>
        <v>LONDON</v>
      </c>
      <c r="C225" s="42">
        <f>VLOOKUP(A225,All!A:AM,11,0)</f>
        <v>44587.444444444402</v>
      </c>
      <c r="D225" s="5"/>
      <c r="E225" s="17">
        <f>VLOOKUP(A225,All!A:AM,30,0)</f>
        <v>10.408256880733946</v>
      </c>
      <c r="F225" s="17">
        <f>VLOOKUP(A225,All!A:AM,28,0)</f>
        <v>1.1345000000000001</v>
      </c>
      <c r="G225" s="17">
        <f>VLOOKUP(A225,All!A:AM,31,0)</f>
        <v>-48.08553805544291</v>
      </c>
      <c r="H225" s="17">
        <f>VLOOKUP(A225,All!A:AM,29,0)</f>
        <v>-3.1710005450000001</v>
      </c>
      <c r="I225" s="6">
        <f>VLOOKUP(A225,All!A:AM,33,0)</f>
        <v>30.445156695156832</v>
      </c>
      <c r="J225" s="6">
        <f>VLOOKUP(A225,All!A:AM,32,0)</f>
        <v>4.2745000000000193</v>
      </c>
      <c r="K225" s="330">
        <f>VLOOKUP(A225,All!A:AM,39,0)</f>
        <v>13.255882352941173</v>
      </c>
      <c r="L225" s="330">
        <f>VLOOKUP(A225,All!A:AM,38,0)</f>
        <v>3.3802499999999993</v>
      </c>
      <c r="M225" s="97">
        <f>VLOOKUP(A225,'SYS Allocations'!A:G,2,0)</f>
        <v>0</v>
      </c>
      <c r="N225" s="97">
        <f>VLOOKUP(A225,'SYS Allocations'!A:G,3,0)</f>
        <v>0</v>
      </c>
      <c r="O225" s="97">
        <f>VLOOKUP(A225,'SYS Allocations'!A:G,4,0)</f>
        <v>0</v>
      </c>
      <c r="P225" s="97">
        <f>VLOOKUP(A225,'SYS Allocations'!A:G,5,0)</f>
        <v>0</v>
      </c>
      <c r="Q225" s="97">
        <f>VLOOKUP(A225,'SYS Allocations'!A:G,6,0)</f>
        <v>0</v>
      </c>
      <c r="R225" s="12">
        <f>VLOOKUP(A225,'SYS Allocations'!A:G,7,0)</f>
        <v>1.1000000000000001</v>
      </c>
    </row>
    <row r="226" spans="1:18" hidden="1">
      <c r="A226" s="40" t="s">
        <v>242</v>
      </c>
      <c r="B226" s="41" t="str">
        <f>VLOOKUP(A226,All!A:AM,2,0)</f>
        <v>LONDON</v>
      </c>
      <c r="C226" s="42">
        <f>VLOOKUP(A226,All!A:AM,11,0)</f>
        <v>44504.541666666701</v>
      </c>
      <c r="D226" s="5"/>
      <c r="E226" s="17">
        <f>VLOOKUP(A226,All!A:AM,30,0)</f>
        <v>24.158256880733944</v>
      </c>
      <c r="F226" s="17">
        <f>VLOOKUP(A226,All!A:AM,28,0)</f>
        <v>2.6332499999999999</v>
      </c>
      <c r="G226" s="17">
        <f>VLOOKUP(A226,All!A:AM,31,0)</f>
        <v>-25.358263449883026</v>
      </c>
      <c r="H226" s="17">
        <f>VLOOKUP(A226,All!A:AM,29,0)</f>
        <v>-1.6722505450000003</v>
      </c>
      <c r="I226" s="6">
        <f>VLOOKUP(A226,All!A:AM,33,0)</f>
        <v>41.120014245014389</v>
      </c>
      <c r="J226" s="6">
        <f>VLOOKUP(A226,All!A:AM,32,0)</f>
        <v>5.7732500000000204</v>
      </c>
      <c r="K226" s="332"/>
      <c r="L226" s="332"/>
      <c r="M226" s="97">
        <f>VLOOKUP(A226,'SYS Allocations'!A:G,2,0)</f>
        <v>0</v>
      </c>
      <c r="N226" s="97">
        <f>VLOOKUP(A226,'SYS Allocations'!A:G,3,0)</f>
        <v>0</v>
      </c>
      <c r="O226" s="97">
        <f>VLOOKUP(A226,'SYS Allocations'!A:G,4,0)</f>
        <v>0</v>
      </c>
      <c r="P226" s="97">
        <f>VLOOKUP(A226,'SYS Allocations'!A:G,5,0)</f>
        <v>0</v>
      </c>
      <c r="Q226" s="97">
        <f>VLOOKUP(A226,'SYS Allocations'!A:G,6,0)</f>
        <v>0</v>
      </c>
      <c r="R226" s="12">
        <f>VLOOKUP(A226,'SYS Allocations'!A:G,7,0)</f>
        <v>1.1000000000000001</v>
      </c>
    </row>
    <row r="227" spans="1:18" hidden="1">
      <c r="A227" s="40" t="s">
        <v>243</v>
      </c>
      <c r="B227" s="41" t="str">
        <f>VLOOKUP(A227,All!A:AM,2,0)</f>
        <v>LONDON</v>
      </c>
      <c r="C227" s="42">
        <f>VLOOKUP(A227,All!A:AM,11,0)</f>
        <v>45058</v>
      </c>
      <c r="D227" s="5"/>
      <c r="E227" s="17">
        <f>VLOOKUP(A227,All!A:AM,30,0)</f>
        <v>73.5</v>
      </c>
      <c r="F227" s="17">
        <f>VLOOKUP(A227,All!A:AM,28,0)</f>
        <v>8.0114999999999998</v>
      </c>
      <c r="G227" s="17">
        <f>VLOOKUP(A227,All!A:AM,31,0)</f>
        <v>44.327724074923204</v>
      </c>
      <c r="H227" s="17">
        <f>VLOOKUP(A227,All!A:AM,29,0)</f>
        <v>2.2998993460000001</v>
      </c>
      <c r="I227" s="6">
        <f>VLOOKUP(A227,All!A:AM,33,0)</f>
        <v>82.855531813865156</v>
      </c>
      <c r="J227" s="6">
        <f>VLOOKUP(A227,All!A:AM,32,0)</f>
        <v>13.9595</v>
      </c>
      <c r="K227" s="332"/>
      <c r="L227" s="332"/>
      <c r="M227" s="97">
        <f>VLOOKUP(A227,'SYS Allocations'!A:G,2,0)</f>
        <v>0</v>
      </c>
      <c r="N227" s="97">
        <f>VLOOKUP(A227,'SYS Allocations'!A:G,3,0)</f>
        <v>0</v>
      </c>
      <c r="O227" s="97">
        <f>VLOOKUP(A227,'SYS Allocations'!A:G,4,0)</f>
        <v>0</v>
      </c>
      <c r="P227" s="97">
        <f>VLOOKUP(A227,'SYS Allocations'!A:G,5,0)</f>
        <v>0</v>
      </c>
      <c r="Q227" s="97">
        <f>VLOOKUP(A227,'SYS Allocations'!A:G,6,0)</f>
        <v>0</v>
      </c>
      <c r="R227" s="12">
        <f>VLOOKUP(A227,'SYS Allocations'!A:G,7,0)</f>
        <v>0</v>
      </c>
    </row>
    <row r="228" spans="1:18" hidden="1">
      <c r="A228" s="40" t="s">
        <v>244</v>
      </c>
      <c r="B228" s="41" t="str">
        <f>VLOOKUP(A228,All!A:AM,2,0)</f>
        <v>LONDON</v>
      </c>
      <c r="C228" s="42">
        <f>VLOOKUP(A228,All!A:AM,11,0)</f>
        <v>45058</v>
      </c>
      <c r="D228" s="19"/>
      <c r="E228" s="17">
        <f>VLOOKUP(A228,All!A:AM,30,0)</f>
        <v>81.666666666666671</v>
      </c>
      <c r="F228" s="17">
        <f>VLOOKUP(A228,All!A:AM,28,0)</f>
        <v>5.3410000000000002</v>
      </c>
      <c r="G228" s="17">
        <f>VLOOKUP(A228,All!A:AM,31,0)</f>
        <v>52.991444955802557</v>
      </c>
      <c r="H228" s="17">
        <f>VLOOKUP(A228,All!A:AM,29,0)</f>
        <v>1.351599564</v>
      </c>
      <c r="I228" s="6">
        <f>VLOOKUP(A228,All!A:AM,33,0)</f>
        <v>89.325142450142451</v>
      </c>
      <c r="J228" s="6">
        <f>VLOOKUP(A228,All!A:AM,32,0)</f>
        <v>10.032999999999999</v>
      </c>
      <c r="K228" s="331"/>
      <c r="L228" s="331"/>
      <c r="M228" s="97">
        <f>VLOOKUP(A228,'SYS Allocations'!A:G,2,0)</f>
        <v>0</v>
      </c>
      <c r="N228" s="97">
        <f>VLOOKUP(A228,'SYS Allocations'!A:G,3,0)</f>
        <v>0</v>
      </c>
      <c r="O228" s="97">
        <f>VLOOKUP(A228,'SYS Allocations'!A:G,4,0)</f>
        <v>0</v>
      </c>
      <c r="P228" s="97">
        <f>VLOOKUP(A228,'SYS Allocations'!A:G,5,0)</f>
        <v>0</v>
      </c>
      <c r="Q228" s="97">
        <f>VLOOKUP(A228,'SYS Allocations'!A:G,6,0)</f>
        <v>0</v>
      </c>
      <c r="R228" s="12">
        <f>VLOOKUP(A228,'SYS Allocations'!A:G,7,0)</f>
        <v>0</v>
      </c>
    </row>
    <row r="229" spans="1:18" hidden="1">
      <c r="A229" s="35" t="s">
        <v>245</v>
      </c>
      <c r="B229" s="41" t="str">
        <f>VLOOKUP(A229,All!A:AM,2,0)</f>
        <v>LONDON</v>
      </c>
      <c r="C229" s="42">
        <f>VLOOKUP(A229,All!A:AM,11,0)</f>
        <v>44602.708333333299</v>
      </c>
      <c r="D229" s="19"/>
      <c r="E229" s="17">
        <f>VLOOKUP(A229,All!A:AM,30,0)</f>
        <v>93.333333333333329</v>
      </c>
      <c r="F229" s="17">
        <f>VLOOKUP(A229,All!A:AM,28,0)</f>
        <v>13.734</v>
      </c>
      <c r="G229" s="17">
        <f>VLOOKUP(A229,All!A:AM,31,0)</f>
        <v>91.408114558472548</v>
      </c>
      <c r="H229" s="17">
        <f>VLOOKUP(A229,All!A:AM,29,0)</f>
        <v>10.43675</v>
      </c>
      <c r="I229" s="6">
        <f>VLOOKUP(A229,All!A:AM,33,0)</f>
        <v>89.659228901032193</v>
      </c>
      <c r="J229" s="6">
        <f>VLOOKUP(A229,All!A:AM,32,0)</f>
        <v>8.5057200000000108</v>
      </c>
      <c r="K229" s="20">
        <f>VLOOKUP(A229,All!A:AM,39,0)</f>
        <v>92.733333333333334</v>
      </c>
      <c r="L229" s="20">
        <f>VLOOKUP(A229,All!A:AM,38,0)</f>
        <v>12.519</v>
      </c>
      <c r="M229" s="97">
        <f>VLOOKUP(A229,'SYS Allocations'!A:G,2,0)</f>
        <v>0</v>
      </c>
      <c r="N229" s="97">
        <f>VLOOKUP(A229,'SYS Allocations'!A:G,3,0)</f>
        <v>0</v>
      </c>
      <c r="O229" s="97">
        <f>VLOOKUP(A229,'SYS Allocations'!A:G,4,0)</f>
        <v>0</v>
      </c>
      <c r="P229" s="97">
        <f>VLOOKUP(A229,'SYS Allocations'!A:G,5,0)</f>
        <v>0</v>
      </c>
      <c r="Q229" s="97">
        <f>VLOOKUP(A229,'SYS Allocations'!A:G,6,0)</f>
        <v>0</v>
      </c>
      <c r="R229" s="12">
        <f>VLOOKUP(A229,'SYS Allocations'!A:G,7,0)</f>
        <v>0</v>
      </c>
    </row>
    <row r="230" spans="1:18" hidden="1">
      <c r="A230" s="37" t="s">
        <v>246</v>
      </c>
      <c r="B230" s="41" t="str">
        <f>VLOOKUP(A230,All!A:AM,2,0)</f>
        <v>NORTH EAST</v>
      </c>
      <c r="C230" s="42">
        <f>VLOOKUP(A230,All!A:AM,11,0)</f>
        <v>45264</v>
      </c>
      <c r="D230" s="19"/>
      <c r="E230" s="17">
        <f>VLOOKUP(A230,All!A:AM,30,0)</f>
        <v>52.96786484183086</v>
      </c>
      <c r="F230" s="17">
        <f>VLOOKUP(A230,All!A:AM,28,0)</f>
        <v>42.262</v>
      </c>
      <c r="G230" s="17">
        <f>VLOOKUP(A230,All!A:AM,31,0)</f>
        <v>44.020287909301111</v>
      </c>
      <c r="H230" s="17">
        <f>VLOOKUP(A230,All!A:AM,29,0)</f>
        <v>29.509</v>
      </c>
      <c r="I230" s="6">
        <f>VLOOKUP(A230,All!A:AM,33,0)</f>
        <v>29.634879918395509</v>
      </c>
      <c r="J230" s="6">
        <f>VLOOKUP(A230,All!A:AM,32,0)</f>
        <v>15.804399999999999</v>
      </c>
      <c r="K230" s="330">
        <f>VLOOKUP(A230,All!A:AM,39,0)</f>
        <v>12.054187192118235</v>
      </c>
      <c r="L230" s="330">
        <f>VLOOKUP(A230,All!A:AM,38,0)</f>
        <v>11.011500000000009</v>
      </c>
      <c r="M230" s="97" t="str">
        <f>VLOOKUP(A230,'SYS Allocations'!A:G,2,0)</f>
        <v>P-Core</v>
      </c>
      <c r="N230" s="97">
        <f>VLOOKUP(A230,'SYS Allocations'!A:G,3,0)</f>
        <v>0</v>
      </c>
      <c r="O230" s="97" t="str">
        <f>VLOOKUP(A230,'SYS Allocations'!A:G,4,0)</f>
        <v>PX</v>
      </c>
      <c r="P230" s="97">
        <f>VLOOKUP(A230,'SYS Allocations'!A:G,5,0)</f>
        <v>0</v>
      </c>
      <c r="Q230" s="97" t="str">
        <f>VLOOKUP(A230,'SYS Allocations'!A:G,6,0)</f>
        <v>OPEX</v>
      </c>
      <c r="R230" s="12">
        <f>VLOOKUP(A230,'SYS Allocations'!A:G,7,0)</f>
        <v>8.2050000000000001</v>
      </c>
    </row>
    <row r="231" spans="1:18" hidden="1">
      <c r="A231" s="37" t="s">
        <v>247</v>
      </c>
      <c r="B231" s="41" t="str">
        <f>VLOOKUP(A231,All!A:AM,2,0)</f>
        <v>NORTH EAST</v>
      </c>
      <c r="C231" s="42">
        <f>VLOOKUP(A231,All!A:AM,11,0)</f>
        <v>45264</v>
      </c>
      <c r="D231" s="19"/>
      <c r="E231" s="17">
        <f>VLOOKUP(A231,All!A:AM,30,0)</f>
        <v>46.342181781721571</v>
      </c>
      <c r="F231" s="17">
        <f>VLOOKUP(A231,All!A:AM,28,0)</f>
        <v>36.975500000000004</v>
      </c>
      <c r="G231" s="17">
        <f>VLOOKUP(A231,All!A:AM,31,0)</f>
        <v>36.134109047512496</v>
      </c>
      <c r="H231" s="17">
        <f>VLOOKUP(A231,All!A:AM,29,0)</f>
        <v>24.222500000000004</v>
      </c>
      <c r="I231" s="6">
        <f>VLOOKUP(A231,All!A:AM,33,0)</f>
        <v>19.722147218096993</v>
      </c>
      <c r="J231" s="6">
        <f>VLOOKUP(A231,All!A:AM,32,0)</f>
        <v>10.517899999999999</v>
      </c>
      <c r="K231" s="331"/>
      <c r="L231" s="331"/>
      <c r="M231" s="97">
        <f>VLOOKUP(A231,'SYS Allocations'!A:G,2,0)</f>
        <v>0</v>
      </c>
      <c r="N231" s="97">
        <f>VLOOKUP(A231,'SYS Allocations'!A:G,3,0)</f>
        <v>0</v>
      </c>
      <c r="O231" s="97">
        <f>VLOOKUP(A231,'SYS Allocations'!A:G,4,0)</f>
        <v>0</v>
      </c>
      <c r="P231" s="97">
        <f>VLOOKUP(A231,'SYS Allocations'!A:G,5,0)</f>
        <v>0</v>
      </c>
      <c r="Q231" s="97">
        <f>VLOOKUP(A231,'SYS Allocations'!A:G,6,0)</f>
        <v>0</v>
      </c>
      <c r="R231" s="12">
        <f>VLOOKUP(A231,'SYS Allocations'!A:G,7,0)</f>
        <v>8.2050000000000001</v>
      </c>
    </row>
    <row r="232" spans="1:18" hidden="1">
      <c r="A232" s="35" t="s">
        <v>248</v>
      </c>
      <c r="B232" s="41" t="str">
        <f>VLOOKUP(A232,All!A:AM,2,0)</f>
        <v xml:space="preserve">SCOTTISH HIGHLANDS &amp; ISLANDS </v>
      </c>
      <c r="C232" s="42">
        <f>VLOOKUP(A232,All!A:AM,11,0)</f>
        <v>44481.701388888898</v>
      </c>
      <c r="D232" s="19"/>
      <c r="E232" s="17">
        <f>VLOOKUP(A232,All!A:AM,30,0)</f>
        <v>86.666666666666671</v>
      </c>
      <c r="F232" s="17">
        <f>VLOOKUP(A232,All!A:AM,28,0)</f>
        <v>2.8340000000000001</v>
      </c>
      <c r="G232" s="17">
        <f>VLOOKUP(A232,All!A:AM,31,0)</f>
        <v>84.313725490196077</v>
      </c>
      <c r="H232" s="17">
        <f>VLOOKUP(A232,All!A:AM,29,0)</f>
        <v>2.3435000000000001</v>
      </c>
      <c r="I232" s="6">
        <f>VLOOKUP(A232,All!A:AM,33,0)</f>
        <v>85.114170217415065</v>
      </c>
      <c r="J232" s="6">
        <f>VLOOKUP(A232,All!A:AM,32,0)</f>
        <v>2.4929600000000001</v>
      </c>
      <c r="K232" s="20">
        <f>VLOOKUP(A232,All!A:AM,39,0)</f>
        <v>88.373333333333335</v>
      </c>
      <c r="L232" s="20">
        <f>VLOOKUP(A232,All!A:AM,38,0)</f>
        <v>3.3140000000000001</v>
      </c>
      <c r="M232" s="97">
        <f>VLOOKUP(A232,'SYS Allocations'!A:G,2,0)</f>
        <v>0</v>
      </c>
      <c r="N232" s="97">
        <f>VLOOKUP(A232,'SYS Allocations'!A:G,3,0)</f>
        <v>0</v>
      </c>
      <c r="O232" s="97">
        <f>VLOOKUP(A232,'SYS Allocations'!A:G,4,0)</f>
        <v>0</v>
      </c>
      <c r="P232" s="97">
        <f>VLOOKUP(A232,'SYS Allocations'!A:G,5,0)</f>
        <v>0</v>
      </c>
      <c r="Q232" s="97">
        <f>VLOOKUP(A232,'SYS Allocations'!A:G,6,0)</f>
        <v>0</v>
      </c>
      <c r="R232" s="12">
        <f>VLOOKUP(A232,'SYS Allocations'!A:G,7,0)</f>
        <v>0</v>
      </c>
    </row>
    <row r="233" spans="1:18" hidden="1">
      <c r="A233" s="255" t="s">
        <v>249</v>
      </c>
      <c r="B233" s="41" t="str">
        <f>VLOOKUP(A233,All!A:AM,2,0)</f>
        <v>SOUTH WEST</v>
      </c>
      <c r="C233" s="42">
        <f>VLOOKUP(A233,All!A:AM,11,0)</f>
        <v>45264</v>
      </c>
      <c r="D233" s="5"/>
      <c r="E233" s="17">
        <f>VLOOKUP(A233,All!A:AM,30,0)</f>
        <v>62.142236450403104</v>
      </c>
      <c r="F233" s="17">
        <f>VLOOKUP(A233,All!A:AM,28,0)</f>
        <v>20.824460000000002</v>
      </c>
      <c r="G233" s="17">
        <f>VLOOKUP(A233,All!A:AM,31,0)</f>
        <v>53.125288660136633</v>
      </c>
      <c r="H233" s="17">
        <f>VLOOKUP(A233,All!A:AM,29,0)</f>
        <v>14.378199999999998</v>
      </c>
      <c r="I233" s="6">
        <f>VLOOKUP(A233,All!A:AM,33,0)</f>
        <v>44.799063631300484</v>
      </c>
      <c r="J233" s="6">
        <f>VLOOKUP(A233,All!A:AM,32,0)</f>
        <v>10.295900000000001</v>
      </c>
      <c r="K233" s="20">
        <f>VLOOKUP(A233,All!A:AM,39,0)</f>
        <v>62.410370370370359</v>
      </c>
      <c r="L233" s="20">
        <f>VLOOKUP(A233,All!A:AM,38,0)</f>
        <v>21.063499999999998</v>
      </c>
      <c r="M233" s="97">
        <f>VLOOKUP(A233,'SYS Allocations'!A:G,2,0)</f>
        <v>0</v>
      </c>
      <c r="N233" s="97">
        <f>VLOOKUP(A233,'SYS Allocations'!A:G,3,0)</f>
        <v>0</v>
      </c>
      <c r="O233" s="97">
        <f>VLOOKUP(A233,'SYS Allocations'!A:G,4,0)</f>
        <v>0</v>
      </c>
      <c r="P233" s="97">
        <f>VLOOKUP(A233,'SYS Allocations'!A:G,5,0)</f>
        <v>0</v>
      </c>
      <c r="Q233" s="97">
        <f>VLOOKUP(A233,'SYS Allocations'!A:G,6,0)</f>
        <v>0</v>
      </c>
      <c r="R233" s="12">
        <f>VLOOKUP(A233,'SYS Allocations'!A:G,7,0)</f>
        <v>7.4</v>
      </c>
    </row>
    <row r="234" spans="1:18" hidden="1">
      <c r="A234" s="255" t="s">
        <v>250</v>
      </c>
      <c r="B234" s="41" t="str">
        <f>VLOOKUP(A234,All!A:AM,2,0)</f>
        <v>SOUTH WEST</v>
      </c>
      <c r="C234" s="42">
        <f>VLOOKUP(A234,All!A:AM,11,0)</f>
        <v>45264</v>
      </c>
      <c r="D234" s="5"/>
      <c r="E234" s="17">
        <f>VLOOKUP(A234,All!A:AM,30,0)</f>
        <v>63.523873980333605</v>
      </c>
      <c r="F234" s="17">
        <f>VLOOKUP(A234,All!A:AM,28,0)</f>
        <v>21.287459999999999</v>
      </c>
      <c r="G234" s="17">
        <f>VLOOKUP(A234,All!A:AM,31,0)</f>
        <v>54.836004093893528</v>
      </c>
      <c r="H234" s="17">
        <f>VLOOKUP(A234,All!A:AM,29,0)</f>
        <v>14.841200000000001</v>
      </c>
      <c r="I234" s="6">
        <f>VLOOKUP(A234,All!A:AM,33,0)</f>
        <v>46.813648705096078</v>
      </c>
      <c r="J234" s="6">
        <f>VLOOKUP(A234,All!A:AM,32,0)</f>
        <v>10.758900000000001</v>
      </c>
      <c r="K234" s="20">
        <f>VLOOKUP(A234,All!A:AM,39,0)</f>
        <v>63.782222222222224</v>
      </c>
      <c r="L234" s="20">
        <f>VLOOKUP(A234,All!A:AM,38,0)</f>
        <v>21.526500000000002</v>
      </c>
      <c r="M234" s="97">
        <f>VLOOKUP(A234,'SYS Allocations'!A:G,2,0)</f>
        <v>0</v>
      </c>
      <c r="N234" s="97">
        <f>VLOOKUP(A234,'SYS Allocations'!A:G,3,0)</f>
        <v>0</v>
      </c>
      <c r="O234" s="97">
        <f>VLOOKUP(A234,'SYS Allocations'!A:G,4,0)</f>
        <v>0</v>
      </c>
      <c r="P234" s="97">
        <f>VLOOKUP(A234,'SYS Allocations'!A:G,5,0)</f>
        <v>0</v>
      </c>
      <c r="Q234" s="97">
        <f>VLOOKUP(A234,'SYS Allocations'!A:G,6,0)</f>
        <v>0</v>
      </c>
      <c r="R234" s="12">
        <f>VLOOKUP(A234,'SYS Allocations'!A:G,7,0)</f>
        <v>7.7</v>
      </c>
    </row>
    <row r="235" spans="1:18" hidden="1">
      <c r="A235" s="35" t="s">
        <v>251</v>
      </c>
      <c r="B235" s="41" t="str">
        <f>VLOOKUP(A235,All!A:AM,2,0)</f>
        <v>SOUTH WEST</v>
      </c>
      <c r="C235" s="42">
        <f>VLOOKUP(A235,All!A:AM,11,0)</f>
        <v>45264</v>
      </c>
      <c r="D235" s="5"/>
      <c r="E235" s="17">
        <f>VLOOKUP(A235,All!A:AM,30,0)</f>
        <v>67.896174863387984</v>
      </c>
      <c r="F235" s="17">
        <f>VLOOKUP(A235,All!A:AM,28,0)</f>
        <v>5.4173</v>
      </c>
      <c r="G235" s="17">
        <f>VLOOKUP(A235,All!A:AM,31,0)</f>
        <v>62.69841269841271</v>
      </c>
      <c r="H235" s="17">
        <f>VLOOKUP(A235,All!A:AM,29,0)</f>
        <v>4.3055000000000003</v>
      </c>
      <c r="I235" s="6">
        <f>VLOOKUP(A235,All!A:AM,33,0)</f>
        <v>54.195456561234934</v>
      </c>
      <c r="J235" s="6">
        <f>VLOOKUP(A235,All!A:AM,32,0)</f>
        <v>3.03074000000001</v>
      </c>
      <c r="K235" s="20">
        <f>VLOOKUP(A235,All!A:AM,39,0)</f>
        <v>85.769444444444446</v>
      </c>
      <c r="L235" s="20">
        <f>VLOOKUP(A235,All!A:AM,38,0)</f>
        <v>15.438499999999999</v>
      </c>
      <c r="M235" s="97">
        <f>VLOOKUP(A235,'SYS Allocations'!A:G,2,0)</f>
        <v>0</v>
      </c>
      <c r="N235" s="97">
        <f>VLOOKUP(A235,'SYS Allocations'!A:G,3,0)</f>
        <v>0</v>
      </c>
      <c r="O235" s="97">
        <f>VLOOKUP(A235,'SYS Allocations'!A:G,4,0)</f>
        <v>0</v>
      </c>
      <c r="P235" s="97">
        <f>VLOOKUP(A235,'SYS Allocations'!A:G,5,0)</f>
        <v>0</v>
      </c>
      <c r="Q235" s="97">
        <f>VLOOKUP(A235,'SYS Allocations'!A:G,6,0)</f>
        <v>0</v>
      </c>
      <c r="R235" s="12">
        <f>VLOOKUP(A235,'SYS Allocations'!A:G,7,0)</f>
        <v>0</v>
      </c>
    </row>
    <row r="236" spans="1:18" hidden="1">
      <c r="A236" s="35" t="s">
        <v>252</v>
      </c>
      <c r="B236" s="41" t="str">
        <f>VLOOKUP(A236,All!A:AM,2,0)</f>
        <v>LONDON</v>
      </c>
      <c r="C236" s="42">
        <f>VLOOKUP(A236,All!A:AM,11,0)</f>
        <v>44627.604166666701</v>
      </c>
      <c r="D236" s="5"/>
      <c r="E236" s="17">
        <f>VLOOKUP(A236,All!A:AM,30,0)</f>
        <v>31.949754057554852</v>
      </c>
      <c r="F236" s="17">
        <f>VLOOKUP(A236,All!A:AM,28,0)</f>
        <v>21.923180000000002</v>
      </c>
      <c r="G236" s="17">
        <f>VLOOKUP(A236,All!A:AM,31,0)</f>
        <v>-10.723677502424589</v>
      </c>
      <c r="H236" s="17">
        <f>VLOOKUP(A236,All!A:AM,29,0)</f>
        <v>-4.5224000000000002</v>
      </c>
      <c r="I236" s="6">
        <f>VLOOKUP(A236,All!A:AM,33,0)</f>
        <v>34.332247648620857</v>
      </c>
      <c r="J236" s="6">
        <f>VLOOKUP(A236,All!A:AM,32,0)</f>
        <v>24.4127000000002</v>
      </c>
      <c r="K236" s="20">
        <f>VLOOKUP(A236,All!A:AM,39,0)</f>
        <v>30.822962962962965</v>
      </c>
      <c r="L236" s="20">
        <f>VLOOKUP(A236,All!A:AM,38,0)</f>
        <v>20.805500000000002</v>
      </c>
      <c r="M236" s="97">
        <f>VLOOKUP(A236,'SYS Allocations'!A:G,2,0)</f>
        <v>0</v>
      </c>
      <c r="N236" s="97" t="str">
        <f>VLOOKUP(A236,'SYS Allocations'!A:G,3,0)</f>
        <v>RA</v>
      </c>
      <c r="O236" s="97">
        <f>VLOOKUP(A236,'SYS Allocations'!A:G,4,0)</f>
        <v>0</v>
      </c>
      <c r="P236" s="97">
        <f>VLOOKUP(A236,'SYS Allocations'!A:G,5,0)</f>
        <v>0</v>
      </c>
      <c r="Q236" s="97">
        <f>VLOOKUP(A236,'SYS Allocations'!A:G,6,0)</f>
        <v>0</v>
      </c>
      <c r="R236" s="12">
        <f>VLOOKUP(A236,'SYS Allocations'!A:G,7,0)</f>
        <v>7.4</v>
      </c>
    </row>
    <row r="237" spans="1:18" hidden="1">
      <c r="A237" s="35" t="s">
        <v>253</v>
      </c>
      <c r="B237" s="41" t="str">
        <f>VLOOKUP(A237,All!A:AM,2,0)</f>
        <v>LONDON</v>
      </c>
      <c r="C237" s="42">
        <f>VLOOKUP(A237,All!A:AM,11,0)</f>
        <v>44692.583333333299</v>
      </c>
      <c r="D237" s="5"/>
      <c r="E237" s="17">
        <f>VLOOKUP(A237,All!A:AM,30,0)</f>
        <v>97.006815251427511</v>
      </c>
      <c r="F237" s="17">
        <f>VLOOKUP(A237,All!A:AM,28,0)</f>
        <v>137.77163999999999</v>
      </c>
      <c r="G237" s="17">
        <f>VLOOKUP(A237,All!A:AM,31,0)</f>
        <v>96.35070646579959</v>
      </c>
      <c r="H237" s="17">
        <f>VLOOKUP(A237,All!A:AM,29,0)</f>
        <v>112.2373</v>
      </c>
      <c r="I237" s="6">
        <f>VLOOKUP(A237,All!A:AM,33,0)</f>
        <v>95.553823523505429</v>
      </c>
      <c r="J237" s="6">
        <f>VLOOKUP(A237,All!A:AM,32,0)</f>
        <v>91.35924</v>
      </c>
      <c r="K237" s="20">
        <f>VLOOKUP(A237,All!A:AM,39,0)</f>
        <v>95.276666666666657</v>
      </c>
      <c r="L237" s="20">
        <f>VLOOKUP(A237,All!A:AM,38,0)</f>
        <v>85.748999999999995</v>
      </c>
      <c r="M237" s="97">
        <f>VLOOKUP(A237,'SYS Allocations'!A:G,2,0)</f>
        <v>0</v>
      </c>
      <c r="N237" s="97">
        <f>VLOOKUP(A237,'SYS Allocations'!A:G,3,0)</f>
        <v>0</v>
      </c>
      <c r="O237" s="97">
        <f>VLOOKUP(A237,'SYS Allocations'!A:G,4,0)</f>
        <v>0</v>
      </c>
      <c r="P237" s="97">
        <f>VLOOKUP(A237,'SYS Allocations'!A:G,5,0)</f>
        <v>0</v>
      </c>
      <c r="Q237" s="97">
        <f>VLOOKUP(A237,'SYS Allocations'!A:G,6,0)</f>
        <v>0</v>
      </c>
      <c r="R237" s="12">
        <f>VLOOKUP(A237,'SYS Allocations'!A:G,7,0)</f>
        <v>0</v>
      </c>
    </row>
    <row r="238" spans="1:18" hidden="1">
      <c r="A238" s="37" t="s">
        <v>254</v>
      </c>
      <c r="B238" s="41" t="str">
        <f>VLOOKUP(A238,All!A:AM,2,0)</f>
        <v>LONDON</v>
      </c>
      <c r="C238" s="42">
        <f>VLOOKUP(A238,All!A:AM,11,0)</f>
        <v>45264</v>
      </c>
      <c r="D238" s="5"/>
      <c r="E238" s="17">
        <f>VLOOKUP(A238,All!A:AM,30,0)</f>
        <v>37.217148169923021</v>
      </c>
      <c r="F238" s="17">
        <f>VLOOKUP(A238,All!A:AM,28,0)</f>
        <v>39.197159999999997</v>
      </c>
      <c r="G238" s="17">
        <f>VLOOKUP(A238,All!A:AM,31,0)</f>
        <v>14.293158021625347</v>
      </c>
      <c r="H238" s="17">
        <f>VLOOKUP(A238,All!A:AM,29,0)</f>
        <v>11.027199999999999</v>
      </c>
      <c r="I238" s="6">
        <f>VLOOKUP(A238,All!A:AM,33,0)</f>
        <v>25.607533414337951</v>
      </c>
      <c r="J238" s="6">
        <f>VLOOKUP(A238,All!A:AM,32,0)</f>
        <v>22.761000000000195</v>
      </c>
      <c r="K238" s="330">
        <f>VLOOKUP(A238,All!A:AM,39,0)</f>
        <v>-11.020444444444447</v>
      </c>
      <c r="L238" s="330">
        <f>VLOOKUP(A238,All!A:AM,38,0)</f>
        <v>-12.398000000000003</v>
      </c>
      <c r="M238" s="97" t="str">
        <f>VLOOKUP(A238,'SYS Allocations'!A:G,2,0)</f>
        <v>P-Core</v>
      </c>
      <c r="N238" s="97" t="str">
        <f>VLOOKUP(A238,'SYS Allocations'!A:G,3,0)</f>
        <v>RA</v>
      </c>
      <c r="O238" s="97" t="str">
        <f>VLOOKUP(A238,'SYS Allocations'!A:G,4,0)</f>
        <v>PX</v>
      </c>
      <c r="P238" s="97">
        <f>VLOOKUP(A238,'SYS Allocations'!A:G,5,0)</f>
        <v>0</v>
      </c>
      <c r="Q238" s="97" t="str">
        <f>VLOOKUP(A238,'SYS Allocations'!A:G,6,0)</f>
        <v>OPEX</v>
      </c>
      <c r="R238" s="12">
        <f>VLOOKUP(A238,'SYS Allocations'!A:G,7,0)</f>
        <v>11.950000000000001</v>
      </c>
    </row>
    <row r="239" spans="1:18" hidden="1">
      <c r="A239" s="37" t="s">
        <v>255</v>
      </c>
      <c r="B239" s="41" t="str">
        <f>VLOOKUP(A239,All!A:AM,2,0)</f>
        <v>LONDON</v>
      </c>
      <c r="C239" s="42">
        <f>VLOOKUP(A239,All!A:AM,11,0)</f>
        <v>45264</v>
      </c>
      <c r="D239" s="5"/>
      <c r="E239" s="17">
        <f>VLOOKUP(A239,All!A:AM,30,0)</f>
        <v>44.193970081321559</v>
      </c>
      <c r="F239" s="17">
        <f>VLOOKUP(A239,All!A:AM,28,0)</f>
        <v>46.545159999999996</v>
      </c>
      <c r="G239" s="17">
        <f>VLOOKUP(A239,All!A:AM,31,0)</f>
        <v>23.817436636586812</v>
      </c>
      <c r="H239" s="17">
        <f>VLOOKUP(A239,All!A:AM,29,0)</f>
        <v>18.3752</v>
      </c>
      <c r="I239" s="6">
        <f>VLOOKUP(A239,All!A:AM,33,0)</f>
        <v>33.874488096845475</v>
      </c>
      <c r="J239" s="6">
        <f>VLOOKUP(A239,All!A:AM,32,0)</f>
        <v>30.109000000000197</v>
      </c>
      <c r="K239" s="331"/>
      <c r="L239" s="331"/>
      <c r="M239" s="97">
        <f>VLOOKUP(A239,'SYS Allocations'!A:G,2,0)</f>
        <v>0</v>
      </c>
      <c r="N239" s="97">
        <f>VLOOKUP(A239,'SYS Allocations'!A:G,3,0)</f>
        <v>0</v>
      </c>
      <c r="O239" s="97">
        <f>VLOOKUP(A239,'SYS Allocations'!A:G,4,0)</f>
        <v>0</v>
      </c>
      <c r="P239" s="97">
        <f>VLOOKUP(A239,'SYS Allocations'!A:G,5,0)</f>
        <v>0</v>
      </c>
      <c r="Q239" s="97">
        <f>VLOOKUP(A239,'SYS Allocations'!A:G,6,0)</f>
        <v>0</v>
      </c>
      <c r="R239" s="12">
        <f>VLOOKUP(A239,'SYS Allocations'!A:G,7,0)</f>
        <v>12.45</v>
      </c>
    </row>
    <row r="240" spans="1:18" hidden="1">
      <c r="A240" s="38" t="s">
        <v>256</v>
      </c>
      <c r="B240" s="41" t="str">
        <f>VLOOKUP(A240,All!A:AM,2,0)</f>
        <v>LONDON</v>
      </c>
      <c r="C240" s="42">
        <f>VLOOKUP(A240,All!A:AM,11,0)</f>
        <v>45232</v>
      </c>
      <c r="D240" s="5"/>
      <c r="E240" s="17">
        <f>VLOOKUP(A240,All!A:AM,30,0)</f>
        <v>67.753529905095959</v>
      </c>
      <c r="F240" s="17">
        <f>VLOOKUP(A240,All!A:AM,28,0)</f>
        <v>63.789839999999998</v>
      </c>
      <c r="G240" s="17">
        <f>VLOOKUP(A240,All!A:AM,31,0)</f>
        <v>68.516772907003158</v>
      </c>
      <c r="H240" s="17">
        <f>VLOOKUP(A240,All!A:AM,29,0)</f>
        <v>66.072299999999998</v>
      </c>
      <c r="I240" s="6">
        <f>VLOOKUP(A240,All!A:AM,33,0)</f>
        <v>11.433172302737519</v>
      </c>
      <c r="J240" s="6">
        <f>VLOOKUP(A240,All!A:AM,32,0)</f>
        <v>3.9192</v>
      </c>
      <c r="K240" s="330">
        <f>VLOOKUP(A240,All!A:AM,39,0)</f>
        <v>33.320555555555551</v>
      </c>
      <c r="L240" s="330">
        <f>VLOOKUP(A240,All!A:AM,38,0)</f>
        <v>29.988499999999998</v>
      </c>
      <c r="M240" s="97">
        <f>VLOOKUP(A240,'SYS Allocations'!A:G,2,0)</f>
        <v>0</v>
      </c>
      <c r="N240" s="97">
        <f>VLOOKUP(A240,'SYS Allocations'!A:G,3,0)</f>
        <v>0</v>
      </c>
      <c r="O240" s="97">
        <f>VLOOKUP(A240,'SYS Allocations'!A:G,4,0)</f>
        <v>0</v>
      </c>
      <c r="P240" s="97">
        <f>VLOOKUP(A240,'SYS Allocations'!A:G,5,0)</f>
        <v>0</v>
      </c>
      <c r="Q240" s="97">
        <f>VLOOKUP(A240,'SYS Allocations'!A:G,6,0)</f>
        <v>0</v>
      </c>
      <c r="R240" s="12">
        <f>VLOOKUP(A240,'SYS Allocations'!A:G,7,0)</f>
        <v>11.83</v>
      </c>
    </row>
    <row r="241" spans="1:18" hidden="1">
      <c r="A241" s="38" t="s">
        <v>257</v>
      </c>
      <c r="B241" s="41" t="str">
        <f>VLOOKUP(A241,All!A:AM,2,0)</f>
        <v>LONDON</v>
      </c>
      <c r="C241" s="42">
        <f>VLOOKUP(A241,All!A:AM,11,0)</f>
        <v>45232</v>
      </c>
      <c r="D241" s="5"/>
      <c r="E241" s="17">
        <f>VLOOKUP(A241,All!A:AM,30,0)</f>
        <v>68.506053754313342</v>
      </c>
      <c r="F241" s="17">
        <f>VLOOKUP(A241,All!A:AM,28,0)</f>
        <v>64.498339999999999</v>
      </c>
      <c r="G241" s="17">
        <f>VLOOKUP(A241,All!A:AM,31,0)</f>
        <v>69.251485238867062</v>
      </c>
      <c r="H241" s="17">
        <f>VLOOKUP(A241,All!A:AM,29,0)</f>
        <v>66.780799999999999</v>
      </c>
      <c r="I241" s="6">
        <f>VLOOKUP(A241,All!A:AM,33,0)</f>
        <v>13.500023337767505</v>
      </c>
      <c r="J241" s="6">
        <f>VLOOKUP(A241,All!A:AM,32,0)</f>
        <v>4.627699999999999</v>
      </c>
      <c r="K241" s="331"/>
      <c r="L241" s="331"/>
      <c r="M241" s="97">
        <f>VLOOKUP(A241,'SYS Allocations'!A:G,2,0)</f>
        <v>0</v>
      </c>
      <c r="N241" s="97">
        <f>VLOOKUP(A241,'SYS Allocations'!A:G,3,0)</f>
        <v>0</v>
      </c>
      <c r="O241" s="97">
        <f>VLOOKUP(A241,'SYS Allocations'!A:G,4,0)</f>
        <v>0</v>
      </c>
      <c r="P241" s="97">
        <f>VLOOKUP(A241,'SYS Allocations'!A:G,5,0)</f>
        <v>0</v>
      </c>
      <c r="Q241" s="97">
        <f>VLOOKUP(A241,'SYS Allocations'!A:G,6,0)</f>
        <v>0</v>
      </c>
      <c r="R241" s="12">
        <f>VLOOKUP(A241,'SYS Allocations'!A:G,7,0)</f>
        <v>11.83</v>
      </c>
    </row>
    <row r="242" spans="1:18" hidden="1">
      <c r="A242" s="35" t="s">
        <v>258</v>
      </c>
      <c r="B242" s="41" t="str">
        <f>VLOOKUP(A242,All!A:AM,2,0)</f>
        <v>LONDON</v>
      </c>
      <c r="C242" s="42">
        <f>VLOOKUP(A242,All!A:AM,11,0)</f>
        <v>44673.604166666701</v>
      </c>
      <c r="D242" s="5"/>
      <c r="E242" s="17">
        <f>VLOOKUP(A242,All!A:AM,30,0)</f>
        <v>80.194805194805184</v>
      </c>
      <c r="F242" s="17">
        <f>VLOOKUP(A242,All!A:AM,28,0)</f>
        <v>13.461499999999999</v>
      </c>
      <c r="G242" s="17">
        <f>VLOOKUP(A242,All!A:AM,31,0)</f>
        <v>83.287671232876718</v>
      </c>
      <c r="H242" s="17">
        <f>VLOOKUP(A242,All!A:AM,29,0)</f>
        <v>16.568000000000001</v>
      </c>
      <c r="I242" s="6">
        <f>VLOOKUP(A242,All!A:AM,33,0)</f>
        <v>-47.708288903106563</v>
      </c>
      <c r="J242" s="6">
        <f>VLOOKUP(A242,All!A:AM,32,0)</f>
        <v>-1.07378</v>
      </c>
      <c r="K242" s="20">
        <f>VLOOKUP(A242,All!A:AM,39,0)</f>
        <v>97.044888888888892</v>
      </c>
      <c r="L242" s="20">
        <f>VLOOKUP(A242,All!A:AM,38,0)</f>
        <v>109.1755</v>
      </c>
      <c r="M242" s="97">
        <f>VLOOKUP(A242,'SYS Allocations'!A:G,2,0)</f>
        <v>0</v>
      </c>
      <c r="N242" s="97">
        <f>VLOOKUP(A242,'SYS Allocations'!A:G,3,0)</f>
        <v>0</v>
      </c>
      <c r="O242" s="97">
        <f>VLOOKUP(A242,'SYS Allocations'!A:G,4,0)</f>
        <v>0</v>
      </c>
      <c r="P242" s="97">
        <f>VLOOKUP(A242,'SYS Allocations'!A:G,5,0)</f>
        <v>0</v>
      </c>
      <c r="Q242" s="97">
        <f>VLOOKUP(A242,'SYS Allocations'!A:G,6,0)</f>
        <v>0</v>
      </c>
      <c r="R242" s="12">
        <f>VLOOKUP(A242,'SYS Allocations'!A:G,7,0)</f>
        <v>0</v>
      </c>
    </row>
    <row r="243" spans="1:18" hidden="1">
      <c r="A243" s="35" t="s">
        <v>259</v>
      </c>
      <c r="B243" s="41" t="str">
        <f>VLOOKUP(A243,All!A:AM,2,0)</f>
        <v xml:space="preserve">SCOTTISH HIGHLANDS &amp; ISLANDS </v>
      </c>
      <c r="C243" s="42">
        <f>VLOOKUP(A243,All!A:AM,11,0)</f>
        <v>45264</v>
      </c>
      <c r="D243" s="5"/>
      <c r="E243" s="17">
        <f>VLOOKUP(A243,All!A:AM,30,0)</f>
        <v>56.739526411657558</v>
      </c>
      <c r="F243" s="17">
        <f>VLOOKUP(A243,All!A:AM,28,0)</f>
        <v>2.7162799999999998</v>
      </c>
      <c r="G243" s="17">
        <f>VLOOKUP(A243,All!A:AM,31,0)</f>
        <v>46.554146830695366</v>
      </c>
      <c r="H243" s="17">
        <f>VLOOKUP(A243,All!A:AM,29,0)</f>
        <v>1.8039498365</v>
      </c>
      <c r="I243" s="6">
        <f>VLOOKUP(A243,All!A:AM,33,0)</f>
        <v>50.830959164292501</v>
      </c>
      <c r="J243" s="6">
        <f>VLOOKUP(A243,All!A:AM,32,0)</f>
        <v>2.141</v>
      </c>
      <c r="K243" s="20">
        <f>VLOOKUP(A243,All!A:AM,39,0)</f>
        <v>58.786069651741293</v>
      </c>
      <c r="L243" s="20">
        <f>VLOOKUP(A243,All!A:AM,38,0)</f>
        <v>2.9540000000000002</v>
      </c>
      <c r="M243" s="97">
        <f>VLOOKUP(A243,'SYS Allocations'!A:G,2,0)</f>
        <v>0</v>
      </c>
      <c r="N243" s="97">
        <f>VLOOKUP(A243,'SYS Allocations'!A:G,3,0)</f>
        <v>0</v>
      </c>
      <c r="O243" s="97">
        <f>VLOOKUP(A243,'SYS Allocations'!A:G,4,0)</f>
        <v>0</v>
      </c>
      <c r="P243" s="97">
        <f>VLOOKUP(A243,'SYS Allocations'!A:G,5,0)</f>
        <v>0</v>
      </c>
      <c r="Q243" s="97">
        <f>VLOOKUP(A243,'SYS Allocations'!A:G,6,0)</f>
        <v>0</v>
      </c>
      <c r="R243" s="12">
        <f>VLOOKUP(A243,'SYS Allocations'!A:G,7,0)</f>
        <v>0</v>
      </c>
    </row>
    <row r="244" spans="1:18" hidden="1">
      <c r="A244" s="35" t="s">
        <v>260</v>
      </c>
      <c r="B244" s="41" t="str">
        <f>VLOOKUP(A244,All!A:AM,2,0)</f>
        <v>NORTHERN IRELAND</v>
      </c>
      <c r="C244" s="42">
        <f>VLOOKUP(A244,All!A:AM,11,0)</f>
        <v>44720.583333333299</v>
      </c>
      <c r="D244" s="5"/>
      <c r="E244" s="17">
        <f>VLOOKUP(A244,All!A:AM,30,0)</f>
        <v>71.875</v>
      </c>
      <c r="F244" s="17">
        <f>VLOOKUP(A244,All!A:AM,28,0)</f>
        <v>1.2535000000000001</v>
      </c>
      <c r="G244" s="17">
        <f>VLOOKUP(A244,All!A:AM,31,0)</f>
        <v>10</v>
      </c>
      <c r="H244" s="17">
        <f>VLOOKUP(A244,All!A:AM,29,0)</f>
        <v>5.45E-2</v>
      </c>
      <c r="I244" s="6">
        <f>VLOOKUP(A244,All!A:AM,33,0)</f>
        <v>81.760374832663999</v>
      </c>
      <c r="J244" s="6">
        <f>VLOOKUP(A244,All!A:AM,32,0)</f>
        <v>2.1987000000000001</v>
      </c>
      <c r="K244" s="20">
        <f>VLOOKUP(A244,All!A:AM,39,0)</f>
        <v>91.825000000000003</v>
      </c>
      <c r="L244" s="20">
        <f>VLOOKUP(A244,All!A:AM,38,0)</f>
        <v>5.5095000000000001</v>
      </c>
      <c r="M244" s="97">
        <f>VLOOKUP(A244,'SYS Allocations'!A:G,2,0)</f>
        <v>0</v>
      </c>
      <c r="N244" s="97">
        <f>VLOOKUP(A244,'SYS Allocations'!A:G,3,0)</f>
        <v>0</v>
      </c>
      <c r="O244" s="97">
        <f>VLOOKUP(A244,'SYS Allocations'!A:G,4,0)</f>
        <v>0</v>
      </c>
      <c r="P244" s="97">
        <f>VLOOKUP(A244,'SYS Allocations'!A:G,5,0)</f>
        <v>0</v>
      </c>
      <c r="Q244" s="97">
        <f>VLOOKUP(A244,'SYS Allocations'!A:G,6,0)</f>
        <v>0</v>
      </c>
      <c r="R244" s="12">
        <f>VLOOKUP(A244,'SYS Allocations'!A:G,7,0)</f>
        <v>0</v>
      </c>
    </row>
    <row r="245" spans="1:18" hidden="1">
      <c r="A245" s="35" t="s">
        <v>261</v>
      </c>
      <c r="B245" s="41" t="str">
        <f>VLOOKUP(A245,All!A:AM,2,0)</f>
        <v>THAMES VALLEY</v>
      </c>
      <c r="C245" s="42">
        <f>VLOOKUP(A245,All!A:AM,11,0)</f>
        <v>44840</v>
      </c>
      <c r="D245" s="5"/>
      <c r="E245" s="17">
        <f>VLOOKUP(A245,All!A:AM,30,0)</f>
        <v>19.994981792915322</v>
      </c>
      <c r="F245" s="17">
        <f>VLOOKUP(A245,All!A:AM,28,0)</f>
        <v>6.2157999999999998</v>
      </c>
      <c r="G245" s="17">
        <f>VLOOKUP(A245,All!A:AM,31,0)</f>
        <v>-34.616113231035698</v>
      </c>
      <c r="H245" s="17">
        <f>VLOOKUP(A245,All!A:AM,29,0)</f>
        <v>-6.3955000000000002</v>
      </c>
      <c r="I245" s="6">
        <f>VLOOKUP(A245,All!A:AM,33,0)</f>
        <v>24.247685185185247</v>
      </c>
      <c r="J245" s="6">
        <f>VLOOKUP(A245,All!A:AM,32,0)</f>
        <v>7.9610000000000198</v>
      </c>
      <c r="K245" s="20">
        <f>VLOOKUP(A245,All!A:AM,39,0)</f>
        <v>86.182777777777773</v>
      </c>
      <c r="L245" s="20">
        <f>VLOOKUP(A245,All!A:AM,38,0)</f>
        <v>155.12899999999999</v>
      </c>
      <c r="M245" s="97">
        <f>VLOOKUP(A245,'SYS Allocations'!A:G,2,0)</f>
        <v>0</v>
      </c>
      <c r="N245" s="97">
        <f>VLOOKUP(A245,'SYS Allocations'!A:G,3,0)</f>
        <v>0</v>
      </c>
      <c r="O245" s="97">
        <f>VLOOKUP(A245,'SYS Allocations'!A:G,4,0)</f>
        <v>0</v>
      </c>
      <c r="P245" s="97">
        <f>VLOOKUP(A245,'SYS Allocations'!A:G,5,0)</f>
        <v>0</v>
      </c>
      <c r="Q245" s="97">
        <f>VLOOKUP(A245,'SYS Allocations'!A:G,6,0)</f>
        <v>0</v>
      </c>
      <c r="R245" s="12">
        <f>VLOOKUP(A245,'SYS Allocations'!A:G,7,0)</f>
        <v>1</v>
      </c>
    </row>
    <row r="246" spans="1:18" hidden="1">
      <c r="A246" s="35" t="s">
        <v>262</v>
      </c>
      <c r="B246" s="41" t="str">
        <f>VLOOKUP(A246,All!A:AM,2,0)</f>
        <v>SOUTH</v>
      </c>
      <c r="C246" s="42">
        <f>VLOOKUP(A246,All!A:AM,11,0)</f>
        <v>44589</v>
      </c>
      <c r="D246" s="5"/>
      <c r="E246" s="17">
        <f>VLOOKUP(A246,All!A:AM,30,0)</f>
        <v>82.015760883989628</v>
      </c>
      <c r="F246" s="17">
        <f>VLOOKUP(A246,All!A:AM,28,0)</f>
        <v>44.498339999999999</v>
      </c>
      <c r="G246" s="17">
        <f>VLOOKUP(A246,All!A:AM,31,0)</f>
        <v>72.216527428971702</v>
      </c>
      <c r="H246" s="17">
        <f>VLOOKUP(A246,All!A:AM,29,0)</f>
        <v>25.362300000000001</v>
      </c>
      <c r="I246" s="6">
        <f>VLOOKUP(A246,All!A:AM,33,0)</f>
        <v>81.703681202466143</v>
      </c>
      <c r="J246" s="6">
        <f>VLOOKUP(A246,All!A:AM,32,0)</f>
        <v>43.572900000000004</v>
      </c>
      <c r="K246" s="20">
        <f>VLOOKUP(A246,All!A:AM,39,0)</f>
        <v>85.215909090909093</v>
      </c>
      <c r="L246" s="20">
        <f>VLOOKUP(A246,All!A:AM,38,0)</f>
        <v>56.2425</v>
      </c>
      <c r="M246" s="97">
        <f>VLOOKUP(A246,'SYS Allocations'!A:G,2,0)</f>
        <v>0</v>
      </c>
      <c r="N246" s="97" t="str">
        <f>VLOOKUP(A246,'SYS Allocations'!A:G,3,0)</f>
        <v>RA</v>
      </c>
      <c r="O246" s="97">
        <f>VLOOKUP(A246,'SYS Allocations'!A:G,4,0)</f>
        <v>0</v>
      </c>
      <c r="P246" s="97">
        <f>VLOOKUP(A246,'SYS Allocations'!A:G,5,0)</f>
        <v>0</v>
      </c>
      <c r="Q246" s="97">
        <f>VLOOKUP(A246,'SYS Allocations'!A:G,6,0)</f>
        <v>0</v>
      </c>
      <c r="R246" s="12">
        <f>VLOOKUP(A246,'SYS Allocations'!A:G,7,0)</f>
        <v>2.4</v>
      </c>
    </row>
    <row r="247" spans="1:18" hidden="1">
      <c r="A247" s="35" t="s">
        <v>263</v>
      </c>
      <c r="B247" s="41" t="str">
        <f>VLOOKUP(A247,All!A:AM,2,0)</f>
        <v>NORTH WEST</v>
      </c>
      <c r="C247" s="42">
        <f>VLOOKUP(A247,All!A:AM,11,0)</f>
        <v>44680.666666666701</v>
      </c>
      <c r="D247" s="5"/>
      <c r="E247" s="17">
        <f>VLOOKUP(A247,All!A:AM,30,0)</f>
        <v>61.217125382262999</v>
      </c>
      <c r="F247" s="17">
        <f>VLOOKUP(A247,All!A:AM,28,0)</f>
        <v>5.0045000000000002</v>
      </c>
      <c r="G247" s="17">
        <f>VLOOKUP(A247,All!A:AM,31,0)</f>
        <v>60.904359476159463</v>
      </c>
      <c r="H247" s="17">
        <f>VLOOKUP(A247,All!A:AM,29,0)</f>
        <v>4.9390998364999996</v>
      </c>
      <c r="I247" s="6">
        <f>VLOOKUP(A247,All!A:AM,33,0)</f>
        <v>24.726970560303897</v>
      </c>
      <c r="J247" s="6">
        <f>VLOOKUP(A247,All!A:AM,32,0)</f>
        <v>1.0415000000000001</v>
      </c>
      <c r="K247" s="20">
        <f>VLOOKUP(A247,All!A:AM,39,0)</f>
        <v>47.158333333333331</v>
      </c>
      <c r="L247" s="20">
        <f>VLOOKUP(A247,All!A:AM,38,0)</f>
        <v>2.8294999999999999</v>
      </c>
      <c r="M247" s="97">
        <f>VLOOKUP(A247,'SYS Allocations'!A:G,2,0)</f>
        <v>0</v>
      </c>
      <c r="N247" s="97">
        <f>VLOOKUP(A247,'SYS Allocations'!A:G,3,0)</f>
        <v>0</v>
      </c>
      <c r="O247" s="97">
        <f>VLOOKUP(A247,'SYS Allocations'!A:G,4,0)</f>
        <v>0</v>
      </c>
      <c r="P247" s="97">
        <f>VLOOKUP(A247,'SYS Allocations'!A:G,5,0)</f>
        <v>0</v>
      </c>
      <c r="Q247" s="97">
        <f>VLOOKUP(A247,'SYS Allocations'!A:G,6,0)</f>
        <v>0</v>
      </c>
      <c r="R247" s="12">
        <f>VLOOKUP(A247,'SYS Allocations'!A:G,7,0)</f>
        <v>0.5</v>
      </c>
    </row>
    <row r="248" spans="1:18">
      <c r="A248" s="35" t="s">
        <v>264</v>
      </c>
      <c r="B248" s="41" t="str">
        <f>VLOOKUP(A248,All!A:AM,2,0)</f>
        <v>NORTH WEST</v>
      </c>
      <c r="C248" s="42">
        <f>VLOOKUP(A248,All!A:AM,11,0)</f>
        <v>44645.666666666701</v>
      </c>
      <c r="D248" s="5"/>
      <c r="E248" s="17">
        <f>VLOOKUP(A248,All!A:AM,30,0)</f>
        <v>32.678065054211842</v>
      </c>
      <c r="F248" s="17">
        <f>VLOOKUP(A248,All!A:AM,28,0)</f>
        <v>19.590500000000002</v>
      </c>
      <c r="G248" s="17">
        <f>VLOOKUP(A248,All!A:AM,31,0)</f>
        <v>4.4462858833974561</v>
      </c>
      <c r="H248" s="17">
        <f>VLOOKUP(A248,All!A:AM,29,0)</f>
        <v>1.8780000000000001</v>
      </c>
      <c r="I248" s="6">
        <f>VLOOKUP(A248,All!A:AM,33,0)</f>
        <v>24.321775197635869</v>
      </c>
      <c r="J248" s="6">
        <f>VLOOKUP(A248,All!A:AM,32,0)</f>
        <v>12.9709</v>
      </c>
      <c r="K248" s="20">
        <f>VLOOKUP(A248,All!A:AM,39,0)</f>
        <v>31.009401709401711</v>
      </c>
      <c r="L248" s="20">
        <f>VLOOKUP(A248,All!A:AM,38,0)</f>
        <v>18.140499999999999</v>
      </c>
      <c r="M248" s="97">
        <f>VLOOKUP(A248,'SYS Allocations'!A:G,2,0)</f>
        <v>0</v>
      </c>
      <c r="N248" s="97" t="str">
        <f>VLOOKUP(A248,'SYS Allocations'!A:G,3,0)</f>
        <v>RA</v>
      </c>
      <c r="O248" s="97">
        <f>VLOOKUP(A248,'SYS Allocations'!A:G,4,0)</f>
        <v>0</v>
      </c>
      <c r="P248" s="97">
        <f>VLOOKUP(A248,'SYS Allocations'!A:G,5,0)</f>
        <v>0</v>
      </c>
      <c r="Q248" s="97">
        <f>VLOOKUP(A248,'SYS Allocations'!A:G,6,0)</f>
        <v>0</v>
      </c>
      <c r="R248" s="12">
        <f>VLOOKUP(A248,'SYS Allocations'!A:G,7,0)</f>
        <v>2.7</v>
      </c>
    </row>
    <row r="249" spans="1:18" hidden="1">
      <c r="A249" s="35" t="s">
        <v>265</v>
      </c>
      <c r="B249" s="41" t="str">
        <f>VLOOKUP(A249,All!A:AM,2,0)</f>
        <v>ANGLIA</v>
      </c>
      <c r="C249" s="42">
        <f>VLOOKUP(A249,All!A:AM,11,0)</f>
        <v>44251</v>
      </c>
      <c r="D249" s="5"/>
      <c r="E249" s="17">
        <f>VLOOKUP(A249,All!A:AM,30,0)</f>
        <v>62.102697147440722</v>
      </c>
      <c r="F249" s="17">
        <f>VLOOKUP(A249,All!A:AM,28,0)</f>
        <v>13.874140000000001</v>
      </c>
      <c r="G249" s="17">
        <f>VLOOKUP(A249,All!A:AM,31,0)</f>
        <v>42.970402403373342</v>
      </c>
      <c r="H249" s="17">
        <f>VLOOKUP(A249,All!A:AM,29,0)</f>
        <v>6.3792999999999997</v>
      </c>
      <c r="I249" s="6">
        <f>VLOOKUP(A249,All!A:AM,33,0)</f>
        <v>59.921514049837164</v>
      </c>
      <c r="J249" s="6">
        <f>VLOOKUP(A249,All!A:AM,32,0)</f>
        <v>12.658300000000001</v>
      </c>
      <c r="K249" s="20">
        <f>VLOOKUP(A249,All!A:AM,39,0)</f>
        <v>70.135802469135797</v>
      </c>
      <c r="L249" s="20">
        <f>VLOOKUP(A249,All!A:AM,38,0)</f>
        <v>19.883500000000002</v>
      </c>
      <c r="M249" s="97">
        <f>VLOOKUP(A249,'SYS Allocations'!A:G,2,0)</f>
        <v>0</v>
      </c>
      <c r="N249" s="97">
        <f>VLOOKUP(A249,'SYS Allocations'!A:G,3,0)</f>
        <v>0</v>
      </c>
      <c r="O249" s="97">
        <f>VLOOKUP(A249,'SYS Allocations'!A:G,4,0)</f>
        <v>0</v>
      </c>
      <c r="P249" s="97">
        <f>VLOOKUP(A249,'SYS Allocations'!A:G,5,0)</f>
        <v>0</v>
      </c>
      <c r="Q249" s="97">
        <f>VLOOKUP(A249,'SYS Allocations'!A:G,6,0)</f>
        <v>0</v>
      </c>
      <c r="R249" s="12">
        <f>VLOOKUP(A249,'SYS Allocations'!A:G,7,0)</f>
        <v>1</v>
      </c>
    </row>
    <row r="250" spans="1:18" hidden="1">
      <c r="A250" s="35" t="s">
        <v>266</v>
      </c>
      <c r="B250" s="41" t="str">
        <f>VLOOKUP(A250,All!A:AM,2,0)</f>
        <v>MIDLANDS</v>
      </c>
      <c r="C250" s="42">
        <f>VLOOKUP(A250,All!A:AM,11,0)</f>
        <v>44627.458333333299</v>
      </c>
      <c r="D250" s="5"/>
      <c r="E250" s="17">
        <f>VLOOKUP(A250,All!A:AM,30,0)</f>
        <v>45.834139039884263</v>
      </c>
      <c r="F250" s="17">
        <f>VLOOKUP(A250,All!A:AM,28,0)</f>
        <v>10.23964</v>
      </c>
      <c r="G250" s="17">
        <f>VLOOKUP(A250,All!A:AM,31,0)</f>
        <v>-7.5759192091600873</v>
      </c>
      <c r="H250" s="17">
        <f>VLOOKUP(A250,All!A:AM,29,0)</f>
        <v>-0.85219999999999985</v>
      </c>
      <c r="I250" s="6">
        <f>VLOOKUP(A250,All!A:AM,33,0)</f>
        <v>53.661581349753391</v>
      </c>
      <c r="J250" s="6">
        <f>VLOOKUP(A250,All!A:AM,32,0)</f>
        <v>14.013399999999999</v>
      </c>
      <c r="K250" s="20">
        <f>VLOOKUP(A250,All!A:AM,39,0)</f>
        <v>-9.0180180180180241</v>
      </c>
      <c r="L250" s="20">
        <f>VLOOKUP(A250,All!A:AM,38,0)</f>
        <v>-1.0010000000000008</v>
      </c>
      <c r="M250" s="97">
        <f>VLOOKUP(A250,'SYS Allocations'!A:G,2,0)</f>
        <v>0</v>
      </c>
      <c r="N250" s="97" t="str">
        <f>VLOOKUP(A250,'SYS Allocations'!A:G,3,0)</f>
        <v>RA</v>
      </c>
      <c r="O250" s="97">
        <f>VLOOKUP(A250,'SYS Allocations'!A:G,4,0)</f>
        <v>0</v>
      </c>
      <c r="P250" s="97">
        <f>VLOOKUP(A250,'SYS Allocations'!A:G,5,0)</f>
        <v>0</v>
      </c>
      <c r="Q250" s="97">
        <f>VLOOKUP(A250,'SYS Allocations'!A:G,6,0)</f>
        <v>0</v>
      </c>
      <c r="R250" s="12">
        <f>VLOOKUP(A250,'SYS Allocations'!A:G,7,0)</f>
        <v>2.4</v>
      </c>
    </row>
    <row r="251" spans="1:18" hidden="1">
      <c r="A251" s="35" t="s">
        <v>267</v>
      </c>
      <c r="B251" s="41" t="str">
        <f>VLOOKUP(A251,All!A:AM,2,0)</f>
        <v>NORTH EAST</v>
      </c>
      <c r="C251" s="42">
        <f>VLOOKUP(A251,All!A:AM,11,0)</f>
        <v>44049</v>
      </c>
      <c r="D251" s="5"/>
      <c r="E251" s="17">
        <f>VLOOKUP(A251,All!A:AM,30,0)</f>
        <v>46.177370030581038</v>
      </c>
      <c r="F251" s="17">
        <f>VLOOKUP(A251,All!A:AM,28,0)</f>
        <v>12.08</v>
      </c>
      <c r="G251" s="17">
        <f>VLOOKUP(A251,All!A:AM,31,0)</f>
        <v>28.236493374108051</v>
      </c>
      <c r="H251" s="17">
        <f>VLOOKUP(A251,All!A:AM,29,0)</f>
        <v>5.54</v>
      </c>
      <c r="I251" s="6">
        <f>VLOOKUP(A251,All!A:AM,33,0)</f>
        <v>33.348481405741168</v>
      </c>
      <c r="J251" s="6">
        <f>VLOOKUP(A251,All!A:AM,32,0)</f>
        <v>7.0448000000000093</v>
      </c>
      <c r="K251" s="20">
        <f>VLOOKUP(A251,All!A:AM,39,0)</f>
        <v>57.333333333333336</v>
      </c>
      <c r="L251" s="20">
        <f>VLOOKUP(A251,All!A:AM,38,0)</f>
        <v>18.920000000000002</v>
      </c>
      <c r="M251" s="97">
        <f>VLOOKUP(A251,'SYS Allocations'!A:G,2,0)</f>
        <v>0</v>
      </c>
      <c r="N251" s="97">
        <f>VLOOKUP(A251,'SYS Allocations'!A:G,3,0)</f>
        <v>0</v>
      </c>
      <c r="O251" s="97">
        <f>VLOOKUP(A251,'SYS Allocations'!A:G,4,0)</f>
        <v>0</v>
      </c>
      <c r="P251" s="97">
        <f>VLOOKUP(A251,'SYS Allocations'!A:G,5,0)</f>
        <v>0</v>
      </c>
      <c r="Q251" s="97">
        <f>VLOOKUP(A251,'SYS Allocations'!A:G,6,0)</f>
        <v>0</v>
      </c>
      <c r="R251" s="12">
        <f>VLOOKUP(A251,'SYS Allocations'!A:G,7,0)</f>
        <v>1</v>
      </c>
    </row>
    <row r="252" spans="1:18" hidden="1">
      <c r="A252" s="35" t="s">
        <v>268</v>
      </c>
      <c r="B252" s="41" t="str">
        <f>VLOOKUP(A252,All!A:AM,2,0)</f>
        <v>NORTH EAST</v>
      </c>
      <c r="C252" s="42">
        <f>VLOOKUP(A252,All!A:AM,11,0)</f>
        <v>44739.411111111098</v>
      </c>
      <c r="D252" s="5"/>
      <c r="E252" s="17">
        <f>VLOOKUP(A252,All!A:AM,30,0)</f>
        <v>48.875</v>
      </c>
      <c r="F252" s="17">
        <f>VLOOKUP(A252,All!A:AM,28,0)</f>
        <v>4.2618999999999998</v>
      </c>
      <c r="G252" s="17">
        <f>VLOOKUP(A252,All!A:AM,31,0)</f>
        <v>-0.98765432098764971</v>
      </c>
      <c r="H252" s="17">
        <f>VLOOKUP(A252,All!A:AM,29,0)</f>
        <v>-4.3599999999999799E-2</v>
      </c>
      <c r="I252" s="6">
        <f>VLOOKUP(A252,All!A:AM,33,0)</f>
        <v>55.898820829376184</v>
      </c>
      <c r="J252" s="6">
        <f>VLOOKUP(A252,All!A:AM,32,0)</f>
        <v>5.6506999999999801</v>
      </c>
      <c r="K252" s="20">
        <f>VLOOKUP(A252,All!A:AM,39,0)</f>
        <v>80.186222222222213</v>
      </c>
      <c r="L252" s="20">
        <f>VLOOKUP(A252,All!A:AM,38,0)</f>
        <v>18.041899999999998</v>
      </c>
      <c r="M252" s="97">
        <f>VLOOKUP(A252,'SYS Allocations'!A:G,2,0)</f>
        <v>0</v>
      </c>
      <c r="N252" s="97">
        <f>VLOOKUP(A252,'SYS Allocations'!A:G,3,0)</f>
        <v>0</v>
      </c>
      <c r="O252" s="97">
        <f>VLOOKUP(A252,'SYS Allocations'!A:G,4,0)</f>
        <v>0</v>
      </c>
      <c r="P252" s="97">
        <f>VLOOKUP(A252,'SYS Allocations'!A:G,5,0)</f>
        <v>0</v>
      </c>
      <c r="Q252" s="97">
        <f>VLOOKUP(A252,'SYS Allocations'!A:G,6,0)</f>
        <v>0</v>
      </c>
      <c r="R252" s="12">
        <f>VLOOKUP(A252,'SYS Allocations'!A:G,7,0)</f>
        <v>0</v>
      </c>
    </row>
    <row r="253" spans="1:18" hidden="1">
      <c r="A253" s="35"/>
      <c r="B253" s="41" t="e">
        <f>VLOOKUP(A253,All!A:AM,2,0)</f>
        <v>#N/A</v>
      </c>
      <c r="C253" s="42" t="e">
        <f>VLOOKUP(A253,All!A:AM,11,0)</f>
        <v>#N/A</v>
      </c>
      <c r="D253" s="5"/>
      <c r="E253" s="17" t="e">
        <f>VLOOKUP(A253,All!A:AM,30,0)</f>
        <v>#N/A</v>
      </c>
      <c r="F253" s="17" t="e">
        <f>VLOOKUP(A253,All!A:AM,28,0)</f>
        <v>#N/A</v>
      </c>
      <c r="G253" s="17" t="e">
        <f>VLOOKUP(A253,All!A:AM,31,0)</f>
        <v>#N/A</v>
      </c>
      <c r="H253" s="17" t="e">
        <f>VLOOKUP(A253,All!A:AM,29,0)</f>
        <v>#N/A</v>
      </c>
      <c r="I253" s="6" t="e">
        <f>VLOOKUP(A253,All!A:AM,33,0)</f>
        <v>#N/A</v>
      </c>
      <c r="J253" s="6" t="e">
        <f>VLOOKUP(A253,All!A:AM,32,0)</f>
        <v>#N/A</v>
      </c>
      <c r="K253" s="20" t="e">
        <f>VLOOKUP(A253,All!A:AM,39,0)</f>
        <v>#N/A</v>
      </c>
      <c r="L253" s="20" t="e">
        <f>VLOOKUP(A253,All!A:AM,38,0)</f>
        <v>#N/A</v>
      </c>
      <c r="M253" s="2" t="e">
        <f>VLOOKUP(A253,'SYS Allocations'!A:G,2,0)</f>
        <v>#N/A</v>
      </c>
      <c r="N253" s="97" t="e">
        <f>VLOOKUP(A253,'SYS Allocations'!A:G,3,0)</f>
        <v>#N/A</v>
      </c>
      <c r="O253" s="97" t="e">
        <f>VLOOKUP(A253,'SYS Allocations'!A:G,4,0)</f>
        <v>#N/A</v>
      </c>
      <c r="P253" s="97" t="e">
        <f>VLOOKUP(A253,'SYS Allocations'!A:G,5,0)</f>
        <v>#N/A</v>
      </c>
      <c r="Q253" s="97" t="e">
        <f>VLOOKUP(A253,'SYS Allocations'!A:G,6,0)</f>
        <v>#N/A</v>
      </c>
      <c r="R253" s="12" t="e">
        <f>VLOOKUP(A253,'SYS Allocations'!A:G,7,0)</f>
        <v>#N/A</v>
      </c>
    </row>
    <row r="254" spans="1:18" hidden="1">
      <c r="A254" s="35"/>
      <c r="B254" s="41" t="e">
        <f>VLOOKUP(A254,All!A:AM,2,0)</f>
        <v>#N/A</v>
      </c>
      <c r="C254" s="42" t="e">
        <f>VLOOKUP(A254,All!A:AM,11,0)</f>
        <v>#N/A</v>
      </c>
      <c r="E254" s="2" t="e">
        <f>VLOOKUP(A254,All!A:AM,30,0)</f>
        <v>#N/A</v>
      </c>
      <c r="F254" s="2" t="e">
        <f>VLOOKUP(A254,All!A:AM,28,0)</f>
        <v>#N/A</v>
      </c>
      <c r="G254" s="2" t="e">
        <f>VLOOKUP(A254,All!A:AM,31,0)</f>
        <v>#N/A</v>
      </c>
      <c r="H254" s="2" t="e">
        <f>VLOOKUP(A254,All!A:AM,29,0)</f>
        <v>#N/A</v>
      </c>
      <c r="I254" s="2" t="e">
        <f>VLOOKUP(A254,All!A:AM,33,0)</f>
        <v>#N/A</v>
      </c>
      <c r="J254" s="2" t="e">
        <f>VLOOKUP(A254,All!A:AM,32,0)</f>
        <v>#N/A</v>
      </c>
      <c r="K254" s="21" t="e">
        <f>VLOOKUP(A254,All!A:AM,39,0)</f>
        <v>#N/A</v>
      </c>
      <c r="L254" s="21" t="e">
        <f>VLOOKUP(A254,All!A:AM,38,0)</f>
        <v>#N/A</v>
      </c>
      <c r="N254" s="97" t="e">
        <f>VLOOKUP(A254,'SYS Allocations'!A:G,3,0)</f>
        <v>#N/A</v>
      </c>
      <c r="O254" s="97" t="e">
        <f>VLOOKUP(A254,'SYS Allocations'!A:G,4,0)</f>
        <v>#N/A</v>
      </c>
      <c r="P254" s="97"/>
      <c r="Q254" s="97" t="e">
        <f>VLOOKUP(A254,'SYS Allocations'!A:G,6,0)</f>
        <v>#N/A</v>
      </c>
      <c r="R254" s="12" t="e">
        <f>VLOOKUP(A254,'SYS Allocations'!A:G,7,0)</f>
        <v>#N/A</v>
      </c>
    </row>
    <row r="255" spans="1:18" hidden="1">
      <c r="A255" s="35"/>
      <c r="B255" s="41" t="e">
        <f>VLOOKUP(A255,All!A:AM,2,0)</f>
        <v>#N/A</v>
      </c>
      <c r="C255" s="42" t="e">
        <f>VLOOKUP(A255,All!A:AM,11,0)</f>
        <v>#N/A</v>
      </c>
      <c r="N255" s="97" t="e">
        <f>VLOOKUP(A255,'SYS Allocations'!A:G,3,0)</f>
        <v>#N/A</v>
      </c>
      <c r="O255" s="97" t="e">
        <f>VLOOKUP(A255,'SYS Allocations'!A:G,4,0)</f>
        <v>#N/A</v>
      </c>
      <c r="P255" s="97"/>
      <c r="Q255" s="97" t="e">
        <f>VLOOKUP(A255,'SYS Allocations'!A:G,6,0)</f>
        <v>#N/A</v>
      </c>
      <c r="R255" s="12" t="e">
        <f>VLOOKUP(A255,'SYS Allocations'!A:G,7,0)</f>
        <v>#N/A</v>
      </c>
    </row>
    <row r="256" spans="1:18" hidden="1">
      <c r="A256" s="35"/>
      <c r="B256" s="41" t="e">
        <f>VLOOKUP(A256,All!A:AM,2,0)</f>
        <v>#N/A</v>
      </c>
      <c r="C256" s="42" t="e">
        <f>VLOOKUP(A256,All!A:AM,11,0)</f>
        <v>#N/A</v>
      </c>
      <c r="N256" s="97" t="e">
        <f>VLOOKUP(A256,'SYS Allocations'!A:G,3,0)</f>
        <v>#N/A</v>
      </c>
      <c r="O256" s="97" t="e">
        <f>VLOOKUP(A256,'SYS Allocations'!A:G,4,0)</f>
        <v>#N/A</v>
      </c>
      <c r="P256" s="97"/>
      <c r="Q256" s="97" t="e">
        <f>VLOOKUP(A256,'SYS Allocations'!A:G,6,0)</f>
        <v>#N/A</v>
      </c>
      <c r="R256" s="12" t="e">
        <f>VLOOKUP(A256,'SYS Allocations'!A:G,7,0)</f>
        <v>#N/A</v>
      </c>
    </row>
    <row r="257" spans="1:18" hidden="1">
      <c r="A257" s="35"/>
      <c r="B257" s="41" t="e">
        <f>VLOOKUP(A257,All!A:AM,2,0)</f>
        <v>#N/A</v>
      </c>
      <c r="C257" s="42" t="e">
        <f>VLOOKUP(A257,All!A:AM,11,0)</f>
        <v>#N/A</v>
      </c>
      <c r="N257" s="97" t="e">
        <f>VLOOKUP(A257,'SYS Allocations'!A:G,3,0)</f>
        <v>#N/A</v>
      </c>
      <c r="O257" s="97" t="e">
        <f>VLOOKUP(A257,'SYS Allocations'!A:G,4,0)</f>
        <v>#N/A</v>
      </c>
      <c r="P257" s="97"/>
      <c r="Q257" s="97" t="e">
        <f>VLOOKUP(A257,'SYS Allocations'!A:G,6,0)</f>
        <v>#N/A</v>
      </c>
      <c r="R257" s="12" t="e">
        <f>VLOOKUP(A257,'SYS Allocations'!A:G,7,0)</f>
        <v>#N/A</v>
      </c>
    </row>
    <row r="258" spans="1:18" hidden="1">
      <c r="A258" s="35"/>
      <c r="B258" s="41" t="e">
        <f>VLOOKUP(A258,All!A:AM,2,0)</f>
        <v>#N/A</v>
      </c>
      <c r="C258" s="42" t="e">
        <f>VLOOKUP(A258,All!A:AM,11,0)</f>
        <v>#N/A</v>
      </c>
      <c r="N258" s="97" t="e">
        <f>VLOOKUP(A258,'SYS Allocations'!A:G,3,0)</f>
        <v>#N/A</v>
      </c>
      <c r="O258" s="97" t="e">
        <f>VLOOKUP(A258,'SYS Allocations'!A:G,4,0)</f>
        <v>#N/A</v>
      </c>
      <c r="P258" s="97"/>
      <c r="Q258" s="97" t="e">
        <f>VLOOKUP(A258,'SYS Allocations'!A:G,6,0)</f>
        <v>#N/A</v>
      </c>
      <c r="R258" s="12" t="e">
        <f>VLOOKUP(A258,'SYS Allocations'!A:G,7,0)</f>
        <v>#N/A</v>
      </c>
    </row>
    <row r="259" spans="1:18" hidden="1">
      <c r="A259" s="35"/>
      <c r="B259" s="41" t="e">
        <f>VLOOKUP(A259,All!A:AM,2,0)</f>
        <v>#N/A</v>
      </c>
      <c r="C259" s="42" t="e">
        <f>VLOOKUP(A259,All!A:AM,11,0)</f>
        <v>#N/A</v>
      </c>
      <c r="N259" s="97" t="e">
        <f>VLOOKUP(A259,'SYS Allocations'!A:G,3,0)</f>
        <v>#N/A</v>
      </c>
      <c r="O259" s="97" t="e">
        <f>VLOOKUP(A259,'SYS Allocations'!A:G,4,0)</f>
        <v>#N/A</v>
      </c>
      <c r="P259" s="97"/>
      <c r="Q259" s="97" t="e">
        <f>VLOOKUP(A259,'SYS Allocations'!A:G,6,0)</f>
        <v>#N/A</v>
      </c>
      <c r="R259" s="12" t="e">
        <f>VLOOKUP(A259,'SYS Allocations'!A:G,7,0)</f>
        <v>#N/A</v>
      </c>
    </row>
    <row r="260" spans="1:18" hidden="1">
      <c r="A260" s="35"/>
      <c r="B260" s="41" t="e">
        <f>VLOOKUP(A260,All!A:AM,2,0)</f>
        <v>#N/A</v>
      </c>
      <c r="C260" s="42" t="e">
        <f>VLOOKUP(A260,All!A:AM,11,0)</f>
        <v>#N/A</v>
      </c>
      <c r="N260" s="97" t="e">
        <f>VLOOKUP(A260,'SYS Allocations'!A:G,3,0)</f>
        <v>#N/A</v>
      </c>
      <c r="O260" s="97" t="e">
        <f>VLOOKUP(A260,'SYS Allocations'!A:G,4,0)</f>
        <v>#N/A</v>
      </c>
      <c r="P260" s="97"/>
      <c r="Q260" s="97" t="e">
        <f>VLOOKUP(A260,'SYS Allocations'!A:G,6,0)</f>
        <v>#N/A</v>
      </c>
      <c r="R260" s="12" t="e">
        <f>VLOOKUP(A260,'SYS Allocations'!A:G,7,0)</f>
        <v>#N/A</v>
      </c>
    </row>
    <row r="261" spans="1:18" hidden="1">
      <c r="A261" s="35"/>
      <c r="B261" s="41" t="e">
        <f>VLOOKUP(A261,All!A:AM,2,0)</f>
        <v>#N/A</v>
      </c>
      <c r="C261" s="42" t="e">
        <f>VLOOKUP(A261,All!A:AM,11,0)</f>
        <v>#N/A</v>
      </c>
      <c r="N261" s="97" t="e">
        <f>VLOOKUP(A261,'SYS Allocations'!A:G,3,0)</f>
        <v>#N/A</v>
      </c>
      <c r="O261" s="97" t="e">
        <f>VLOOKUP(A261,'SYS Allocations'!A:G,4,0)</f>
        <v>#N/A</v>
      </c>
      <c r="P261" s="97"/>
      <c r="Q261" s="97" t="e">
        <f>VLOOKUP(A261,'SYS Allocations'!A:G,6,0)</f>
        <v>#N/A</v>
      </c>
      <c r="R261" s="12" t="e">
        <f>VLOOKUP(A261,'SYS Allocations'!A:G,7,0)</f>
        <v>#N/A</v>
      </c>
    </row>
    <row r="262" spans="1:18" hidden="1">
      <c r="A262" s="35"/>
      <c r="B262" s="41" t="e">
        <f>VLOOKUP(A262,All!A:AM,2,0)</f>
        <v>#N/A</v>
      </c>
      <c r="C262" s="42" t="e">
        <f>VLOOKUP(A262,All!A:AM,11,0)</f>
        <v>#N/A</v>
      </c>
      <c r="N262" s="97" t="e">
        <f>VLOOKUP(A262,'SYS Allocations'!A:G,3,0)</f>
        <v>#N/A</v>
      </c>
      <c r="O262" s="97" t="e">
        <f>VLOOKUP(A262,'SYS Allocations'!A:G,4,0)</f>
        <v>#N/A</v>
      </c>
      <c r="P262" s="97"/>
      <c r="Q262" s="97" t="e">
        <f>VLOOKUP(A262,'SYS Allocations'!A:G,6,0)</f>
        <v>#N/A</v>
      </c>
      <c r="R262" s="12" t="e">
        <f>VLOOKUP(A262,'SYS Allocations'!A:G,7,0)</f>
        <v>#N/A</v>
      </c>
    </row>
    <row r="263" spans="1:18" hidden="1">
      <c r="A263" s="35"/>
      <c r="B263" s="41" t="e">
        <f>VLOOKUP(A263,All!A:AM,2,0)</f>
        <v>#N/A</v>
      </c>
      <c r="C263" s="42" t="e">
        <f>VLOOKUP(A263,All!A:AM,11,0)</f>
        <v>#N/A</v>
      </c>
      <c r="N263" s="97" t="e">
        <f>VLOOKUP(A263,'SYS Allocations'!A:G,3,0)</f>
        <v>#N/A</v>
      </c>
      <c r="O263" s="97" t="e">
        <f>VLOOKUP(A263,'SYS Allocations'!A:G,4,0)</f>
        <v>#N/A</v>
      </c>
      <c r="P263" s="97"/>
      <c r="Q263" s="97" t="e">
        <f>VLOOKUP(A263,'SYS Allocations'!A:G,6,0)</f>
        <v>#N/A</v>
      </c>
      <c r="R263" s="12" t="e">
        <f>VLOOKUP(A263,'SYS Allocations'!A:G,7,0)</f>
        <v>#N/A</v>
      </c>
    </row>
    <row r="264" spans="1:18" hidden="1">
      <c r="A264" s="35"/>
      <c r="B264" s="41" t="e">
        <f>VLOOKUP(A264,All!A:AM,2,0)</f>
        <v>#N/A</v>
      </c>
      <c r="C264" s="42" t="e">
        <f>VLOOKUP(A264,All!A:AM,11,0)</f>
        <v>#N/A</v>
      </c>
      <c r="N264" s="97" t="e">
        <f>VLOOKUP(A264,'SYS Allocations'!A:G,3,0)</f>
        <v>#N/A</v>
      </c>
      <c r="O264" s="97" t="e">
        <f>VLOOKUP(A264,'SYS Allocations'!A:G,4,0)</f>
        <v>#N/A</v>
      </c>
      <c r="P264" s="97"/>
      <c r="Q264" s="97" t="e">
        <f>VLOOKUP(A264,'SYS Allocations'!A:G,6,0)</f>
        <v>#N/A</v>
      </c>
      <c r="R264" s="12" t="e">
        <f>VLOOKUP(A264,'SYS Allocations'!A:G,7,0)</f>
        <v>#N/A</v>
      </c>
    </row>
    <row r="265" spans="1:18" hidden="1">
      <c r="A265" s="35"/>
      <c r="B265" s="41" t="e">
        <f>VLOOKUP(A265,All!A:AM,2,0)</f>
        <v>#N/A</v>
      </c>
      <c r="C265" s="42" t="e">
        <f>VLOOKUP(A265,All!A:AM,11,0)</f>
        <v>#N/A</v>
      </c>
      <c r="N265" s="97" t="e">
        <f>VLOOKUP(A265,'SYS Allocations'!A:G,3,0)</f>
        <v>#N/A</v>
      </c>
      <c r="O265" s="97" t="e">
        <f>VLOOKUP(A265,'SYS Allocations'!A:G,4,0)</f>
        <v>#N/A</v>
      </c>
      <c r="P265" s="97"/>
      <c r="Q265" s="97" t="e">
        <f>VLOOKUP(A265,'SYS Allocations'!A:G,6,0)</f>
        <v>#N/A</v>
      </c>
      <c r="R265" s="12" t="e">
        <f>VLOOKUP(A265,'SYS Allocations'!A:G,7,0)</f>
        <v>#N/A</v>
      </c>
    </row>
    <row r="266" spans="1:18" hidden="1">
      <c r="A266" s="35"/>
      <c r="B266" s="41" t="e">
        <f>VLOOKUP(A266,All!A:AM,2,0)</f>
        <v>#N/A</v>
      </c>
      <c r="C266" s="42" t="e">
        <f>VLOOKUP(A266,All!A:AM,11,0)</f>
        <v>#N/A</v>
      </c>
      <c r="N266" s="97" t="e">
        <f>VLOOKUP(A266,'SYS Allocations'!A:G,3,0)</f>
        <v>#N/A</v>
      </c>
      <c r="O266" s="97" t="e">
        <f>VLOOKUP(A266,'SYS Allocations'!A:G,4,0)</f>
        <v>#N/A</v>
      </c>
      <c r="P266" s="97"/>
      <c r="Q266" s="97" t="e">
        <f>VLOOKUP(A266,'SYS Allocations'!A:G,6,0)</f>
        <v>#N/A</v>
      </c>
      <c r="R266" s="12" t="e">
        <f>VLOOKUP(A266,'SYS Allocations'!A:G,7,0)</f>
        <v>#N/A</v>
      </c>
    </row>
    <row r="267" spans="1:18" hidden="1">
      <c r="A267" s="35"/>
      <c r="B267" s="41" t="e">
        <f>VLOOKUP(A267,All!A:AM,2,0)</f>
        <v>#N/A</v>
      </c>
      <c r="C267" s="42" t="e">
        <f>VLOOKUP(A267,All!A:AM,11,0)</f>
        <v>#N/A</v>
      </c>
      <c r="N267" s="97" t="e">
        <f>VLOOKUP(A267,'SYS Allocations'!A:G,3,0)</f>
        <v>#N/A</v>
      </c>
      <c r="O267" s="97" t="e">
        <f>VLOOKUP(A267,'SYS Allocations'!A:G,4,0)</f>
        <v>#N/A</v>
      </c>
      <c r="P267" s="97"/>
      <c r="Q267" s="97" t="e">
        <f>VLOOKUP(A267,'SYS Allocations'!A:G,6,0)</f>
        <v>#N/A</v>
      </c>
      <c r="R267" s="12" t="e">
        <f>VLOOKUP(A267,'SYS Allocations'!A:G,7,0)</f>
        <v>#N/A</v>
      </c>
    </row>
    <row r="268" spans="1:18" hidden="1">
      <c r="B268" s="35" t="e">
        <f>VLOOKUP(A268,All!A:AM,2,0)</f>
        <v>#N/A</v>
      </c>
      <c r="C268" s="3" t="e">
        <f>VLOOKUP(A268,All!A:AM,11,0)</f>
        <v>#N/A</v>
      </c>
      <c r="N268" s="97" t="e">
        <f>VLOOKUP(A268,'SYS Allocations'!A:G,3,0)</f>
        <v>#N/A</v>
      </c>
      <c r="O268" s="97" t="e">
        <f>VLOOKUP(A268,'SYS Allocations'!A:G,4,0)</f>
        <v>#N/A</v>
      </c>
      <c r="P268" s="97"/>
      <c r="Q268" s="97" t="e">
        <f>VLOOKUP(A268,'SYS Allocations'!A:G,6,0)</f>
        <v>#N/A</v>
      </c>
      <c r="R268" s="12" t="e">
        <f>VLOOKUP(A268,'SYS Allocations'!A:G,7,0)</f>
        <v>#N/A</v>
      </c>
    </row>
    <row r="269" spans="1:18" hidden="1">
      <c r="A269" s="25"/>
      <c r="N269" s="2" t="e">
        <f>VLOOKUP(A269,'SYS Allocations'!A:G,3,0)</f>
        <v>#N/A</v>
      </c>
      <c r="O269" s="2" t="e">
        <f>VLOOKUP(A269,'SYS Allocations'!A:G,4,0)</f>
        <v>#N/A</v>
      </c>
      <c r="Q269" s="97" t="e">
        <f>VLOOKUP(A269,'SYS Allocations'!A:G,6,0)</f>
        <v>#N/A</v>
      </c>
      <c r="R269" s="12" t="e">
        <f>VLOOKUP(A269,'SYS Allocations'!A:G,7,0)</f>
        <v>#N/A</v>
      </c>
    </row>
  </sheetData>
  <sheetProtection algorithmName="SHA-512" hashValue="BDgrWCTUhI3MLUZ3txh6NStGyoqlsGZofx36QOHNrGN4fmrr6EhS1wDoI3ZebbHFGRRFiIEM7OLkB4UU8QaRzg==" saltValue="mNoJhFOSDqlOeS5xawM2UQ==" spinCount="100000" sheet="1" autoFilter="0"/>
  <autoFilter ref="A7:R269" xr:uid="{00000000-0009-0000-0000-000000000000}">
    <filterColumn colId="0">
      <filters>
        <filter val="WTNTK1;DC SYS01"/>
      </filters>
    </filterColumn>
  </autoFilter>
  <mergeCells count="52">
    <mergeCell ref="L71:L72"/>
    <mergeCell ref="K71:K72"/>
    <mergeCell ref="K116:K117"/>
    <mergeCell ref="K238:K239"/>
    <mergeCell ref="L238:L239"/>
    <mergeCell ref="K153:K154"/>
    <mergeCell ref="K178:K181"/>
    <mergeCell ref="K174:K175"/>
    <mergeCell ref="K156:K157"/>
    <mergeCell ref="K158:K159"/>
    <mergeCell ref="K193:K194"/>
    <mergeCell ref="L103:L104"/>
    <mergeCell ref="K118:K119"/>
    <mergeCell ref="L118:L119"/>
    <mergeCell ref="K140:K141"/>
    <mergeCell ref="K142:K143"/>
    <mergeCell ref="K240:K241"/>
    <mergeCell ref="L240:L241"/>
    <mergeCell ref="K230:K231"/>
    <mergeCell ref="K201:K202"/>
    <mergeCell ref="K214:K216"/>
    <mergeCell ref="K217:K220"/>
    <mergeCell ref="K225:K228"/>
    <mergeCell ref="L225:L228"/>
    <mergeCell ref="L230:L231"/>
    <mergeCell ref="L201:L202"/>
    <mergeCell ref="L214:L216"/>
    <mergeCell ref="L217:L220"/>
    <mergeCell ref="K21:K22"/>
    <mergeCell ref="L21:L22"/>
    <mergeCell ref="L40:L41"/>
    <mergeCell ref="L69:L70"/>
    <mergeCell ref="K40:K41"/>
    <mergeCell ref="K69:K70"/>
    <mergeCell ref="K50:K51"/>
    <mergeCell ref="L50:L51"/>
    <mergeCell ref="K36:K38"/>
    <mergeCell ref="L36:L38"/>
    <mergeCell ref="L158:L159"/>
    <mergeCell ref="L174:L175"/>
    <mergeCell ref="L178:L181"/>
    <mergeCell ref="L193:L194"/>
    <mergeCell ref="L108:L109"/>
    <mergeCell ref="L116:L117"/>
    <mergeCell ref="L140:L141"/>
    <mergeCell ref="L142:L143"/>
    <mergeCell ref="L153:L154"/>
    <mergeCell ref="K75:K76"/>
    <mergeCell ref="L75:L76"/>
    <mergeCell ref="K103:K104"/>
    <mergeCell ref="L156:L157"/>
    <mergeCell ref="K108:K109"/>
  </mergeCells>
  <phoneticPr fontId="17" type="noConversion"/>
  <conditionalFormatting sqref="C8:C267">
    <cfRule type="expression" dxfId="189" priority="4">
      <formula>C8&lt;=TODAY()-365</formula>
    </cfRule>
  </conditionalFormatting>
  <conditionalFormatting sqref="D8:E253 G8:G253 I8:I253">
    <cfRule type="cellIs" dxfId="188" priority="8" operator="lessThan">
      <formula>0</formula>
    </cfRule>
    <cfRule type="cellIs" dxfId="187" priority="9" operator="between">
      <formula>0</formula>
      <formula>9.999999999999</formula>
    </cfRule>
    <cfRule type="cellIs" dxfId="186" priority="10" operator="between">
      <formula>10</formula>
      <formula>24.99999999999</formula>
    </cfRule>
    <cfRule type="cellIs" dxfId="185" priority="11" operator="between">
      <formula>25</formula>
      <formula>100</formula>
    </cfRule>
  </conditionalFormatting>
  <conditionalFormatting sqref="K8:K21 K23:K35 K39:K40 K42:K50 K52:K69 K71 K73:K75 K77:K103 K105:K108 K110:K116 K118 K120:K140 K142 K144:K153 K156 K158 K160:K174 K176:K178 K182:K193 K195:K201 K203:K214 K217 K221:K225 K229:K230 K232:K238 K240 K242:K253 D254:L268">
    <cfRule type="cellIs" dxfId="184" priority="63" operator="lessThan">
      <formula>0</formula>
    </cfRule>
    <cfRule type="cellIs" dxfId="183" priority="64" operator="between">
      <formula>0</formula>
      <formula>9.999999999999</formula>
    </cfRule>
    <cfRule type="cellIs" dxfId="182" priority="65" operator="between">
      <formula>10</formula>
      <formula>24.99999999999</formula>
    </cfRule>
    <cfRule type="cellIs" dxfId="181" priority="66" operator="between">
      <formula>25</formula>
      <formula>100</formula>
    </cfRule>
  </conditionalFormatting>
  <conditionalFormatting sqref="M8:Q8 M9:O37 P9:Q71 Q9:Q269 M38 O38:O71 M40:N71 M72:Q196 M197:O238 P197:Q252 M240:O252 N253:Q268">
    <cfRule type="cellIs" dxfId="180" priority="12" operator="equal">
      <formula>"OPEX"</formula>
    </cfRule>
  </conditionalFormatting>
  <conditionalFormatting sqref="M8:Q8 M9:O37 P9:Q71 Q9:Q269 M38 O38:O71 M40:N71 M72:Q252 N253:Q268">
    <cfRule type="cellIs" dxfId="179" priority="1" operator="equal">
      <formula>"PX"</formula>
    </cfRule>
  </conditionalFormatting>
  <conditionalFormatting sqref="M8:Q252">
    <cfRule type="cellIs" dxfId="178" priority="5" operator="equal">
      <formula>0</formula>
    </cfRule>
    <cfRule type="cellIs" dxfId="177" priority="6" operator="equal">
      <formula>"RA"</formula>
    </cfRule>
    <cfRule type="cellIs" dxfId="176" priority="7" operator="equal">
      <formula>"P-Core"</formula>
    </cfRule>
  </conditionalFormatting>
  <conditionalFormatting sqref="P8:Q403">
    <cfRule type="cellIs" dxfId="175" priority="2" operator="equal">
      <formula>"AM"</formula>
    </cfRule>
  </conditionalFormatting>
  <conditionalFormatting sqref="Q9:Q269 N253:Q268">
    <cfRule type="cellIs" dxfId="174" priority="21" operator="equal">
      <formula>0</formula>
    </cfRule>
    <cfRule type="cellIs" dxfId="173" priority="22" operator="equal">
      <formula>"RA"</formula>
    </cfRule>
    <cfRule type="cellIs" dxfId="172" priority="23" operator="equal">
      <formula>"P-Core"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zoomScaleNormal="100" workbookViewId="0">
      <selection activeCell="A3" sqref="A3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269</v>
      </c>
      <c r="B1" s="56" t="s">
        <v>270</v>
      </c>
      <c r="C1" s="62" t="s">
        <v>271</v>
      </c>
      <c r="F1" s="63"/>
      <c r="G1" t="s">
        <v>272</v>
      </c>
    </row>
    <row r="2" spans="1:25" ht="14.45">
      <c r="A2" s="328" t="s">
        <v>273</v>
      </c>
      <c r="B2" s="58">
        <f>VLOOKUP(A2,Space!A:D,4,0)</f>
        <v>34</v>
      </c>
      <c r="C2" s="81"/>
      <c r="F2" s="113"/>
      <c r="G2" s="52" t="s">
        <v>274</v>
      </c>
    </row>
    <row r="3" spans="1:25">
      <c r="F3" s="183" t="s">
        <v>275</v>
      </c>
      <c r="G3" s="52" t="s">
        <v>276</v>
      </c>
    </row>
    <row r="5" spans="1:25" ht="59.65" customHeight="1">
      <c r="A5" s="56" t="s">
        <v>277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278</v>
      </c>
      <c r="N5" s="62" t="s">
        <v>279</v>
      </c>
      <c r="O5" s="182" t="s">
        <v>280</v>
      </c>
      <c r="P5" s="111" t="s">
        <v>281</v>
      </c>
      <c r="Q5" s="56" t="s">
        <v>282</v>
      </c>
    </row>
    <row r="6" spans="1:25">
      <c r="A6" s="58" t="str" cm="1">
        <f t="array" ref="A6">IFERROR(INDEX(All!A$1:A$262,SMALL(IF(All!E$1:E$262='Site check'!A$2,ROW(All!A$1:A$262)),ROWS(A$2:A2))),"")</f>
        <v>WTNTK1;DC SYS01</v>
      </c>
      <c r="B6" s="22">
        <f>VLOOKUP(A6,All!A:AM,30,0)</f>
        <v>32.678065054211842</v>
      </c>
      <c r="C6" s="54">
        <f>VLOOKUP(A6,All!A:AM,28,0)</f>
        <v>19.590500000000002</v>
      </c>
      <c r="D6" s="54">
        <f>VLOOKUP(A6,All!A:AM,31,0)</f>
        <v>4.4462858833974561</v>
      </c>
      <c r="E6" s="54">
        <f>VLOOKUP(A6,All!A:AM,29,0)</f>
        <v>1.8780000000000001</v>
      </c>
      <c r="F6" s="55">
        <f>VLOOKUP(A6,All!A:AM,33,0)</f>
        <v>24.321775197635869</v>
      </c>
      <c r="G6" s="55">
        <f>VLOOKUP(A6,All!A:AM,32,0)</f>
        <v>12.9709</v>
      </c>
      <c r="H6" s="95">
        <f>VLOOKUP(A6,All!A:AM,39,0)</f>
        <v>31.009401709401711</v>
      </c>
      <c r="I6" s="95">
        <f>VLOOKUP(A6,All!A:AM,38,0)</f>
        <v>18.140499999999999</v>
      </c>
      <c r="J6" s="34">
        <f>VLOOKUP(A6,'SYS Allocations'!A:G,2,0)</f>
        <v>0</v>
      </c>
      <c r="K6" s="34" t="str">
        <f>VLOOKUP(A6,'SYS Allocations'!A:G,3,0)</f>
        <v>RA</v>
      </c>
      <c r="L6" s="34">
        <f>VLOOKUP(A6,'SYS Allocations'!A:G,4,0)</f>
        <v>0</v>
      </c>
      <c r="M6" s="12">
        <f>VLOOKUP(A6,'SYS Allocations'!A:G,7,0)</f>
        <v>2.7</v>
      </c>
      <c r="N6" s="81"/>
      <c r="O6" s="112" t="str">
        <f>IF(VLOOKUP(A6,All!A:AO,41,0)="","",VLOOKUP(A6,All!A:AO,41,0))</f>
        <v>Single</v>
      </c>
      <c r="P6" s="112" t="str">
        <f>IF(VLOOKUP(A6,All!A:AN,40,0)="","",VLOOKUP(A6,All!A:AN,40,0))</f>
        <v/>
      </c>
      <c r="Q6" s="112" t="str">
        <f>IF(VLOOKUP(A6,All!A:AN,26,0)="","",VLOOKUP(A6,All!A:AN,26,0))</f>
        <v/>
      </c>
    </row>
    <row r="7" spans="1:25">
      <c r="A7" s="58" t="str" cm="1">
        <f t="array" ref="A7">IFERROR(INDEX(All!A$1:A$262,SMALL(IF(All!E$1:E$262='Site check'!A$2,ROW(All!A$1:A$262)),ROWS(A$2:A3))),"")</f>
        <v/>
      </c>
      <c r="B7" s="22" t="e">
        <f>VLOOKUP(A7,All!A:AM,30,0)</f>
        <v>#N/A</v>
      </c>
      <c r="C7" s="54" t="e">
        <f>VLOOKUP(A7,All!A:AM,28,0)</f>
        <v>#N/A</v>
      </c>
      <c r="D7" s="54" t="e">
        <f>VLOOKUP(A7,All!A:AM,31,0)</f>
        <v>#N/A</v>
      </c>
      <c r="E7" s="54" t="e">
        <f>VLOOKUP(A7,All!A:AM,29,0)</f>
        <v>#N/A</v>
      </c>
      <c r="F7" s="55" t="e">
        <f>VLOOKUP(A7,All!A:AM,33,0)</f>
        <v>#N/A</v>
      </c>
      <c r="G7" s="55" t="e">
        <f>VLOOKUP(A7,All!A:AM,32,0)</f>
        <v>#N/A</v>
      </c>
      <c r="H7" s="95" t="e">
        <f>VLOOKUP(A7,All!A:AM,39,0)</f>
        <v>#N/A</v>
      </c>
      <c r="I7" s="95" t="e">
        <f>VLOOKUP(A7,All!A:AM,38,0)</f>
        <v>#N/A</v>
      </c>
      <c r="J7" s="5" t="e">
        <f>VLOOKUP(A7,'SYS Allocations'!A:G,2,0)</f>
        <v>#N/A</v>
      </c>
      <c r="K7" s="5" t="e">
        <f>VLOOKUP(A7,'SYS Allocations'!A:G,3,0)</f>
        <v>#N/A</v>
      </c>
      <c r="L7" s="34" t="e">
        <f>VLOOKUP(A7,'SYS Allocations'!A:G,4,0)</f>
        <v>#N/A</v>
      </c>
      <c r="M7" s="12" t="e">
        <f>VLOOKUP(A7,'SYS Allocations'!A:G,7,0)</f>
        <v>#N/A</v>
      </c>
      <c r="N7" s="81"/>
      <c r="O7" s="112" t="e">
        <f>IF(VLOOKUP(A7,All!A:AO,41,0)="","",VLOOKUP(A7,All!A:AO,41,0))</f>
        <v>#N/A</v>
      </c>
      <c r="P7" s="112" t="e">
        <f>IF(VLOOKUP(A7,All!A:AN,40,0)="","",VLOOKUP(A7,All!A:AN,40,0))</f>
        <v>#N/A</v>
      </c>
      <c r="Q7" s="112" t="e">
        <f>IF(VLOOKUP(A7,All!A:AN,26,0)="","",VLOOKUP(A7,All!A:AN,26,0))</f>
        <v>#N/A</v>
      </c>
    </row>
    <row r="8" spans="1:25">
      <c r="A8" s="58" t="str" cm="1">
        <f t="array" ref="A8">IFERROR(INDEX(All!A$1:A$262,SMALL(IF(All!E$1:E$262='Site check'!A$2,ROW(All!A$1:A$262)),ROWS(A$2:A4))),"")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5" t="e">
        <f>VLOOKUP(A8,All!A:AM,39,0)</f>
        <v>#N/A</v>
      </c>
      <c r="I8" s="95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1"/>
      <c r="O8" s="112" t="e">
        <f>IF(VLOOKUP(A8,All!A:AO,41,0)="","",VLOOKUP(A8,All!A:AO,41,0))</f>
        <v>#N/A</v>
      </c>
      <c r="P8" s="112" t="e">
        <f>IF(VLOOKUP(A8,All!A:AN,40,0)="","",VLOOKUP(A8,All!A:AN,40,0))</f>
        <v>#N/A</v>
      </c>
      <c r="Q8" s="112" t="e">
        <f>IF(VLOOKUP(A8,All!A:AN,26,0)="","",VLOOKUP(A8,All!A:AN,26,0))</f>
        <v>#N/A</v>
      </c>
    </row>
    <row r="9" spans="1:25">
      <c r="A9" s="58" t="str" cm="1">
        <f t="array" ref="A9">IFERROR(INDEX(All!A$1:A$262,SMALL(IF(All!E$1:E$262='Site check'!A$2,ROW(All!A$1:A$262)),ROWS(A$2:A5))),"")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5" t="e">
        <f>VLOOKUP(A9,All!A:AM,39,0)</f>
        <v>#N/A</v>
      </c>
      <c r="I9" s="95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1"/>
      <c r="O9" s="112" t="e">
        <f>IF(VLOOKUP(A9,All!A:AO,41,0)="","",VLOOKUP(A9,All!A:AO,41,0))</f>
        <v>#N/A</v>
      </c>
      <c r="P9" s="112" t="e">
        <f>IF(VLOOKUP(A9,All!A:AN,40,0)="","",VLOOKUP(A9,All!A:AN,40,0))</f>
        <v>#N/A</v>
      </c>
      <c r="Q9" s="112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40" t="s">
        <v>283</v>
      </c>
      <c r="B12" s="340" t="s">
        <v>284</v>
      </c>
      <c r="C12" s="340" t="s">
        <v>269</v>
      </c>
      <c r="D12" s="335" t="s">
        <v>285</v>
      </c>
      <c r="E12" s="335" t="s">
        <v>286</v>
      </c>
      <c r="F12" s="335" t="s">
        <v>287</v>
      </c>
      <c r="G12" s="335" t="s">
        <v>288</v>
      </c>
      <c r="H12" s="335" t="s">
        <v>289</v>
      </c>
      <c r="I12" s="337" t="s">
        <v>290</v>
      </c>
      <c r="J12" s="338"/>
      <c r="K12" s="338"/>
      <c r="L12" s="338"/>
      <c r="M12" s="338"/>
      <c r="N12" s="339"/>
      <c r="O12" s="275"/>
      <c r="P12" s="333" t="s">
        <v>291</v>
      </c>
      <c r="Q12" s="334"/>
    </row>
    <row r="13" spans="1:25" ht="26.45">
      <c r="A13" s="341"/>
      <c r="B13" s="341"/>
      <c r="C13" s="341"/>
      <c r="D13" s="341"/>
      <c r="E13" s="341"/>
      <c r="F13" s="336"/>
      <c r="G13" s="336"/>
      <c r="H13" s="336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292</v>
      </c>
      <c r="O13" s="57" t="s">
        <v>293</v>
      </c>
      <c r="P13" s="59" t="s">
        <v>294</v>
      </c>
      <c r="Q13" s="59" t="s">
        <v>295</v>
      </c>
      <c r="T13" s="59" t="s">
        <v>288</v>
      </c>
      <c r="U13" s="59" t="s">
        <v>289</v>
      </c>
      <c r="V13" s="59" t="s">
        <v>296</v>
      </c>
      <c r="W13" s="59" t="s">
        <v>297</v>
      </c>
      <c r="X13" s="59" t="s">
        <v>298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WTNTK1_SEC_CBDB_J33</v>
      </c>
      <c r="B14" s="58" t="str">
        <f>VLOOKUP($A14,'DC Dist Allocations'!$A:$X,2,0)</f>
        <v>WTNTK1;DC SYS01</v>
      </c>
      <c r="C14" s="58" t="str">
        <f>VLOOKUP($A14,'DC Dist Allocations'!$A:$X,3,0)</f>
        <v>WTNTK1</v>
      </c>
      <c r="D14" s="58">
        <f>VLOOKUP($A14,'DC Dist Allocations'!$A:$X,5,0)</f>
        <v>100</v>
      </c>
      <c r="E14" s="58">
        <f>VLOOKUP($A14,'DC Dist Allocations'!$A:$X,6,0)</f>
        <v>100</v>
      </c>
      <c r="F14" s="61">
        <f>VLOOKUP($A14,'DC Dist Allocations'!$A:$X,7,0)</f>
        <v>44984</v>
      </c>
      <c r="G14" s="58">
        <f>VLOOKUP($A14,'DC Dist Allocations'!$A:$X,8,0)</f>
        <v>300</v>
      </c>
      <c r="H14" s="58">
        <f>VLOOKUP($A14,'DC Dist Allocations'!$A:$X,9,0)</f>
        <v>300</v>
      </c>
      <c r="I14" s="58">
        <f>VLOOKUP($A14,'DC Dist Allocations'!$A:$X,10,0)</f>
        <v>0</v>
      </c>
      <c r="J14" s="58">
        <f>VLOOKUP($A14,'DC Dist Allocations'!$A:$X,11,0)</f>
        <v>0</v>
      </c>
      <c r="K14" s="58">
        <f>VLOOKUP($A14,'DC Dist Allocations'!$A:$X,12,0)</f>
        <v>5</v>
      </c>
      <c r="L14" s="58">
        <f>VLOOKUP($A14,'DC Dist Allocations'!$A:$X,13,0)</f>
        <v>0</v>
      </c>
      <c r="M14" s="58">
        <f>VLOOKUP($A14,'DC Dist Allocations'!$A:$X,14,0)</f>
        <v>0</v>
      </c>
      <c r="N14" s="58">
        <f>VLOOKUP($A14,'DC Dist Allocations'!$A:$X,15,0)</f>
        <v>37</v>
      </c>
      <c r="O14" s="58">
        <f t="shared" ref="O14:O47" si="0">IFERROR(VLOOKUP(B14,$A$6:$N$9,14,0),0)</f>
        <v>0</v>
      </c>
      <c r="P14" s="60">
        <f>VLOOKUP(A14,'DC Dist Allocations'!$A:$BC,50,0)</f>
        <v>6</v>
      </c>
      <c r="Q14" s="60">
        <f>VLOOKUP(A14,'DC Dist Allocations'!$A:$BC,51,0)</f>
        <v>125</v>
      </c>
      <c r="T14" s="58">
        <f>G14</f>
        <v>300</v>
      </c>
      <c r="U14" s="58">
        <f>H14</f>
        <v>300</v>
      </c>
      <c r="V14" s="60">
        <f>SUM(G14/100)*90</f>
        <v>270</v>
      </c>
      <c r="W14" s="60">
        <f>SUM(G14/100)*75</f>
        <v>225</v>
      </c>
      <c r="X14" s="60">
        <f>SUM(G14/100)*74.99</f>
        <v>224.96999999999997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/>
      </c>
      <c r="B15" s="58" t="e">
        <f>VLOOKUP($A15,'DC Dist Allocations'!$A:$X,2,0)</f>
        <v>#N/A</v>
      </c>
      <c r="C15" s="58" t="e">
        <f>VLOOKUP($A15,'DC Dist Allocations'!$A:$X,3,0)</f>
        <v>#N/A</v>
      </c>
      <c r="D15" s="58" t="e">
        <f>VLOOKUP($A15,'DC Dist Allocations'!$A:$X,5,0)</f>
        <v>#N/A</v>
      </c>
      <c r="E15" s="58" t="e">
        <f>VLOOKUP($A15,'DC Dist Allocations'!$A:$X,6,0)</f>
        <v>#N/A</v>
      </c>
      <c r="F15" s="61" t="e">
        <f>VLOOKUP($A15,'DC Dist Allocations'!$A:$X,7,0)</f>
        <v>#N/A</v>
      </c>
      <c r="G15" s="58" t="e">
        <f>VLOOKUP($A15,'DC Dist Allocations'!$A:$X,8,0)</f>
        <v>#N/A</v>
      </c>
      <c r="H15" s="58" t="e">
        <f>VLOOKUP($A15,'DC Dist Allocations'!$A:$X,9,0)</f>
        <v>#N/A</v>
      </c>
      <c r="I15" s="58" t="e">
        <f>VLOOKUP($A15,'DC Dist Allocations'!$A:$X,10,0)</f>
        <v>#N/A</v>
      </c>
      <c r="J15" s="58" t="e">
        <f>VLOOKUP($A15,'DC Dist Allocations'!$A:$X,11,0)</f>
        <v>#N/A</v>
      </c>
      <c r="K15" s="58" t="e">
        <f>VLOOKUP($A15,'DC Dist Allocations'!$A:$X,12,0)</f>
        <v>#N/A</v>
      </c>
      <c r="L15" s="58" t="e">
        <f>VLOOKUP($A15,'DC Dist Allocations'!$A:$X,13,0)</f>
        <v>#N/A</v>
      </c>
      <c r="M15" s="58" t="e">
        <f>VLOOKUP($A15,'DC Dist Allocations'!$A:$X,14,0)</f>
        <v>#N/A</v>
      </c>
      <c r="N15" s="58" t="e">
        <f>VLOOKUP($A15,'DC Dist Allocations'!$A:$X,15,0)</f>
        <v>#N/A</v>
      </c>
      <c r="O15" s="58">
        <f t="shared" si="0"/>
        <v>0</v>
      </c>
      <c r="P15" s="60" t="e">
        <f>VLOOKUP(A15,'DC Dist Allocations'!$A:$BC,50,0)</f>
        <v>#N/A</v>
      </c>
      <c r="Q15" s="60" t="e">
        <f>VLOOKUP(A15,'DC Dist Allocations'!$A:$BC,51,0)</f>
        <v>#N/A</v>
      </c>
      <c r="T15" s="58" t="e">
        <f t="shared" ref="T15:T38" si="1">G15</f>
        <v>#N/A</v>
      </c>
      <c r="U15" s="58" t="e">
        <f t="shared" ref="U15:U38" si="2">H15</f>
        <v>#N/A</v>
      </c>
      <c r="V15" s="60" t="e">
        <f t="shared" ref="V15:V38" si="3">SUM(G15/100)*90</f>
        <v>#N/A</v>
      </c>
      <c r="W15" s="60" t="e">
        <f t="shared" ref="W15:W38" si="4">SUM(G15/100)*75</f>
        <v>#N/A</v>
      </c>
      <c r="X15" s="60" t="e">
        <f t="shared" ref="X15:X38" si="5">SUM(G15/100)*74.99</f>
        <v>#N/A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/>
      </c>
      <c r="B16" s="58" t="e">
        <f>VLOOKUP($A16,'DC Dist Allocations'!$A:$X,2,0)</f>
        <v>#N/A</v>
      </c>
      <c r="C16" s="58" t="e">
        <f>VLOOKUP($A16,'DC Dist Allocations'!$A:$X,3,0)</f>
        <v>#N/A</v>
      </c>
      <c r="D16" s="58" t="e">
        <f>VLOOKUP($A16,'DC Dist Allocations'!$A:$X,5,0)</f>
        <v>#N/A</v>
      </c>
      <c r="E16" s="58" t="e">
        <f>VLOOKUP($A16,'DC Dist Allocations'!$A:$X,6,0)</f>
        <v>#N/A</v>
      </c>
      <c r="F16" s="61" t="e">
        <f>VLOOKUP($A16,'DC Dist Allocations'!$A:$X,7,0)</f>
        <v>#N/A</v>
      </c>
      <c r="G16" s="58" t="e">
        <f>VLOOKUP($A16,'DC Dist Allocations'!$A:$X,8,0)</f>
        <v>#N/A</v>
      </c>
      <c r="H16" s="58" t="e">
        <f>VLOOKUP($A16,'DC Dist Allocations'!$A:$X,9,0)</f>
        <v>#N/A</v>
      </c>
      <c r="I16" s="58" t="e">
        <f>VLOOKUP($A16,'DC Dist Allocations'!$A:$X,10,0)</f>
        <v>#N/A</v>
      </c>
      <c r="J16" s="58" t="e">
        <f>VLOOKUP($A16,'DC Dist Allocations'!$A:$X,11,0)</f>
        <v>#N/A</v>
      </c>
      <c r="K16" s="58" t="e">
        <f>VLOOKUP($A16,'DC Dist Allocations'!$A:$X,12,0)</f>
        <v>#N/A</v>
      </c>
      <c r="L16" s="58" t="e">
        <f>VLOOKUP($A16,'DC Dist Allocations'!$A:$X,13,0)</f>
        <v>#N/A</v>
      </c>
      <c r="M16" s="58" t="e">
        <f>VLOOKUP($A16,'DC Dist Allocations'!$A:$X,14,0)</f>
        <v>#N/A</v>
      </c>
      <c r="N16" s="58" t="e">
        <f>VLOOKUP($A16,'DC Dist Allocations'!$A:$X,15,0)</f>
        <v>#N/A</v>
      </c>
      <c r="O16" s="58">
        <f t="shared" si="0"/>
        <v>0</v>
      </c>
      <c r="P16" s="60" t="e">
        <f>VLOOKUP(A16,'DC Dist Allocations'!$A:$BC,50,0)</f>
        <v>#N/A</v>
      </c>
      <c r="Q16" s="60" t="e">
        <f>VLOOKUP(A16,'DC Dist Allocations'!$A:$BC,51,0)</f>
        <v>#N/A</v>
      </c>
      <c r="T16" s="58" t="e">
        <f t="shared" si="1"/>
        <v>#N/A</v>
      </c>
      <c r="U16" s="58" t="e">
        <f t="shared" si="2"/>
        <v>#N/A</v>
      </c>
      <c r="V16" s="60" t="e">
        <f t="shared" si="3"/>
        <v>#N/A</v>
      </c>
      <c r="W16" s="60" t="e">
        <f t="shared" si="4"/>
        <v>#N/A</v>
      </c>
      <c r="X16" s="60" t="e">
        <f t="shared" si="5"/>
        <v>#N/A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/>
      </c>
      <c r="B17" s="58" t="e">
        <f>VLOOKUP($A17,'DC Dist Allocations'!$A:$X,2,0)</f>
        <v>#N/A</v>
      </c>
      <c r="C17" s="58" t="e">
        <f>VLOOKUP($A17,'DC Dist Allocations'!$A:$X,3,0)</f>
        <v>#N/A</v>
      </c>
      <c r="D17" s="58" t="e">
        <f>VLOOKUP($A17,'DC Dist Allocations'!$A:$X,5,0)</f>
        <v>#N/A</v>
      </c>
      <c r="E17" s="58" t="e">
        <f>VLOOKUP($A17,'DC Dist Allocations'!$A:$X,6,0)</f>
        <v>#N/A</v>
      </c>
      <c r="F17" s="61" t="e">
        <f>VLOOKUP($A17,'DC Dist Allocations'!$A:$X,7,0)</f>
        <v>#N/A</v>
      </c>
      <c r="G17" s="58" t="e">
        <f>VLOOKUP($A17,'DC Dist Allocations'!$A:$X,8,0)</f>
        <v>#N/A</v>
      </c>
      <c r="H17" s="58" t="e">
        <f>VLOOKUP($A17,'DC Dist Allocations'!$A:$X,9,0)</f>
        <v>#N/A</v>
      </c>
      <c r="I17" s="58" t="e">
        <f>VLOOKUP($A17,'DC Dist Allocations'!$A:$X,10,0)</f>
        <v>#N/A</v>
      </c>
      <c r="J17" s="58" t="e">
        <f>VLOOKUP($A17,'DC Dist Allocations'!$A:$X,11,0)</f>
        <v>#N/A</v>
      </c>
      <c r="K17" s="58" t="e">
        <f>VLOOKUP($A17,'DC Dist Allocations'!$A:$X,12,0)</f>
        <v>#N/A</v>
      </c>
      <c r="L17" s="58" t="e">
        <f>VLOOKUP($A17,'DC Dist Allocations'!$A:$X,13,0)</f>
        <v>#N/A</v>
      </c>
      <c r="M17" s="58" t="e">
        <f>VLOOKUP($A17,'DC Dist Allocations'!$A:$X,14,0)</f>
        <v>#N/A</v>
      </c>
      <c r="N17" s="58" t="e">
        <f>VLOOKUP($A17,'DC Dist Allocations'!$A:$X,15,0)</f>
        <v>#N/A</v>
      </c>
      <c r="O17" s="58">
        <f t="shared" si="0"/>
        <v>0</v>
      </c>
      <c r="P17" s="60" t="e">
        <f>VLOOKUP(A17,'DC Dist Allocations'!$A:$BC,50,0)</f>
        <v>#N/A</v>
      </c>
      <c r="Q17" s="60" t="e">
        <f>VLOOKUP(A17,'DC Dist Allocations'!$A:$BC,51,0)</f>
        <v>#N/A</v>
      </c>
      <c r="T17" s="58" t="e">
        <f t="shared" si="1"/>
        <v>#N/A</v>
      </c>
      <c r="U17" s="58" t="e">
        <f t="shared" si="2"/>
        <v>#N/A</v>
      </c>
      <c r="V17" s="60" t="e">
        <f t="shared" si="3"/>
        <v>#N/A</v>
      </c>
      <c r="W17" s="60" t="e">
        <f t="shared" si="4"/>
        <v>#N/A</v>
      </c>
      <c r="X17" s="60" t="e">
        <f t="shared" si="5"/>
        <v>#N/A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/>
      </c>
      <c r="B18" s="58" t="e">
        <f>VLOOKUP($A18,'DC Dist Allocations'!$A:$X,2,0)</f>
        <v>#N/A</v>
      </c>
      <c r="C18" s="58" t="e">
        <f>VLOOKUP($A18,'DC Dist Allocations'!$A:$X,3,0)</f>
        <v>#N/A</v>
      </c>
      <c r="D18" s="58" t="e">
        <f>VLOOKUP($A18,'DC Dist Allocations'!$A:$X,5,0)</f>
        <v>#N/A</v>
      </c>
      <c r="E18" s="58" t="e">
        <f>VLOOKUP($A18,'DC Dist Allocations'!$A:$X,6,0)</f>
        <v>#N/A</v>
      </c>
      <c r="F18" s="61" t="e">
        <f>VLOOKUP($A18,'DC Dist Allocations'!$A:$X,7,0)</f>
        <v>#N/A</v>
      </c>
      <c r="G18" s="58" t="e">
        <f>VLOOKUP($A18,'DC Dist Allocations'!$A:$X,8,0)</f>
        <v>#N/A</v>
      </c>
      <c r="H18" s="58" t="e">
        <f>VLOOKUP($A18,'DC Dist Allocations'!$A:$X,9,0)</f>
        <v>#N/A</v>
      </c>
      <c r="I18" s="58" t="e">
        <f>VLOOKUP($A18,'DC Dist Allocations'!$A:$X,10,0)</f>
        <v>#N/A</v>
      </c>
      <c r="J18" s="58" t="e">
        <f>VLOOKUP($A18,'DC Dist Allocations'!$A:$X,11,0)</f>
        <v>#N/A</v>
      </c>
      <c r="K18" s="58" t="e">
        <f>VLOOKUP($A18,'DC Dist Allocations'!$A:$X,12,0)</f>
        <v>#N/A</v>
      </c>
      <c r="L18" s="58" t="e">
        <f>VLOOKUP($A18,'DC Dist Allocations'!$A:$X,13,0)</f>
        <v>#N/A</v>
      </c>
      <c r="M18" s="58" t="e">
        <f>VLOOKUP($A18,'DC Dist Allocations'!$A:$X,14,0)</f>
        <v>#N/A</v>
      </c>
      <c r="N18" s="58" t="e">
        <f>VLOOKUP($A18,'DC Dist Allocations'!$A:$X,15,0)</f>
        <v>#N/A</v>
      </c>
      <c r="O18" s="58">
        <f t="shared" si="0"/>
        <v>0</v>
      </c>
      <c r="P18" s="60" t="e">
        <f>VLOOKUP(A18,'DC Dist Allocations'!$A:$BC,50,0)</f>
        <v>#N/A</v>
      </c>
      <c r="Q18" s="60" t="e">
        <f>VLOOKUP(A18,'DC Dist Allocations'!$A:$BC,51,0)</f>
        <v>#N/A</v>
      </c>
      <c r="T18" s="58" t="e">
        <f t="shared" si="1"/>
        <v>#N/A</v>
      </c>
      <c r="U18" s="58" t="e">
        <f t="shared" si="2"/>
        <v>#N/A</v>
      </c>
      <c r="V18" s="60" t="e">
        <f t="shared" si="3"/>
        <v>#N/A</v>
      </c>
      <c r="W18" s="60" t="e">
        <f t="shared" si="4"/>
        <v>#N/A</v>
      </c>
      <c r="X18" s="60" t="e">
        <f t="shared" si="5"/>
        <v>#N/A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/>
      </c>
      <c r="B19" s="58" t="e">
        <f>VLOOKUP($A19,'DC Dist Allocations'!$A:$X,2,0)</f>
        <v>#N/A</v>
      </c>
      <c r="C19" s="58" t="e">
        <f>VLOOKUP($A19,'DC Dist Allocations'!$A:$X,3,0)</f>
        <v>#N/A</v>
      </c>
      <c r="D19" s="58" t="e">
        <f>VLOOKUP($A19,'DC Dist Allocations'!$A:$X,5,0)</f>
        <v>#N/A</v>
      </c>
      <c r="E19" s="58" t="e">
        <f>VLOOKUP($A19,'DC Dist Allocations'!$A:$X,6,0)</f>
        <v>#N/A</v>
      </c>
      <c r="F19" s="61" t="e">
        <f>VLOOKUP($A19,'DC Dist Allocations'!$A:$X,7,0)</f>
        <v>#N/A</v>
      </c>
      <c r="G19" s="58" t="e">
        <f>VLOOKUP($A19,'DC Dist Allocations'!$A:$X,8,0)</f>
        <v>#N/A</v>
      </c>
      <c r="H19" s="58" t="e">
        <f>VLOOKUP($A19,'DC Dist Allocations'!$A:$X,9,0)</f>
        <v>#N/A</v>
      </c>
      <c r="I19" s="58" t="e">
        <f>VLOOKUP($A19,'DC Dist Allocations'!$A:$X,10,0)</f>
        <v>#N/A</v>
      </c>
      <c r="J19" s="58" t="e">
        <f>VLOOKUP($A19,'DC Dist Allocations'!$A:$X,11,0)</f>
        <v>#N/A</v>
      </c>
      <c r="K19" s="58" t="e">
        <f>VLOOKUP($A19,'DC Dist Allocations'!$A:$X,12,0)</f>
        <v>#N/A</v>
      </c>
      <c r="L19" s="58" t="e">
        <f>VLOOKUP($A19,'DC Dist Allocations'!$A:$X,13,0)</f>
        <v>#N/A</v>
      </c>
      <c r="M19" s="58" t="e">
        <f>VLOOKUP($A19,'DC Dist Allocations'!$A:$X,14,0)</f>
        <v>#N/A</v>
      </c>
      <c r="N19" s="58" t="e">
        <f>VLOOKUP($A19,'DC Dist Allocations'!$A:$X,15,0)</f>
        <v>#N/A</v>
      </c>
      <c r="O19" s="58">
        <f t="shared" si="0"/>
        <v>0</v>
      </c>
      <c r="P19" s="60" t="e">
        <f>VLOOKUP(A19,'DC Dist Allocations'!$A:$BC,50,0)</f>
        <v>#N/A</v>
      </c>
      <c r="Q19" s="60" t="e">
        <f>VLOOKUP(A19,'DC Dist Allocations'!$A:$BC,51,0)</f>
        <v>#N/A</v>
      </c>
      <c r="T19" s="58" t="e">
        <f t="shared" si="1"/>
        <v>#N/A</v>
      </c>
      <c r="U19" s="58" t="e">
        <f t="shared" si="2"/>
        <v>#N/A</v>
      </c>
      <c r="V19" s="60" t="e">
        <f t="shared" si="3"/>
        <v>#N/A</v>
      </c>
      <c r="W19" s="60" t="e">
        <f t="shared" si="4"/>
        <v>#N/A</v>
      </c>
      <c r="X19" s="60" t="e">
        <f t="shared" si="5"/>
        <v>#N/A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/>
      </c>
      <c r="B20" s="58" t="e">
        <f>VLOOKUP($A20,'DC Dist Allocations'!$A:$X,2,0)</f>
        <v>#N/A</v>
      </c>
      <c r="C20" s="58" t="e">
        <f>VLOOKUP($A20,'DC Dist Allocations'!$A:$X,3,0)</f>
        <v>#N/A</v>
      </c>
      <c r="D20" s="58" t="e">
        <f>VLOOKUP($A20,'DC Dist Allocations'!$A:$X,5,0)</f>
        <v>#N/A</v>
      </c>
      <c r="E20" s="58" t="e">
        <f>VLOOKUP($A20,'DC Dist Allocations'!$A:$X,6,0)</f>
        <v>#N/A</v>
      </c>
      <c r="F20" s="61" t="e">
        <f>VLOOKUP($A20,'DC Dist Allocations'!$A:$X,7,0)</f>
        <v>#N/A</v>
      </c>
      <c r="G20" s="58" t="e">
        <f>VLOOKUP($A20,'DC Dist Allocations'!$A:$X,8,0)</f>
        <v>#N/A</v>
      </c>
      <c r="H20" s="58" t="e">
        <f>VLOOKUP($A20,'DC Dist Allocations'!$A:$X,9,0)</f>
        <v>#N/A</v>
      </c>
      <c r="I20" s="58" t="e">
        <f>VLOOKUP($A20,'DC Dist Allocations'!$A:$X,10,0)</f>
        <v>#N/A</v>
      </c>
      <c r="J20" s="58" t="e">
        <f>VLOOKUP($A20,'DC Dist Allocations'!$A:$X,11,0)</f>
        <v>#N/A</v>
      </c>
      <c r="K20" s="58" t="e">
        <f>VLOOKUP($A20,'DC Dist Allocations'!$A:$X,12,0)</f>
        <v>#N/A</v>
      </c>
      <c r="L20" s="58" t="e">
        <f>VLOOKUP($A20,'DC Dist Allocations'!$A:$X,13,0)</f>
        <v>#N/A</v>
      </c>
      <c r="M20" s="58" t="e">
        <f>VLOOKUP($A20,'DC Dist Allocations'!$A:$X,14,0)</f>
        <v>#N/A</v>
      </c>
      <c r="N20" s="58" t="e">
        <f>VLOOKUP($A20,'DC Dist Allocations'!$A:$X,15,0)</f>
        <v>#N/A</v>
      </c>
      <c r="O20" s="58">
        <f t="shared" si="0"/>
        <v>0</v>
      </c>
      <c r="P20" s="60" t="e">
        <f>VLOOKUP(A20,'DC Dist Allocations'!$A:$BC,50,0)</f>
        <v>#N/A</v>
      </c>
      <c r="Q20" s="60" t="e">
        <f>VLOOKUP(A20,'DC Dist Allocations'!$A:$BC,51,0)</f>
        <v>#N/A</v>
      </c>
      <c r="T20" s="58" t="e">
        <f t="shared" si="1"/>
        <v>#N/A</v>
      </c>
      <c r="U20" s="58" t="e">
        <f t="shared" si="2"/>
        <v>#N/A</v>
      </c>
      <c r="V20" s="60" t="e">
        <f t="shared" si="3"/>
        <v>#N/A</v>
      </c>
      <c r="W20" s="60" t="e">
        <f t="shared" si="4"/>
        <v>#N/A</v>
      </c>
      <c r="X20" s="60" t="e">
        <f t="shared" si="5"/>
        <v>#N/A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/>
      </c>
      <c r="B21" s="58" t="e">
        <f>VLOOKUP($A21,'DC Dist Allocations'!$A:$X,2,0)</f>
        <v>#N/A</v>
      </c>
      <c r="C21" s="58" t="e">
        <f>VLOOKUP($A21,'DC Dist Allocations'!$A:$X,3,0)</f>
        <v>#N/A</v>
      </c>
      <c r="D21" s="58" t="e">
        <f>VLOOKUP($A21,'DC Dist Allocations'!$A:$X,5,0)</f>
        <v>#N/A</v>
      </c>
      <c r="E21" s="58" t="e">
        <f>VLOOKUP($A21,'DC Dist Allocations'!$A:$X,6,0)</f>
        <v>#N/A</v>
      </c>
      <c r="F21" s="61" t="e">
        <f>VLOOKUP($A21,'DC Dist Allocations'!$A:$X,7,0)</f>
        <v>#N/A</v>
      </c>
      <c r="G21" s="58" t="e">
        <f>VLOOKUP($A21,'DC Dist Allocations'!$A:$X,8,0)</f>
        <v>#N/A</v>
      </c>
      <c r="H21" s="58" t="e">
        <f>VLOOKUP($A21,'DC Dist Allocations'!$A:$X,9,0)</f>
        <v>#N/A</v>
      </c>
      <c r="I21" s="58" t="e">
        <f>VLOOKUP($A21,'DC Dist Allocations'!$A:$X,10,0)</f>
        <v>#N/A</v>
      </c>
      <c r="J21" s="58" t="e">
        <f>VLOOKUP($A21,'DC Dist Allocations'!$A:$X,11,0)</f>
        <v>#N/A</v>
      </c>
      <c r="K21" s="58" t="e">
        <f>VLOOKUP($A21,'DC Dist Allocations'!$A:$X,12,0)</f>
        <v>#N/A</v>
      </c>
      <c r="L21" s="58" t="e">
        <f>VLOOKUP($A21,'DC Dist Allocations'!$A:$X,13,0)</f>
        <v>#N/A</v>
      </c>
      <c r="M21" s="58" t="e">
        <f>VLOOKUP($A21,'DC Dist Allocations'!$A:$X,14,0)</f>
        <v>#N/A</v>
      </c>
      <c r="N21" s="58" t="e">
        <f>VLOOKUP($A21,'DC Dist Allocations'!$A:$X,15,0)</f>
        <v>#N/A</v>
      </c>
      <c r="O21" s="58">
        <f t="shared" si="0"/>
        <v>0</v>
      </c>
      <c r="P21" s="60" t="e">
        <f>VLOOKUP(A21,'DC Dist Allocations'!$A:$BC,50,0)</f>
        <v>#N/A</v>
      </c>
      <c r="Q21" s="60" t="e">
        <f>VLOOKUP(A21,'DC Dist Allocations'!$A:$BC,51,0)</f>
        <v>#N/A</v>
      </c>
      <c r="T21" s="58" t="e">
        <f t="shared" si="1"/>
        <v>#N/A</v>
      </c>
      <c r="U21" s="58" t="e">
        <f t="shared" si="2"/>
        <v>#N/A</v>
      </c>
      <c r="V21" s="60" t="e">
        <f t="shared" si="3"/>
        <v>#N/A</v>
      </c>
      <c r="W21" s="60" t="e">
        <f t="shared" si="4"/>
        <v>#N/A</v>
      </c>
      <c r="X21" s="60" t="e">
        <f t="shared" si="5"/>
        <v>#N/A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/>
      </c>
      <c r="B22" s="58" t="e">
        <f>VLOOKUP($A22,'DC Dist Allocations'!$A:$X,2,0)</f>
        <v>#N/A</v>
      </c>
      <c r="C22" s="58" t="e">
        <f>VLOOKUP($A22,'DC Dist Allocations'!$A:$X,3,0)</f>
        <v>#N/A</v>
      </c>
      <c r="D22" s="58" t="e">
        <f>VLOOKUP($A22,'DC Dist Allocations'!$A:$X,5,0)</f>
        <v>#N/A</v>
      </c>
      <c r="E22" s="58" t="e">
        <f>VLOOKUP($A22,'DC Dist Allocations'!$A:$X,6,0)</f>
        <v>#N/A</v>
      </c>
      <c r="F22" s="61" t="e">
        <f>VLOOKUP($A22,'DC Dist Allocations'!$A:$X,7,0)</f>
        <v>#N/A</v>
      </c>
      <c r="G22" s="58" t="e">
        <f>VLOOKUP($A22,'DC Dist Allocations'!$A:$X,8,0)</f>
        <v>#N/A</v>
      </c>
      <c r="H22" s="58" t="e">
        <f>VLOOKUP($A22,'DC Dist Allocations'!$A:$X,9,0)</f>
        <v>#N/A</v>
      </c>
      <c r="I22" s="58" t="e">
        <f>VLOOKUP($A22,'DC Dist Allocations'!$A:$X,10,0)</f>
        <v>#N/A</v>
      </c>
      <c r="J22" s="58" t="e">
        <f>VLOOKUP($A22,'DC Dist Allocations'!$A:$X,11,0)</f>
        <v>#N/A</v>
      </c>
      <c r="K22" s="58" t="e">
        <f>VLOOKUP($A22,'DC Dist Allocations'!$A:$X,12,0)</f>
        <v>#N/A</v>
      </c>
      <c r="L22" s="58" t="e">
        <f>VLOOKUP($A22,'DC Dist Allocations'!$A:$X,13,0)</f>
        <v>#N/A</v>
      </c>
      <c r="M22" s="58" t="e">
        <f>VLOOKUP($A22,'DC Dist Allocations'!$A:$X,14,0)</f>
        <v>#N/A</v>
      </c>
      <c r="N22" s="58" t="e">
        <f>VLOOKUP($A22,'DC Dist Allocations'!$A:$X,15,0)</f>
        <v>#N/A</v>
      </c>
      <c r="O22" s="58">
        <f t="shared" si="0"/>
        <v>0</v>
      </c>
      <c r="P22" s="60" t="e">
        <f>VLOOKUP(A22,'DC Dist Allocations'!$A:$BC,50,0)</f>
        <v>#N/A</v>
      </c>
      <c r="Q22" s="60" t="e">
        <f>VLOOKUP(A22,'DC Dist Allocations'!$A:$BC,51,0)</f>
        <v>#N/A</v>
      </c>
      <c r="T22" s="58" t="e">
        <f t="shared" si="1"/>
        <v>#N/A</v>
      </c>
      <c r="U22" s="58" t="e">
        <f t="shared" si="2"/>
        <v>#N/A</v>
      </c>
      <c r="V22" s="60" t="e">
        <f t="shared" si="3"/>
        <v>#N/A</v>
      </c>
      <c r="W22" s="60" t="e">
        <f t="shared" si="4"/>
        <v>#N/A</v>
      </c>
      <c r="X22" s="60" t="e">
        <f t="shared" si="5"/>
        <v>#N/A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/>
      </c>
      <c r="B23" s="58" t="e">
        <f>VLOOKUP($A23,'DC Dist Allocations'!$A:$X,2,0)</f>
        <v>#N/A</v>
      </c>
      <c r="C23" s="58" t="e">
        <f>VLOOKUP($A23,'DC Dist Allocations'!$A:$X,3,0)</f>
        <v>#N/A</v>
      </c>
      <c r="D23" s="58" t="e">
        <f>VLOOKUP($A23,'DC Dist Allocations'!$A:$X,5,0)</f>
        <v>#N/A</v>
      </c>
      <c r="E23" s="58" t="e">
        <f>VLOOKUP($A23,'DC Dist Allocations'!$A:$X,6,0)</f>
        <v>#N/A</v>
      </c>
      <c r="F23" s="61" t="e">
        <f>VLOOKUP($A23,'DC Dist Allocations'!$A:$X,7,0)</f>
        <v>#N/A</v>
      </c>
      <c r="G23" s="58" t="e">
        <f>VLOOKUP($A23,'DC Dist Allocations'!$A:$X,8,0)</f>
        <v>#N/A</v>
      </c>
      <c r="H23" s="58" t="e">
        <f>VLOOKUP($A23,'DC Dist Allocations'!$A:$X,9,0)</f>
        <v>#N/A</v>
      </c>
      <c r="I23" s="58" t="e">
        <f>VLOOKUP($A23,'DC Dist Allocations'!$A:$X,10,0)</f>
        <v>#N/A</v>
      </c>
      <c r="J23" s="58" t="e">
        <f>VLOOKUP($A23,'DC Dist Allocations'!$A:$X,11,0)</f>
        <v>#N/A</v>
      </c>
      <c r="K23" s="58" t="e">
        <f>VLOOKUP($A23,'DC Dist Allocations'!$A:$X,12,0)</f>
        <v>#N/A</v>
      </c>
      <c r="L23" s="58" t="e">
        <f>VLOOKUP($A23,'DC Dist Allocations'!$A:$X,13,0)</f>
        <v>#N/A</v>
      </c>
      <c r="M23" s="58" t="e">
        <f>VLOOKUP($A23,'DC Dist Allocations'!$A:$X,14,0)</f>
        <v>#N/A</v>
      </c>
      <c r="N23" s="58" t="e">
        <f>VLOOKUP($A23,'DC Dist Allocations'!$A:$X,15,0)</f>
        <v>#N/A</v>
      </c>
      <c r="O23" s="58">
        <f t="shared" si="0"/>
        <v>0</v>
      </c>
      <c r="P23" s="60" t="e">
        <f>VLOOKUP(A23,'DC Dist Allocations'!$A:$BC,50,0)</f>
        <v>#N/A</v>
      </c>
      <c r="Q23" s="60" t="e">
        <f>VLOOKUP(A23,'DC Dist Allocations'!$A:$BC,51,0)</f>
        <v>#N/A</v>
      </c>
      <c r="T23" s="58" t="e">
        <f t="shared" si="1"/>
        <v>#N/A</v>
      </c>
      <c r="U23" s="58" t="e">
        <f t="shared" si="2"/>
        <v>#N/A</v>
      </c>
      <c r="V23" s="60" t="e">
        <f t="shared" si="3"/>
        <v>#N/A</v>
      </c>
      <c r="W23" s="60" t="e">
        <f t="shared" si="4"/>
        <v>#N/A</v>
      </c>
      <c r="X23" s="60" t="e">
        <f t="shared" si="5"/>
        <v>#N/A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/>
      </c>
      <c r="B24" s="58" t="e">
        <f>VLOOKUP($A24,'DC Dist Allocations'!$A:$X,2,0)</f>
        <v>#N/A</v>
      </c>
      <c r="C24" s="58" t="e">
        <f>VLOOKUP($A24,'DC Dist Allocations'!$A:$X,3,0)</f>
        <v>#N/A</v>
      </c>
      <c r="D24" s="58" t="e">
        <f>VLOOKUP($A24,'DC Dist Allocations'!$A:$X,5,0)</f>
        <v>#N/A</v>
      </c>
      <c r="E24" s="58" t="e">
        <f>VLOOKUP($A24,'DC Dist Allocations'!$A:$X,6,0)</f>
        <v>#N/A</v>
      </c>
      <c r="F24" s="61" t="e">
        <f>VLOOKUP($A24,'DC Dist Allocations'!$A:$X,7,0)</f>
        <v>#N/A</v>
      </c>
      <c r="G24" s="58" t="e">
        <f>VLOOKUP($A24,'DC Dist Allocations'!$A:$X,8,0)</f>
        <v>#N/A</v>
      </c>
      <c r="H24" s="58" t="e">
        <f>VLOOKUP($A24,'DC Dist Allocations'!$A:$X,9,0)</f>
        <v>#N/A</v>
      </c>
      <c r="I24" s="58" t="e">
        <f>VLOOKUP($A24,'DC Dist Allocations'!$A:$X,10,0)</f>
        <v>#N/A</v>
      </c>
      <c r="J24" s="58" t="e">
        <f>VLOOKUP($A24,'DC Dist Allocations'!$A:$X,11,0)</f>
        <v>#N/A</v>
      </c>
      <c r="K24" s="58" t="e">
        <f>VLOOKUP($A24,'DC Dist Allocations'!$A:$X,12,0)</f>
        <v>#N/A</v>
      </c>
      <c r="L24" s="58" t="e">
        <f>VLOOKUP($A24,'DC Dist Allocations'!$A:$X,13,0)</f>
        <v>#N/A</v>
      </c>
      <c r="M24" s="58" t="e">
        <f>VLOOKUP($A24,'DC Dist Allocations'!$A:$X,14,0)</f>
        <v>#N/A</v>
      </c>
      <c r="N24" s="58" t="e">
        <f>VLOOKUP($A24,'DC Dist Allocations'!$A:$X,15,0)</f>
        <v>#N/A</v>
      </c>
      <c r="O24" s="58">
        <f t="shared" si="0"/>
        <v>0</v>
      </c>
      <c r="P24" s="60" t="e">
        <f>VLOOKUP(A24,'DC Dist Allocations'!$A:$BC,50,0)</f>
        <v>#N/A</v>
      </c>
      <c r="Q24" s="60" t="e">
        <f>VLOOKUP(A24,'DC Dist Allocations'!$A:$BC,51,0)</f>
        <v>#N/A</v>
      </c>
      <c r="T24" s="58" t="e">
        <f t="shared" si="1"/>
        <v>#N/A</v>
      </c>
      <c r="U24" s="58" t="e">
        <f t="shared" si="2"/>
        <v>#N/A</v>
      </c>
      <c r="V24" s="60" t="e">
        <f t="shared" si="3"/>
        <v>#N/A</v>
      </c>
      <c r="W24" s="60" t="e">
        <f t="shared" si="4"/>
        <v>#N/A</v>
      </c>
      <c r="X24" s="60" t="e">
        <f t="shared" si="5"/>
        <v>#N/A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/>
      </c>
      <c r="B25" s="58" t="e">
        <f>VLOOKUP($A25,'DC Dist Allocations'!$A:$X,2,0)</f>
        <v>#N/A</v>
      </c>
      <c r="C25" s="58" t="e">
        <f>VLOOKUP($A25,'DC Dist Allocations'!$A:$X,3,0)</f>
        <v>#N/A</v>
      </c>
      <c r="D25" s="58" t="e">
        <f>VLOOKUP($A25,'DC Dist Allocations'!$A:$X,5,0)</f>
        <v>#N/A</v>
      </c>
      <c r="E25" s="58" t="e">
        <f>VLOOKUP($A25,'DC Dist Allocations'!$A:$X,6,0)</f>
        <v>#N/A</v>
      </c>
      <c r="F25" s="61" t="e">
        <f>VLOOKUP($A25,'DC Dist Allocations'!$A:$X,7,0)</f>
        <v>#N/A</v>
      </c>
      <c r="G25" s="58" t="e">
        <f>VLOOKUP($A25,'DC Dist Allocations'!$A:$X,8,0)</f>
        <v>#N/A</v>
      </c>
      <c r="H25" s="58" t="e">
        <f>VLOOKUP($A25,'DC Dist Allocations'!$A:$X,9,0)</f>
        <v>#N/A</v>
      </c>
      <c r="I25" s="58" t="e">
        <f>VLOOKUP($A25,'DC Dist Allocations'!$A:$X,10,0)</f>
        <v>#N/A</v>
      </c>
      <c r="J25" s="58" t="e">
        <f>VLOOKUP($A25,'DC Dist Allocations'!$A:$X,11,0)</f>
        <v>#N/A</v>
      </c>
      <c r="K25" s="58" t="e">
        <f>VLOOKUP($A25,'DC Dist Allocations'!$A:$X,12,0)</f>
        <v>#N/A</v>
      </c>
      <c r="L25" s="58" t="e">
        <f>VLOOKUP($A25,'DC Dist Allocations'!$A:$X,13,0)</f>
        <v>#N/A</v>
      </c>
      <c r="M25" s="58" t="e">
        <f>VLOOKUP($A25,'DC Dist Allocations'!$A:$X,14,0)</f>
        <v>#N/A</v>
      </c>
      <c r="N25" s="58" t="e">
        <f>VLOOKUP($A25,'DC Dist Allocations'!$A:$X,15,0)</f>
        <v>#N/A</v>
      </c>
      <c r="O25" s="58">
        <f t="shared" si="0"/>
        <v>0</v>
      </c>
      <c r="P25" s="60" t="e">
        <f>VLOOKUP(A25,'DC Dist Allocations'!$A:$BC,50,0)</f>
        <v>#N/A</v>
      </c>
      <c r="Q25" s="60" t="e">
        <f>VLOOKUP(A25,'DC Dist Allocations'!$A:$BC,51,0)</f>
        <v>#N/A</v>
      </c>
      <c r="T25" s="58" t="e">
        <f t="shared" si="1"/>
        <v>#N/A</v>
      </c>
      <c r="U25" s="58" t="e">
        <f t="shared" si="2"/>
        <v>#N/A</v>
      </c>
      <c r="V25" s="60" t="e">
        <f t="shared" si="3"/>
        <v>#N/A</v>
      </c>
      <c r="W25" s="60" t="e">
        <f t="shared" si="4"/>
        <v>#N/A</v>
      </c>
      <c r="X25" s="60" t="e">
        <f t="shared" si="5"/>
        <v>#N/A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/>
      </c>
      <c r="B26" s="58" t="e">
        <f>VLOOKUP($A26,'DC Dist Allocations'!$A:$X,2,0)</f>
        <v>#N/A</v>
      </c>
      <c r="C26" s="58" t="e">
        <f>VLOOKUP($A26,'DC Dist Allocations'!$A:$X,3,0)</f>
        <v>#N/A</v>
      </c>
      <c r="D26" s="58" t="e">
        <f>VLOOKUP($A26,'DC Dist Allocations'!$A:$X,5,0)</f>
        <v>#N/A</v>
      </c>
      <c r="E26" s="58" t="e">
        <f>VLOOKUP($A26,'DC Dist Allocations'!$A:$X,6,0)</f>
        <v>#N/A</v>
      </c>
      <c r="F26" s="61" t="e">
        <f>VLOOKUP($A26,'DC Dist Allocations'!$A:$X,7,0)</f>
        <v>#N/A</v>
      </c>
      <c r="G26" s="58" t="e">
        <f>VLOOKUP($A26,'DC Dist Allocations'!$A:$X,8,0)</f>
        <v>#N/A</v>
      </c>
      <c r="H26" s="58" t="e">
        <f>VLOOKUP($A26,'DC Dist Allocations'!$A:$X,9,0)</f>
        <v>#N/A</v>
      </c>
      <c r="I26" s="58" t="e">
        <f>VLOOKUP($A26,'DC Dist Allocations'!$A:$X,10,0)</f>
        <v>#N/A</v>
      </c>
      <c r="J26" s="58" t="e">
        <f>VLOOKUP($A26,'DC Dist Allocations'!$A:$X,11,0)</f>
        <v>#N/A</v>
      </c>
      <c r="K26" s="58" t="e">
        <f>VLOOKUP($A26,'DC Dist Allocations'!$A:$X,12,0)</f>
        <v>#N/A</v>
      </c>
      <c r="L26" s="58" t="e">
        <f>VLOOKUP($A26,'DC Dist Allocations'!$A:$X,13,0)</f>
        <v>#N/A</v>
      </c>
      <c r="M26" s="58" t="e">
        <f>VLOOKUP($A26,'DC Dist Allocations'!$A:$X,14,0)</f>
        <v>#N/A</v>
      </c>
      <c r="N26" s="58" t="e">
        <f>VLOOKUP($A26,'DC Dist Allocations'!$A:$X,15,0)</f>
        <v>#N/A</v>
      </c>
      <c r="O26" s="58">
        <f t="shared" si="0"/>
        <v>0</v>
      </c>
      <c r="P26" s="60" t="e">
        <f>VLOOKUP(A26,'DC Dist Allocations'!$A:$BC,50,0)</f>
        <v>#N/A</v>
      </c>
      <c r="Q26" s="60" t="e">
        <f>VLOOKUP(A26,'DC Dist Allocations'!$A:$BC,51,0)</f>
        <v>#N/A</v>
      </c>
      <c r="T26" s="58" t="e">
        <f t="shared" si="1"/>
        <v>#N/A</v>
      </c>
      <c r="U26" s="58" t="e">
        <f t="shared" si="2"/>
        <v>#N/A</v>
      </c>
      <c r="V26" s="60" t="e">
        <f t="shared" si="3"/>
        <v>#N/A</v>
      </c>
      <c r="W26" s="60" t="e">
        <f t="shared" si="4"/>
        <v>#N/A</v>
      </c>
      <c r="X26" s="60" t="e">
        <f t="shared" si="5"/>
        <v>#N/A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IARCWTe8etaAUEYNJwWQjxHDonu+9nT0bl6bGUWFMkwfgymLk9W6TaosKTn0R9rikdG8OuluxzBs4MPn9D0wow==" saltValue="xBQNSGa7KFayfPycWTPVvQ==" spinCount="100000" sheet="1" objects="1" scenarios="1"/>
  <mergeCells count="10">
    <mergeCell ref="A12:A13"/>
    <mergeCell ref="B12:B13"/>
    <mergeCell ref="C12:C13"/>
    <mergeCell ref="D12:D13"/>
    <mergeCell ref="E12:E13"/>
    <mergeCell ref="P12:Q12"/>
    <mergeCell ref="F12:F13"/>
    <mergeCell ref="G12:G13"/>
    <mergeCell ref="H12:H13"/>
    <mergeCell ref="I12:N12"/>
  </mergeCells>
  <conditionalFormatting sqref="A14:A47">
    <cfRule type="expression" dxfId="171" priority="30">
      <formula>O14&gt;0</formula>
    </cfRule>
  </conditionalFormatting>
  <conditionalFormatting sqref="A6:I6 N6 P6:Q6">
    <cfRule type="expression" dxfId="170" priority="8">
      <formula>$O$6="Dual"</formula>
    </cfRule>
  </conditionalFormatting>
  <conditionalFormatting sqref="A8:I8 M8:Q9">
    <cfRule type="expression" dxfId="169" priority="2">
      <formula>$O$8="Dual"</formula>
    </cfRule>
  </conditionalFormatting>
  <conditionalFormatting sqref="A9:I9 M9:Q9">
    <cfRule type="expression" dxfId="168" priority="1">
      <formula>$O$9="Dual"</formula>
    </cfRule>
  </conditionalFormatting>
  <conditionalFormatting sqref="A6:L6 N6 P6:Q6">
    <cfRule type="expression" dxfId="167" priority="64">
      <formula>$P$6="Capped"</formula>
    </cfRule>
  </conditionalFormatting>
  <conditionalFormatting sqref="A8:Q8">
    <cfRule type="expression" dxfId="166" priority="58">
      <formula>$P$8="Capped"</formula>
    </cfRule>
  </conditionalFormatting>
  <conditionalFormatting sqref="A9:Q9">
    <cfRule type="expression" dxfId="165" priority="63">
      <formula>$P$9="Capped"</formula>
    </cfRule>
  </conditionalFormatting>
  <conditionalFormatting sqref="B2">
    <cfRule type="cellIs" dxfId="164" priority="22" operator="lessThan">
      <formula>0</formula>
    </cfRule>
    <cfRule type="cellIs" dxfId="163" priority="23" operator="between">
      <formula>21</formula>
      <formula>10000</formula>
    </cfRule>
    <cfRule type="cellIs" dxfId="162" priority="24" operator="between">
      <formula>11</formula>
      <formula>20</formula>
    </cfRule>
    <cfRule type="cellIs" dxfId="161" priority="25" operator="between">
      <formula>0</formula>
      <formula>10</formula>
    </cfRule>
  </conditionalFormatting>
  <conditionalFormatting sqref="B6:B9 D6:D9 F6:F9 H6:H9">
    <cfRule type="cellIs" dxfId="160" priority="209" operator="between">
      <formula>10</formula>
      <formula>24.99999999999</formula>
    </cfRule>
    <cfRule type="cellIs" dxfId="159" priority="211" operator="between">
      <formula>25</formula>
      <formula>100</formula>
    </cfRule>
    <cfRule type="cellIs" dxfId="158" priority="205" operator="lessThan">
      <formula>0</formula>
    </cfRule>
    <cfRule type="cellIs" dxfId="157" priority="207" operator="between">
      <formula>0</formula>
      <formula>9.999999999999</formula>
    </cfRule>
  </conditionalFormatting>
  <conditionalFormatting sqref="D14:D47">
    <cfRule type="cellIs" dxfId="156" priority="55" operator="between">
      <formula>W14</formula>
      <formula>V14-1</formula>
    </cfRule>
    <cfRule type="cellIs" dxfId="155" priority="56" operator="between">
      <formula>0</formula>
      <formula>X14-1</formula>
    </cfRule>
    <cfRule type="cellIs" dxfId="154" priority="54" operator="between">
      <formula>U14-1</formula>
      <formula>V14</formula>
    </cfRule>
  </conditionalFormatting>
  <conditionalFormatting sqref="D14:E47">
    <cfRule type="cellIs" dxfId="153" priority="52" operator="equal">
      <formula>"n/a"</formula>
    </cfRule>
    <cfRule type="cellIs" dxfId="152" priority="53" operator="greaterThan">
      <formula>T14</formula>
    </cfRule>
  </conditionalFormatting>
  <conditionalFormatting sqref="E14:E47">
    <cfRule type="cellIs" dxfId="151" priority="184" operator="between">
      <formula>U14</formula>
      <formula>V14</formula>
    </cfRule>
    <cfRule type="cellIs" dxfId="150" priority="185" operator="between">
      <formula>V14</formula>
      <formula>W14</formula>
    </cfRule>
    <cfRule type="cellIs" dxfId="149" priority="186" operator="lessThan">
      <formula>X14</formula>
    </cfRule>
  </conditionalFormatting>
  <conditionalFormatting sqref="F14:F47">
    <cfRule type="cellIs" dxfId="148" priority="31" operator="lessThan">
      <formula>TODAY()-365</formula>
    </cfRule>
  </conditionalFormatting>
  <conditionalFormatting sqref="J6:L9">
    <cfRule type="cellIs" dxfId="147" priority="66" operator="equal">
      <formula>"PX"</formula>
    </cfRule>
    <cfRule type="cellIs" dxfId="146" priority="67" operator="equal">
      <formula>0</formula>
    </cfRule>
    <cfRule type="cellIs" dxfId="145" priority="187" operator="equal">
      <formula>"RA"</formula>
    </cfRule>
    <cfRule type="cellIs" dxfId="144" priority="189" operator="equal">
      <formula>"P-Core"</formula>
    </cfRule>
  </conditionalFormatting>
  <conditionalFormatting sqref="M6 O6 A7:I7 M7:Q7">
    <cfRule type="expression" dxfId="143" priority="11">
      <formula>$O$7="Dual"</formula>
    </cfRule>
  </conditionalFormatting>
  <conditionalFormatting sqref="M6 O6 A7:Q7">
    <cfRule type="expression" dxfId="142" priority="65">
      <formula>$P$7="Capped"</formula>
    </cfRule>
  </conditionalFormatting>
  <conditionalFormatting sqref="O14:O47">
    <cfRule type="cellIs" dxfId="141" priority="26" operator="greaterThan">
      <formula>0</formula>
    </cfRule>
  </conditionalFormatting>
  <conditionalFormatting sqref="P14:P47">
    <cfRule type="cellIs" dxfId="140" priority="37" stopIfTrue="1" operator="equal">
      <formula>"n/a"</formula>
    </cfRule>
    <cfRule type="cellIs" dxfId="139" priority="40" stopIfTrue="1" operator="between">
      <formula>W14</formula>
      <formula>V14-0.5</formula>
    </cfRule>
    <cfRule type="cellIs" dxfId="138" priority="39" stopIfTrue="1" operator="between">
      <formula>U14-1</formula>
      <formula>V14</formula>
    </cfRule>
    <cfRule type="cellIs" dxfId="137" priority="38" stopIfTrue="1" operator="greaterThan">
      <formula>T14</formula>
    </cfRule>
    <cfRule type="cellIs" dxfId="136" priority="41" stopIfTrue="1" operator="lessThan">
      <formula>X14</formula>
    </cfRule>
  </conditionalFormatting>
  <conditionalFormatting sqref="Q14:Q47">
    <cfRule type="cellIs" dxfId="135" priority="32" operator="equal">
      <formula>"n/a"</formula>
    </cfRule>
    <cfRule type="cellIs" dxfId="134" priority="33" operator="greaterThan">
      <formula>U14</formula>
    </cfRule>
    <cfRule type="cellIs" dxfId="133" priority="34" operator="between">
      <formula>V14</formula>
      <formula>U14-1</formula>
    </cfRule>
    <cfRule type="cellIs" dxfId="132" priority="35" operator="between">
      <formula>W14</formula>
      <formula>V14-0.5</formula>
    </cfRule>
    <cfRule type="cellIs" dxfId="131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69"/>
  <sheetViews>
    <sheetView zoomScale="90" zoomScaleNormal="90" workbookViewId="0">
      <pane xSplit="8" ySplit="7" topLeftCell="I238" activePane="bottomRight" state="frozen"/>
      <selection pane="bottomRight" activeCell="N238" sqref="N238:N239"/>
      <selection pane="bottomLeft" activeCell="A76" sqref="A76:XFD76"/>
      <selection pane="topRight" activeCell="A76" sqref="A76:XFD76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9.28515625" style="2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9.28515625" style="2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9.28515625" style="2"/>
    <col min="34" max="34" width="9.28515625" style="21"/>
    <col min="35" max="35" width="9.28515625" style="2"/>
    <col min="36" max="36" width="9.28515625" style="21"/>
    <col min="37" max="37" width="9.28515625" style="2"/>
    <col min="38" max="38" width="9.28515625" style="21"/>
    <col min="39" max="39" width="9.28515625" style="2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44" t="s">
        <v>299</v>
      </c>
      <c r="E1" s="344"/>
      <c r="F1" s="344"/>
      <c r="G1" s="344"/>
      <c r="H1" s="344"/>
    </row>
    <row r="2" spans="1:48">
      <c r="A2" s="27" t="s">
        <v>3</v>
      </c>
      <c r="B2" s="47"/>
      <c r="C2" s="47"/>
      <c r="D2" s="327">
        <v>140</v>
      </c>
      <c r="E2" s="281" t="s">
        <v>300</v>
      </c>
      <c r="F2" s="281"/>
      <c r="G2" s="283">
        <f>SUM(D2*54.5)/1000</f>
        <v>7.63</v>
      </c>
      <c r="H2" s="282" t="s">
        <v>301</v>
      </c>
      <c r="I2" s="278" t="s">
        <v>302</v>
      </c>
      <c r="J2" s="342" t="s">
        <v>303</v>
      </c>
      <c r="K2" s="343"/>
      <c r="L2" s="343"/>
    </row>
    <row r="3" spans="1:48">
      <c r="A3" s="28" t="s">
        <v>4</v>
      </c>
      <c r="B3" s="46"/>
      <c r="C3" s="46"/>
      <c r="D3" s="46"/>
      <c r="E3" s="46"/>
      <c r="F3" s="46"/>
      <c r="I3" s="97" t="s">
        <v>304</v>
      </c>
      <c r="J3" s="285" t="s">
        <v>305</v>
      </c>
      <c r="K3" s="279"/>
      <c r="L3" s="285"/>
      <c r="M3" s="279"/>
      <c r="N3" s="285"/>
      <c r="O3" s="277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306</v>
      </c>
      <c r="G7" s="284" t="s">
        <v>22</v>
      </c>
      <c r="H7" s="11" t="s">
        <v>307</v>
      </c>
      <c r="I7" s="13" t="s">
        <v>308</v>
      </c>
      <c r="J7" s="286" t="s">
        <v>309</v>
      </c>
      <c r="K7" s="13" t="s">
        <v>308</v>
      </c>
      <c r="L7" s="286" t="s">
        <v>309</v>
      </c>
      <c r="M7" s="13" t="s">
        <v>308</v>
      </c>
      <c r="N7" s="286" t="s">
        <v>309</v>
      </c>
      <c r="O7" s="13" t="s">
        <v>308</v>
      </c>
      <c r="P7" s="286" t="s">
        <v>309</v>
      </c>
      <c r="Q7" s="13" t="s">
        <v>308</v>
      </c>
      <c r="R7" s="286" t="s">
        <v>309</v>
      </c>
      <c r="S7" s="13" t="s">
        <v>308</v>
      </c>
      <c r="T7" s="286" t="s">
        <v>309</v>
      </c>
      <c r="U7" s="13" t="s">
        <v>308</v>
      </c>
      <c r="V7" s="286" t="s">
        <v>309</v>
      </c>
      <c r="W7" s="13" t="s">
        <v>308</v>
      </c>
      <c r="X7" s="286" t="s">
        <v>309</v>
      </c>
      <c r="Y7" s="13" t="s">
        <v>308</v>
      </c>
      <c r="Z7" s="286" t="s">
        <v>309</v>
      </c>
      <c r="AA7" s="13" t="s">
        <v>308</v>
      </c>
      <c r="AB7" s="286" t="s">
        <v>309</v>
      </c>
      <c r="AC7" s="13" t="s">
        <v>308</v>
      </c>
      <c r="AD7" s="286" t="s">
        <v>309</v>
      </c>
      <c r="AE7" s="13" t="s">
        <v>308</v>
      </c>
      <c r="AF7" s="286" t="s">
        <v>309</v>
      </c>
      <c r="AG7" s="13" t="s">
        <v>308</v>
      </c>
      <c r="AH7" s="286" t="s">
        <v>309</v>
      </c>
      <c r="AI7" s="13" t="s">
        <v>308</v>
      </c>
      <c r="AJ7" s="286" t="s">
        <v>309</v>
      </c>
      <c r="AK7" s="13" t="s">
        <v>308</v>
      </c>
      <c r="AL7" s="286" t="s">
        <v>309</v>
      </c>
      <c r="AM7" s="13" t="s">
        <v>308</v>
      </c>
      <c r="AN7" s="286" t="s">
        <v>309</v>
      </c>
      <c r="AO7" s="13" t="s">
        <v>308</v>
      </c>
      <c r="AP7" s="286" t="s">
        <v>309</v>
      </c>
      <c r="AQ7" s="13" t="s">
        <v>308</v>
      </c>
      <c r="AR7" s="286" t="s">
        <v>309</v>
      </c>
      <c r="AS7" s="13" t="s">
        <v>308</v>
      </c>
      <c r="AT7" s="286" t="s">
        <v>309</v>
      </c>
      <c r="AU7" s="13" t="s">
        <v>308</v>
      </c>
      <c r="AV7" s="49" t="s">
        <v>310</v>
      </c>
    </row>
    <row r="8" spans="1:48">
      <c r="A8" s="35" t="s">
        <v>24</v>
      </c>
      <c r="B8" s="97"/>
      <c r="C8" s="4"/>
      <c r="D8" s="4"/>
      <c r="E8" s="4"/>
      <c r="F8" s="4"/>
      <c r="G8" s="257">
        <f t="shared" ref="G8:G71" si="0">SUM(J8,L8,N8,P8,R8,T8,V8,X8,Z8,AB8,AD8,AF8,AH8,AJ8,AL8,AN8,AP8,AR8,AT8,AV8)</f>
        <v>0</v>
      </c>
      <c r="H8" s="140">
        <f>SUM(G8*1000)/54.5</f>
        <v>0</v>
      </c>
      <c r="I8" s="82"/>
      <c r="J8" s="287"/>
      <c r="K8" s="82"/>
      <c r="L8" s="287"/>
      <c r="M8" s="82"/>
      <c r="N8" s="287"/>
      <c r="O8" s="82"/>
      <c r="P8" s="287"/>
      <c r="Q8" s="82"/>
      <c r="R8" s="287"/>
      <c r="S8" s="82"/>
      <c r="T8" s="287"/>
      <c r="U8" s="82"/>
      <c r="V8" s="287"/>
      <c r="W8" s="82"/>
      <c r="X8" s="287"/>
      <c r="Y8" s="82"/>
      <c r="Z8" s="287"/>
      <c r="AA8" s="82"/>
      <c r="AB8" s="287"/>
      <c r="AC8" s="82"/>
      <c r="AD8" s="287"/>
      <c r="AE8" s="82"/>
      <c r="AF8" s="287"/>
      <c r="AG8" s="82"/>
      <c r="AH8" s="287"/>
      <c r="AI8" s="82"/>
      <c r="AJ8" s="287"/>
      <c r="AK8" s="82"/>
      <c r="AL8" s="287"/>
      <c r="AM8" s="82"/>
      <c r="AN8" s="287"/>
      <c r="AO8" s="82"/>
      <c r="AP8" s="287"/>
      <c r="AQ8" s="82"/>
      <c r="AR8" s="287"/>
      <c r="AS8" s="82"/>
      <c r="AT8" s="287"/>
      <c r="AU8" s="82"/>
      <c r="AV8" s="50">
        <f>IFERROR(VLOOKUP(A8,'Site check'!A:Q,14,0),0)</f>
        <v>0</v>
      </c>
    </row>
    <row r="9" spans="1:48">
      <c r="A9" s="35" t="s">
        <v>25</v>
      </c>
      <c r="B9" s="97"/>
      <c r="C9" s="4"/>
      <c r="D9" s="4"/>
      <c r="E9" s="4"/>
      <c r="F9" s="4"/>
      <c r="G9" s="257">
        <f t="shared" si="0"/>
        <v>6.5</v>
      </c>
      <c r="H9" s="140">
        <f t="shared" ref="H9:H73" si="1">SUM(G9*1000)/54.5</f>
        <v>119.26605504587155</v>
      </c>
      <c r="I9" s="82" t="s">
        <v>311</v>
      </c>
      <c r="J9" s="287">
        <v>0.5</v>
      </c>
      <c r="K9" s="88" t="s">
        <v>312</v>
      </c>
      <c r="L9" s="289">
        <v>2</v>
      </c>
      <c r="M9" s="88" t="s">
        <v>313</v>
      </c>
      <c r="N9" s="289">
        <v>2</v>
      </c>
      <c r="O9" s="88" t="s">
        <v>314</v>
      </c>
      <c r="P9" s="287">
        <v>2</v>
      </c>
      <c r="Q9" s="82"/>
      <c r="R9" s="287"/>
      <c r="S9" s="82"/>
      <c r="T9" s="287"/>
      <c r="U9" s="82"/>
      <c r="V9" s="287"/>
      <c r="W9" s="82"/>
      <c r="X9" s="287"/>
      <c r="Y9" s="82"/>
      <c r="Z9" s="287"/>
      <c r="AA9" s="82"/>
      <c r="AB9" s="287"/>
      <c r="AC9" s="82"/>
      <c r="AD9" s="287"/>
      <c r="AE9" s="82"/>
      <c r="AF9" s="287"/>
      <c r="AG9" s="82"/>
      <c r="AH9" s="287"/>
      <c r="AI9" s="82"/>
      <c r="AJ9" s="287"/>
      <c r="AK9" s="82"/>
      <c r="AL9" s="287"/>
      <c r="AM9" s="82"/>
      <c r="AN9" s="287"/>
      <c r="AO9" s="82"/>
      <c r="AP9" s="287"/>
      <c r="AQ9" s="82"/>
      <c r="AR9" s="287"/>
      <c r="AS9" s="82"/>
      <c r="AT9" s="287"/>
      <c r="AU9" s="82"/>
      <c r="AV9" s="50">
        <f>IFERROR(VLOOKUP(A9,'Site check'!A:Q,14,0),0)</f>
        <v>0</v>
      </c>
    </row>
    <row r="10" spans="1:48">
      <c r="A10" s="35" t="s">
        <v>26</v>
      </c>
      <c r="B10" s="97"/>
      <c r="C10" s="4"/>
      <c r="D10" s="4"/>
      <c r="E10" s="4"/>
      <c r="F10" s="4"/>
      <c r="G10" s="257">
        <f t="shared" si="0"/>
        <v>2</v>
      </c>
      <c r="H10" s="140">
        <f t="shared" si="1"/>
        <v>36.697247706422019</v>
      </c>
      <c r="I10" s="88" t="s">
        <v>315</v>
      </c>
      <c r="J10" s="288">
        <v>1</v>
      </c>
      <c r="K10" s="88" t="s">
        <v>316</v>
      </c>
      <c r="L10" s="289">
        <v>1</v>
      </c>
      <c r="M10" s="88"/>
      <c r="N10" s="289"/>
      <c r="O10" s="88"/>
      <c r="P10" s="287"/>
      <c r="Q10" s="82"/>
      <c r="R10" s="287"/>
      <c r="S10" s="82"/>
      <c r="T10" s="287"/>
      <c r="U10" s="82"/>
      <c r="V10" s="287"/>
      <c r="W10" s="82"/>
      <c r="X10" s="287"/>
      <c r="Y10" s="82"/>
      <c r="Z10" s="287"/>
      <c r="AA10" s="82"/>
      <c r="AB10" s="287"/>
      <c r="AC10" s="82"/>
      <c r="AD10" s="287"/>
      <c r="AE10" s="82"/>
      <c r="AF10" s="287"/>
      <c r="AG10" s="82"/>
      <c r="AH10" s="287"/>
      <c r="AI10" s="82"/>
      <c r="AJ10" s="287"/>
      <c r="AK10" s="82"/>
      <c r="AL10" s="287"/>
      <c r="AM10" s="82"/>
      <c r="AN10" s="287"/>
      <c r="AO10" s="82"/>
      <c r="AP10" s="287"/>
      <c r="AQ10" s="82"/>
      <c r="AR10" s="287"/>
      <c r="AS10" s="82"/>
      <c r="AT10" s="287"/>
      <c r="AU10" s="82"/>
      <c r="AV10" s="50">
        <f>IFERROR(VLOOKUP(A10,'Site check'!A:Q,14,0),0)</f>
        <v>0</v>
      </c>
    </row>
    <row r="11" spans="1:48">
      <c r="A11" s="35" t="s">
        <v>27</v>
      </c>
      <c r="B11" s="97"/>
      <c r="C11" s="4"/>
      <c r="D11" s="4"/>
      <c r="E11" s="4"/>
      <c r="F11" s="4"/>
      <c r="G11" s="257">
        <f t="shared" si="0"/>
        <v>5</v>
      </c>
      <c r="H11" s="140">
        <f t="shared" si="1"/>
        <v>91.743119266055047</v>
      </c>
      <c r="I11" s="82" t="s">
        <v>317</v>
      </c>
      <c r="J11" s="287">
        <v>4</v>
      </c>
      <c r="K11" s="88" t="s">
        <v>318</v>
      </c>
      <c r="L11" s="289">
        <v>1</v>
      </c>
      <c r="M11" s="88"/>
      <c r="N11" s="289"/>
      <c r="O11" s="88"/>
      <c r="P11" s="287"/>
      <c r="Q11" s="82"/>
      <c r="R11" s="287"/>
      <c r="S11" s="82"/>
      <c r="T11" s="287"/>
      <c r="U11" s="82"/>
      <c r="V11" s="287"/>
      <c r="W11" s="82"/>
      <c r="X11" s="287"/>
      <c r="Y11" s="82"/>
      <c r="Z11" s="287"/>
      <c r="AA11" s="82"/>
      <c r="AB11" s="287"/>
      <c r="AC11" s="82"/>
      <c r="AD11" s="287"/>
      <c r="AE11" s="82"/>
      <c r="AF11" s="287"/>
      <c r="AG11" s="82"/>
      <c r="AH11" s="287"/>
      <c r="AI11" s="82"/>
      <c r="AJ11" s="287"/>
      <c r="AK11" s="82"/>
      <c r="AL11" s="287"/>
      <c r="AM11" s="82"/>
      <c r="AN11" s="287"/>
      <c r="AO11" s="82"/>
      <c r="AP11" s="287"/>
      <c r="AQ11" s="82"/>
      <c r="AR11" s="287"/>
      <c r="AS11" s="82"/>
      <c r="AT11" s="287"/>
      <c r="AU11" s="82"/>
      <c r="AV11" s="50">
        <f>IFERROR(VLOOKUP(A11,'Site check'!A:Q,14,0),0)</f>
        <v>0</v>
      </c>
    </row>
    <row r="12" spans="1:48">
      <c r="A12" s="35" t="s">
        <v>28</v>
      </c>
      <c r="B12" s="97"/>
      <c r="C12" s="30" t="s">
        <v>18</v>
      </c>
      <c r="D12" s="4"/>
      <c r="E12" s="4"/>
      <c r="F12" s="30" t="s">
        <v>319</v>
      </c>
      <c r="G12" s="257">
        <f t="shared" si="0"/>
        <v>13.5</v>
      </c>
      <c r="H12" s="140">
        <f t="shared" si="1"/>
        <v>247.70642201834863</v>
      </c>
      <c r="I12" s="82" t="s">
        <v>320</v>
      </c>
      <c r="J12" s="287">
        <v>2.6</v>
      </c>
      <c r="K12" s="82" t="s">
        <v>321</v>
      </c>
      <c r="L12" s="287">
        <v>5.4</v>
      </c>
      <c r="M12" s="88" t="s">
        <v>322</v>
      </c>
      <c r="N12" s="289">
        <v>1.6</v>
      </c>
      <c r="O12" s="88" t="s">
        <v>323</v>
      </c>
      <c r="P12" s="289">
        <v>1.9</v>
      </c>
      <c r="Q12" s="104" t="s">
        <v>324</v>
      </c>
      <c r="R12" s="297">
        <v>1</v>
      </c>
      <c r="S12" s="84" t="s">
        <v>325</v>
      </c>
      <c r="T12" s="292">
        <v>1</v>
      </c>
      <c r="U12" s="82"/>
      <c r="V12" s="287"/>
      <c r="W12" s="82"/>
      <c r="X12" s="287"/>
      <c r="Y12" s="82"/>
      <c r="Z12" s="287"/>
      <c r="AA12" s="82"/>
      <c r="AB12" s="287"/>
      <c r="AC12" s="82"/>
      <c r="AD12" s="287"/>
      <c r="AE12" s="82"/>
      <c r="AF12" s="287"/>
      <c r="AG12" s="82"/>
      <c r="AH12" s="287"/>
      <c r="AI12" s="82"/>
      <c r="AJ12" s="287"/>
      <c r="AK12" s="82"/>
      <c r="AL12" s="287"/>
      <c r="AM12" s="82"/>
      <c r="AN12" s="287"/>
      <c r="AO12" s="82"/>
      <c r="AP12" s="287"/>
      <c r="AQ12" s="82"/>
      <c r="AR12" s="287"/>
      <c r="AS12" s="82"/>
      <c r="AT12" s="287"/>
      <c r="AU12" s="82"/>
      <c r="AV12" s="50">
        <f>IFERROR(VLOOKUP(A12,'Site check'!A:Q,14,0),0)</f>
        <v>0</v>
      </c>
    </row>
    <row r="13" spans="1:48">
      <c r="A13" s="35" t="s">
        <v>29</v>
      </c>
      <c r="B13" s="97"/>
      <c r="C13" s="4"/>
      <c r="D13" s="4"/>
      <c r="E13" s="4"/>
      <c r="F13" s="4"/>
      <c r="G13" s="257">
        <f t="shared" si="0"/>
        <v>0</v>
      </c>
      <c r="H13" s="140">
        <f t="shared" si="1"/>
        <v>0</v>
      </c>
      <c r="I13" s="82"/>
      <c r="J13" s="287"/>
      <c r="K13" s="82"/>
      <c r="L13" s="287"/>
      <c r="M13" s="82"/>
      <c r="N13" s="287"/>
      <c r="O13" s="82"/>
      <c r="P13" s="287"/>
      <c r="Q13" s="82"/>
      <c r="R13" s="287"/>
      <c r="S13" s="82"/>
      <c r="T13" s="287"/>
      <c r="U13" s="82"/>
      <c r="V13" s="287"/>
      <c r="W13" s="82"/>
      <c r="X13" s="287"/>
      <c r="Y13" s="82"/>
      <c r="Z13" s="287"/>
      <c r="AA13" s="82"/>
      <c r="AB13" s="287"/>
      <c r="AC13" s="82"/>
      <c r="AD13" s="287"/>
      <c r="AE13" s="82"/>
      <c r="AF13" s="287"/>
      <c r="AG13" s="82"/>
      <c r="AH13" s="287"/>
      <c r="AI13" s="82"/>
      <c r="AJ13" s="287"/>
      <c r="AK13" s="82"/>
      <c r="AL13" s="287"/>
      <c r="AM13" s="82"/>
      <c r="AN13" s="287"/>
      <c r="AO13" s="82"/>
      <c r="AP13" s="287"/>
      <c r="AQ13" s="82"/>
      <c r="AR13" s="287"/>
      <c r="AS13" s="82"/>
      <c r="AT13" s="287"/>
      <c r="AU13" s="82"/>
      <c r="AV13" s="50">
        <f>IFERROR(VLOOKUP(A13,'Site check'!A:Q,14,0),0)</f>
        <v>0</v>
      </c>
    </row>
    <row r="14" spans="1:48">
      <c r="A14" s="35" t="s">
        <v>30</v>
      </c>
      <c r="B14" s="97"/>
      <c r="C14" s="4"/>
      <c r="D14" s="4"/>
      <c r="E14" s="4"/>
      <c r="F14" s="4"/>
      <c r="G14" s="257">
        <f t="shared" si="0"/>
        <v>0.5</v>
      </c>
      <c r="H14" s="140">
        <f t="shared" si="1"/>
        <v>9.1743119266055047</v>
      </c>
      <c r="I14" s="82" t="s">
        <v>326</v>
      </c>
      <c r="J14" s="287">
        <v>0.5</v>
      </c>
      <c r="K14" s="82"/>
      <c r="L14" s="287"/>
      <c r="M14" s="82"/>
      <c r="N14" s="287"/>
      <c r="O14" s="82"/>
      <c r="P14" s="287"/>
      <c r="Q14" s="82"/>
      <c r="R14" s="287"/>
      <c r="S14" s="82"/>
      <c r="T14" s="287"/>
      <c r="U14" s="82"/>
      <c r="V14" s="287"/>
      <c r="W14" s="82"/>
      <c r="X14" s="287"/>
      <c r="Y14" s="82"/>
      <c r="Z14" s="287"/>
      <c r="AA14" s="82"/>
      <c r="AB14" s="287"/>
      <c r="AC14" s="82"/>
      <c r="AD14" s="287"/>
      <c r="AE14" s="82"/>
      <c r="AF14" s="287"/>
      <c r="AG14" s="82"/>
      <c r="AH14" s="287"/>
      <c r="AI14" s="82"/>
      <c r="AJ14" s="287"/>
      <c r="AK14" s="82"/>
      <c r="AL14" s="287"/>
      <c r="AM14" s="82"/>
      <c r="AN14" s="287"/>
      <c r="AO14" s="82"/>
      <c r="AP14" s="287"/>
      <c r="AQ14" s="82"/>
      <c r="AR14" s="287"/>
      <c r="AS14" s="82"/>
      <c r="AT14" s="287"/>
      <c r="AU14" s="82"/>
      <c r="AV14" s="50">
        <f>IFERROR(VLOOKUP(A14,'Site check'!A:Q,14,0),0)</f>
        <v>0</v>
      </c>
    </row>
    <row r="15" spans="1:48">
      <c r="A15" s="35" t="s">
        <v>31</v>
      </c>
      <c r="B15" s="97"/>
      <c r="C15" s="4"/>
      <c r="D15" s="4"/>
      <c r="E15" s="4"/>
      <c r="F15" s="4"/>
      <c r="G15" s="257">
        <f t="shared" si="0"/>
        <v>0</v>
      </c>
      <c r="H15" s="140">
        <f t="shared" si="1"/>
        <v>0</v>
      </c>
      <c r="I15" s="82"/>
      <c r="J15" s="287"/>
      <c r="K15" s="82"/>
      <c r="L15" s="287"/>
      <c r="M15" s="82"/>
      <c r="N15" s="287"/>
      <c r="O15" s="82"/>
      <c r="P15" s="287"/>
      <c r="Q15" s="82"/>
      <c r="R15" s="287"/>
      <c r="S15" s="82"/>
      <c r="T15" s="287"/>
      <c r="U15" s="82"/>
      <c r="V15" s="287"/>
      <c r="W15" s="82"/>
      <c r="X15" s="287"/>
      <c r="Y15" s="82"/>
      <c r="Z15" s="287"/>
      <c r="AA15" s="82"/>
      <c r="AB15" s="287"/>
      <c r="AC15" s="82"/>
      <c r="AD15" s="287"/>
      <c r="AE15" s="82"/>
      <c r="AF15" s="287"/>
      <c r="AG15" s="82"/>
      <c r="AH15" s="287"/>
      <c r="AI15" s="82"/>
      <c r="AJ15" s="287"/>
      <c r="AK15" s="82"/>
      <c r="AL15" s="287"/>
      <c r="AM15" s="82"/>
      <c r="AN15" s="287"/>
      <c r="AO15" s="82"/>
      <c r="AP15" s="287"/>
      <c r="AQ15" s="82"/>
      <c r="AR15" s="287"/>
      <c r="AS15" s="82"/>
      <c r="AT15" s="287"/>
      <c r="AU15" s="82"/>
      <c r="AV15" s="50">
        <f>IFERROR(VLOOKUP(A15,'Site check'!A:Q,14,0),0)</f>
        <v>0</v>
      </c>
    </row>
    <row r="16" spans="1:48">
      <c r="A16" s="35" t="s">
        <v>32</v>
      </c>
      <c r="B16" s="97"/>
      <c r="C16" s="4"/>
      <c r="D16" s="4"/>
      <c r="E16" s="4"/>
      <c r="F16" s="4"/>
      <c r="G16" s="257">
        <f t="shared" si="0"/>
        <v>0</v>
      </c>
      <c r="H16" s="140">
        <f t="shared" si="1"/>
        <v>0</v>
      </c>
      <c r="I16" s="82"/>
      <c r="J16" s="287"/>
      <c r="K16" s="82"/>
      <c r="L16" s="287"/>
      <c r="M16" s="82"/>
      <c r="N16" s="287"/>
      <c r="O16" s="82"/>
      <c r="P16" s="287"/>
      <c r="Q16" s="82"/>
      <c r="R16" s="287"/>
      <c r="S16" s="82"/>
      <c r="T16" s="287"/>
      <c r="U16" s="82"/>
      <c r="V16" s="287"/>
      <c r="W16" s="82"/>
      <c r="X16" s="287"/>
      <c r="Y16" s="82"/>
      <c r="Z16" s="287"/>
      <c r="AA16" s="82"/>
      <c r="AB16" s="287"/>
      <c r="AC16" s="82"/>
      <c r="AD16" s="287"/>
      <c r="AE16" s="82"/>
      <c r="AF16" s="287"/>
      <c r="AG16" s="82"/>
      <c r="AH16" s="287"/>
      <c r="AI16" s="82"/>
      <c r="AJ16" s="287"/>
      <c r="AK16" s="82"/>
      <c r="AL16" s="287"/>
      <c r="AM16" s="82"/>
      <c r="AN16" s="287"/>
      <c r="AO16" s="82"/>
      <c r="AP16" s="287"/>
      <c r="AQ16" s="82"/>
      <c r="AR16" s="287"/>
      <c r="AS16" s="82"/>
      <c r="AT16" s="287"/>
      <c r="AU16" s="82"/>
      <c r="AV16" s="50">
        <f>IFERROR(VLOOKUP(A16,'Site check'!A:Q,14,0),0)</f>
        <v>0</v>
      </c>
    </row>
    <row r="17" spans="1:48">
      <c r="A17" s="35" t="s">
        <v>33</v>
      </c>
      <c r="B17" s="97"/>
      <c r="C17" s="30" t="s">
        <v>18</v>
      </c>
      <c r="D17" s="4"/>
      <c r="E17" s="4"/>
      <c r="F17" s="4"/>
      <c r="G17" s="257">
        <f t="shared" si="0"/>
        <v>6.9</v>
      </c>
      <c r="H17" s="140">
        <f t="shared" si="1"/>
        <v>126.60550458715596</v>
      </c>
      <c r="I17" s="82" t="s">
        <v>327</v>
      </c>
      <c r="J17" s="287">
        <v>2.4</v>
      </c>
      <c r="K17" s="82" t="s">
        <v>328</v>
      </c>
      <c r="L17" s="287">
        <v>0.5</v>
      </c>
      <c r="M17" s="88" t="s">
        <v>329</v>
      </c>
      <c r="N17" s="289">
        <v>2</v>
      </c>
      <c r="O17" s="88" t="s">
        <v>330</v>
      </c>
      <c r="P17" s="289">
        <v>1</v>
      </c>
      <c r="Q17" s="88" t="s">
        <v>331</v>
      </c>
      <c r="R17" s="289">
        <v>1</v>
      </c>
      <c r="S17" s="82"/>
      <c r="T17" s="287"/>
      <c r="U17" s="82"/>
      <c r="V17" s="287"/>
      <c r="W17" s="82"/>
      <c r="X17" s="287"/>
      <c r="Y17" s="82"/>
      <c r="Z17" s="287"/>
      <c r="AA17" s="82"/>
      <c r="AB17" s="287"/>
      <c r="AC17" s="82"/>
      <c r="AD17" s="287"/>
      <c r="AE17" s="82"/>
      <c r="AF17" s="287"/>
      <c r="AG17" s="82"/>
      <c r="AH17" s="287"/>
      <c r="AI17" s="82"/>
      <c r="AJ17" s="287"/>
      <c r="AK17" s="82"/>
      <c r="AL17" s="287"/>
      <c r="AM17" s="82"/>
      <c r="AN17" s="287"/>
      <c r="AO17" s="82"/>
      <c r="AP17" s="287"/>
      <c r="AQ17" s="82"/>
      <c r="AR17" s="287"/>
      <c r="AS17" s="82"/>
      <c r="AT17" s="287"/>
      <c r="AU17" s="82"/>
      <c r="AV17" s="50">
        <f>IFERROR(VLOOKUP(A17,'Site check'!A:Q,14,0),0)</f>
        <v>0</v>
      </c>
    </row>
    <row r="18" spans="1:48">
      <c r="A18" s="35" t="s">
        <v>34</v>
      </c>
      <c r="B18" s="97"/>
      <c r="C18" s="4"/>
      <c r="D18" s="4"/>
      <c r="E18" s="4"/>
      <c r="F18" s="4"/>
      <c r="G18" s="257">
        <f t="shared" si="0"/>
        <v>2</v>
      </c>
      <c r="H18" s="140">
        <f t="shared" si="1"/>
        <v>36.697247706422019</v>
      </c>
      <c r="I18" s="86" t="s">
        <v>332</v>
      </c>
      <c r="J18" s="288">
        <v>2</v>
      </c>
      <c r="K18" s="82"/>
      <c r="L18" s="287"/>
      <c r="M18" s="82"/>
      <c r="N18" s="287"/>
      <c r="O18" s="82"/>
      <c r="P18" s="287"/>
      <c r="Q18" s="82"/>
      <c r="R18" s="287"/>
      <c r="S18" s="82"/>
      <c r="T18" s="287"/>
      <c r="U18" s="82"/>
      <c r="V18" s="287"/>
      <c r="W18" s="82"/>
      <c r="X18" s="287"/>
      <c r="Y18" s="82"/>
      <c r="Z18" s="287"/>
      <c r="AA18" s="82"/>
      <c r="AB18" s="287"/>
      <c r="AC18" s="82"/>
      <c r="AD18" s="287"/>
      <c r="AE18" s="82"/>
      <c r="AF18" s="287"/>
      <c r="AG18" s="82"/>
      <c r="AH18" s="287"/>
      <c r="AI18" s="82"/>
      <c r="AJ18" s="287"/>
      <c r="AK18" s="82"/>
      <c r="AL18" s="287"/>
      <c r="AM18" s="82"/>
      <c r="AN18" s="287"/>
      <c r="AO18" s="82"/>
      <c r="AP18" s="287"/>
      <c r="AQ18" s="82"/>
      <c r="AR18" s="287"/>
      <c r="AS18" s="82"/>
      <c r="AT18" s="287"/>
      <c r="AU18" s="82"/>
      <c r="AV18" s="50">
        <f>IFERROR(VLOOKUP(A18,'Site check'!A:Q,14,0),0)</f>
        <v>0</v>
      </c>
    </row>
    <row r="19" spans="1:48">
      <c r="A19" s="35" t="s">
        <v>35</v>
      </c>
      <c r="B19" s="97"/>
      <c r="C19" s="4"/>
      <c r="D19" s="4"/>
      <c r="E19" s="4"/>
      <c r="F19" s="4"/>
      <c r="G19" s="257">
        <f t="shared" si="0"/>
        <v>0</v>
      </c>
      <c r="H19" s="140">
        <f t="shared" si="1"/>
        <v>0</v>
      </c>
      <c r="I19" s="82"/>
      <c r="J19" s="287"/>
      <c r="K19" s="82"/>
      <c r="L19" s="287"/>
      <c r="M19" s="82"/>
      <c r="N19" s="287"/>
      <c r="O19" s="82"/>
      <c r="P19" s="287"/>
      <c r="Q19" s="82"/>
      <c r="R19" s="287"/>
      <c r="S19" s="82"/>
      <c r="T19" s="287"/>
      <c r="U19" s="82"/>
      <c r="V19" s="287"/>
      <c r="W19" s="82"/>
      <c r="X19" s="287"/>
      <c r="Y19" s="82"/>
      <c r="Z19" s="287"/>
      <c r="AA19" s="82"/>
      <c r="AB19" s="287"/>
      <c r="AC19" s="82"/>
      <c r="AD19" s="287"/>
      <c r="AE19" s="82"/>
      <c r="AF19" s="287"/>
      <c r="AG19" s="82"/>
      <c r="AH19" s="287"/>
      <c r="AI19" s="82"/>
      <c r="AJ19" s="287"/>
      <c r="AK19" s="82"/>
      <c r="AL19" s="287"/>
      <c r="AM19" s="82"/>
      <c r="AN19" s="287"/>
      <c r="AO19" s="82"/>
      <c r="AP19" s="287"/>
      <c r="AQ19" s="82"/>
      <c r="AR19" s="287"/>
      <c r="AS19" s="82"/>
      <c r="AT19" s="287"/>
      <c r="AU19" s="82"/>
      <c r="AV19" s="50">
        <f>IFERROR(VLOOKUP(A19,'Site check'!A:Q,14,0),0)</f>
        <v>0</v>
      </c>
    </row>
    <row r="20" spans="1:48">
      <c r="A20" s="35" t="s">
        <v>36</v>
      </c>
      <c r="B20" s="97"/>
      <c r="C20" s="4"/>
      <c r="D20" s="4"/>
      <c r="E20" s="4"/>
      <c r="F20" s="4"/>
      <c r="G20" s="257">
        <f t="shared" si="0"/>
        <v>5.5</v>
      </c>
      <c r="H20" s="140">
        <f t="shared" si="1"/>
        <v>100.91743119266054</v>
      </c>
      <c r="I20" s="88" t="s">
        <v>333</v>
      </c>
      <c r="J20" s="289">
        <v>2</v>
      </c>
      <c r="K20" s="86" t="s">
        <v>334</v>
      </c>
      <c r="L20" s="288">
        <v>2</v>
      </c>
      <c r="M20" s="303" t="s">
        <v>335</v>
      </c>
      <c r="N20" s="304">
        <v>1.5</v>
      </c>
      <c r="O20" s="82"/>
      <c r="P20" s="287"/>
      <c r="Q20" s="82"/>
      <c r="R20" s="287"/>
      <c r="S20" s="82"/>
      <c r="T20" s="287"/>
      <c r="U20" s="82"/>
      <c r="V20" s="287"/>
      <c r="W20" s="82"/>
      <c r="X20" s="287"/>
      <c r="Y20" s="82"/>
      <c r="Z20" s="287"/>
      <c r="AA20" s="82"/>
      <c r="AB20" s="287"/>
      <c r="AC20" s="82"/>
      <c r="AD20" s="287"/>
      <c r="AE20" s="82"/>
      <c r="AF20" s="287"/>
      <c r="AG20" s="82"/>
      <c r="AH20" s="287"/>
      <c r="AI20" s="82"/>
      <c r="AJ20" s="287"/>
      <c r="AK20" s="82"/>
      <c r="AL20" s="287"/>
      <c r="AM20" s="82"/>
      <c r="AN20" s="287"/>
      <c r="AO20" s="82"/>
      <c r="AP20" s="287"/>
      <c r="AQ20" s="82"/>
      <c r="AR20" s="287"/>
      <c r="AS20" s="82"/>
      <c r="AT20" s="287"/>
      <c r="AU20" s="82"/>
      <c r="AV20" s="50">
        <f>IFERROR(VLOOKUP(A20,'Site check'!A:Q,14,0),0)</f>
        <v>0</v>
      </c>
    </row>
    <row r="21" spans="1:48">
      <c r="A21" s="37" t="s">
        <v>37</v>
      </c>
      <c r="B21" s="24" t="s">
        <v>17</v>
      </c>
      <c r="C21" s="30" t="s">
        <v>18</v>
      </c>
      <c r="D21" s="30" t="s">
        <v>19</v>
      </c>
      <c r="E21" s="4"/>
      <c r="F21" s="30" t="s">
        <v>319</v>
      </c>
      <c r="G21" s="257">
        <f t="shared" si="0"/>
        <v>13.05</v>
      </c>
      <c r="H21" s="140">
        <f t="shared" si="1"/>
        <v>239.44954128440367</v>
      </c>
      <c r="I21" s="82" t="s">
        <v>336</v>
      </c>
      <c r="J21" s="287">
        <v>2</v>
      </c>
      <c r="K21" s="82" t="s">
        <v>337</v>
      </c>
      <c r="L21" s="287">
        <v>0.3</v>
      </c>
      <c r="M21" s="82" t="s">
        <v>338</v>
      </c>
      <c r="N21" s="287">
        <v>1.4</v>
      </c>
      <c r="O21" s="82" t="s">
        <v>339</v>
      </c>
      <c r="P21" s="287">
        <v>1.65</v>
      </c>
      <c r="Q21" s="82" t="s">
        <v>340</v>
      </c>
      <c r="R21" s="287">
        <v>1.25</v>
      </c>
      <c r="S21" s="82" t="s">
        <v>341</v>
      </c>
      <c r="T21" s="287">
        <v>1.75</v>
      </c>
      <c r="U21" s="88" t="s">
        <v>342</v>
      </c>
      <c r="V21" s="289">
        <v>1</v>
      </c>
      <c r="W21" s="88" t="s">
        <v>343</v>
      </c>
      <c r="X21" s="289">
        <v>2.2000000000000002</v>
      </c>
      <c r="Y21" s="86" t="s">
        <v>344</v>
      </c>
      <c r="Z21" s="288">
        <v>1.5</v>
      </c>
      <c r="AA21" s="82"/>
      <c r="AB21" s="287"/>
      <c r="AC21" s="82"/>
      <c r="AD21" s="287"/>
      <c r="AE21" s="82"/>
      <c r="AF21" s="287"/>
      <c r="AG21" s="82"/>
      <c r="AH21" s="287"/>
      <c r="AI21" s="82"/>
      <c r="AJ21" s="287"/>
      <c r="AK21" s="82"/>
      <c r="AL21" s="287"/>
      <c r="AM21" s="82"/>
      <c r="AN21" s="287"/>
      <c r="AO21" s="82"/>
      <c r="AP21" s="287"/>
      <c r="AQ21" s="82"/>
      <c r="AR21" s="287"/>
      <c r="AS21" s="82"/>
      <c r="AT21" s="287"/>
      <c r="AU21" s="82"/>
      <c r="AV21" s="50">
        <f>IFERROR(VLOOKUP(A21,'Site check'!A:Q,14,0),0)</f>
        <v>0</v>
      </c>
    </row>
    <row r="22" spans="1:48">
      <c r="A22" s="37" t="s">
        <v>38</v>
      </c>
      <c r="B22" s="4"/>
      <c r="C22" s="4"/>
      <c r="D22" s="4"/>
      <c r="E22" s="4"/>
      <c r="F22" s="4"/>
      <c r="G22" s="257">
        <f t="shared" si="0"/>
        <v>12.45</v>
      </c>
      <c r="H22" s="140">
        <f t="shared" si="1"/>
        <v>228.44036697247705</v>
      </c>
      <c r="I22" s="82" t="s">
        <v>336</v>
      </c>
      <c r="J22" s="287">
        <v>2</v>
      </c>
      <c r="K22" s="82" t="s">
        <v>337</v>
      </c>
      <c r="L22" s="287">
        <v>0.5</v>
      </c>
      <c r="M22" s="82" t="s">
        <v>338</v>
      </c>
      <c r="N22" s="287">
        <v>0.6</v>
      </c>
      <c r="O22" s="82" t="s">
        <v>339</v>
      </c>
      <c r="P22" s="287">
        <v>1.65</v>
      </c>
      <c r="Q22" s="82" t="s">
        <v>340</v>
      </c>
      <c r="R22" s="287">
        <v>1.1499999999999999</v>
      </c>
      <c r="S22" s="82" t="s">
        <v>341</v>
      </c>
      <c r="T22" s="287">
        <v>1.75</v>
      </c>
      <c r="U22" s="88" t="s">
        <v>342</v>
      </c>
      <c r="V22" s="289">
        <v>1</v>
      </c>
      <c r="W22" s="88" t="s">
        <v>343</v>
      </c>
      <c r="X22" s="289">
        <v>2.2999999999999998</v>
      </c>
      <c r="Y22" s="86" t="s">
        <v>345</v>
      </c>
      <c r="Z22" s="288">
        <v>1.5</v>
      </c>
      <c r="AA22" s="82"/>
      <c r="AB22" s="287"/>
      <c r="AC22" s="82"/>
      <c r="AD22" s="287"/>
      <c r="AE22" s="82"/>
      <c r="AF22" s="287"/>
      <c r="AG22" s="82"/>
      <c r="AH22" s="287"/>
      <c r="AI22" s="82"/>
      <c r="AJ22" s="287"/>
      <c r="AK22" s="82"/>
      <c r="AL22" s="287"/>
      <c r="AM22" s="82"/>
      <c r="AN22" s="287"/>
      <c r="AO22" s="82"/>
      <c r="AP22" s="287"/>
      <c r="AQ22" s="82"/>
      <c r="AR22" s="287"/>
      <c r="AS22" s="82"/>
      <c r="AT22" s="287"/>
      <c r="AU22" s="82"/>
      <c r="AV22" s="50">
        <f>IFERROR(VLOOKUP(A22,'Site check'!A:Q,14,0),0)</f>
        <v>0</v>
      </c>
    </row>
    <row r="23" spans="1:48">
      <c r="A23" s="35" t="s">
        <v>39</v>
      </c>
      <c r="B23" s="97"/>
      <c r="C23" s="4"/>
      <c r="D23" s="4"/>
      <c r="E23" s="4"/>
      <c r="F23" s="4"/>
      <c r="G23" s="257">
        <f t="shared" si="0"/>
        <v>0</v>
      </c>
      <c r="H23" s="140">
        <f t="shared" si="1"/>
        <v>0</v>
      </c>
      <c r="I23" s="82"/>
      <c r="J23" s="287"/>
      <c r="K23" s="82"/>
      <c r="L23" s="287"/>
      <c r="M23" s="82"/>
      <c r="N23" s="287"/>
      <c r="O23" s="82"/>
      <c r="P23" s="287"/>
      <c r="Q23" s="82"/>
      <c r="R23" s="287"/>
      <c r="S23" s="82"/>
      <c r="T23" s="287"/>
      <c r="U23" s="82"/>
      <c r="V23" s="287"/>
      <c r="W23" s="82"/>
      <c r="X23" s="287"/>
      <c r="Y23" s="82"/>
      <c r="Z23" s="287"/>
      <c r="AA23" s="82"/>
      <c r="AB23" s="287"/>
      <c r="AC23" s="82"/>
      <c r="AD23" s="287"/>
      <c r="AE23" s="82"/>
      <c r="AF23" s="287"/>
      <c r="AG23" s="82"/>
      <c r="AH23" s="287"/>
      <c r="AI23" s="82"/>
      <c r="AJ23" s="287"/>
      <c r="AK23" s="82"/>
      <c r="AL23" s="287"/>
      <c r="AM23" s="82"/>
      <c r="AN23" s="287"/>
      <c r="AO23" s="82"/>
      <c r="AP23" s="287"/>
      <c r="AQ23" s="82"/>
      <c r="AR23" s="287"/>
      <c r="AS23" s="82"/>
      <c r="AT23" s="287"/>
      <c r="AU23" s="82"/>
      <c r="AV23" s="50">
        <f>IFERROR(VLOOKUP(A23,'Site check'!A:Q,14,0),0)</f>
        <v>0</v>
      </c>
    </row>
    <row r="24" spans="1:48">
      <c r="A24" s="35" t="s">
        <v>40</v>
      </c>
      <c r="B24" s="97"/>
      <c r="C24" s="30" t="s">
        <v>18</v>
      </c>
      <c r="D24" s="4"/>
      <c r="E24" s="4"/>
      <c r="F24" s="4"/>
      <c r="G24" s="257">
        <f t="shared" si="0"/>
        <v>18.399999999999999</v>
      </c>
      <c r="H24" s="140">
        <f t="shared" si="1"/>
        <v>337.61467889908255</v>
      </c>
      <c r="I24" s="82" t="s">
        <v>346</v>
      </c>
      <c r="J24" s="287">
        <v>2.4</v>
      </c>
      <c r="K24" s="266" t="s">
        <v>347</v>
      </c>
      <c r="L24" s="289">
        <v>1</v>
      </c>
      <c r="M24" s="84" t="s">
        <v>348</v>
      </c>
      <c r="N24" s="292">
        <v>5</v>
      </c>
      <c r="O24" s="84" t="s">
        <v>349</v>
      </c>
      <c r="P24" s="292">
        <v>5</v>
      </c>
      <c r="Q24" s="84" t="s">
        <v>350</v>
      </c>
      <c r="R24" s="292">
        <v>5</v>
      </c>
      <c r="S24" s="82"/>
      <c r="T24" s="287"/>
      <c r="U24" s="82"/>
      <c r="V24" s="287"/>
      <c r="W24" s="82"/>
      <c r="X24" s="287"/>
      <c r="Y24" s="82"/>
      <c r="Z24" s="287"/>
      <c r="AA24" s="82"/>
      <c r="AB24" s="287"/>
      <c r="AC24" s="82"/>
      <c r="AD24" s="287"/>
      <c r="AE24" s="82"/>
      <c r="AF24" s="287"/>
      <c r="AG24" s="82"/>
      <c r="AH24" s="287"/>
      <c r="AI24" s="82"/>
      <c r="AJ24" s="287"/>
      <c r="AK24" s="82"/>
      <c r="AL24" s="287"/>
      <c r="AM24" s="82"/>
      <c r="AN24" s="287"/>
      <c r="AO24" s="82"/>
      <c r="AP24" s="287"/>
      <c r="AQ24" s="82"/>
      <c r="AR24" s="287"/>
      <c r="AS24" s="82"/>
      <c r="AT24" s="287"/>
      <c r="AU24" s="82"/>
      <c r="AV24" s="50">
        <f>IFERROR(VLOOKUP(A24,'Site check'!A:Q,14,0),0)</f>
        <v>0</v>
      </c>
    </row>
    <row r="25" spans="1:48">
      <c r="A25" s="35" t="s">
        <v>41</v>
      </c>
      <c r="B25" s="97"/>
      <c r="C25" s="30" t="s">
        <v>18</v>
      </c>
      <c r="D25" s="4"/>
      <c r="E25" s="4"/>
      <c r="F25" s="4"/>
      <c r="G25" s="257">
        <f t="shared" si="0"/>
        <v>14.2</v>
      </c>
      <c r="H25" s="140">
        <f t="shared" si="1"/>
        <v>260.55045871559633</v>
      </c>
      <c r="I25" s="82" t="s">
        <v>351</v>
      </c>
      <c r="J25" s="287">
        <v>1.7</v>
      </c>
      <c r="K25" s="82" t="s">
        <v>352</v>
      </c>
      <c r="L25" s="287">
        <v>2</v>
      </c>
      <c r="M25" s="82" t="s">
        <v>353</v>
      </c>
      <c r="N25" s="287">
        <v>1</v>
      </c>
      <c r="O25" s="88" t="s">
        <v>354</v>
      </c>
      <c r="P25" s="289">
        <v>1</v>
      </c>
      <c r="Q25" s="84" t="s">
        <v>355</v>
      </c>
      <c r="R25" s="292">
        <v>2.5</v>
      </c>
      <c r="S25" s="84" t="s">
        <v>356</v>
      </c>
      <c r="T25" s="292">
        <v>2.5</v>
      </c>
      <c r="U25" s="84" t="s">
        <v>357</v>
      </c>
      <c r="V25" s="292">
        <v>3.5</v>
      </c>
      <c r="W25" s="82"/>
      <c r="X25" s="287"/>
      <c r="Y25" s="82"/>
      <c r="Z25" s="287"/>
      <c r="AA25" s="82"/>
      <c r="AB25" s="287"/>
      <c r="AC25" s="82"/>
      <c r="AD25" s="287"/>
      <c r="AE25" s="82"/>
      <c r="AF25" s="287"/>
      <c r="AG25" s="82"/>
      <c r="AH25" s="287"/>
      <c r="AI25" s="82"/>
      <c r="AJ25" s="287"/>
      <c r="AK25" s="82"/>
      <c r="AL25" s="287"/>
      <c r="AM25" s="82"/>
      <c r="AN25" s="287"/>
      <c r="AO25" s="82"/>
      <c r="AP25" s="287"/>
      <c r="AQ25" s="82"/>
      <c r="AR25" s="287"/>
      <c r="AS25" s="82"/>
      <c r="AT25" s="287"/>
      <c r="AU25" s="82"/>
      <c r="AV25" s="50">
        <f>IFERROR(VLOOKUP(A25,'Site check'!A:Q,14,0),0)</f>
        <v>0</v>
      </c>
    </row>
    <row r="26" spans="1:48">
      <c r="A26" s="35" t="s">
        <v>42</v>
      </c>
      <c r="B26" s="24" t="s">
        <v>17</v>
      </c>
      <c r="C26" s="36"/>
      <c r="D26" s="4"/>
      <c r="E26" s="4"/>
      <c r="F26" s="4"/>
      <c r="G26" s="257">
        <f t="shared" si="0"/>
        <v>0</v>
      </c>
      <c r="H26" s="140">
        <f t="shared" si="1"/>
        <v>0</v>
      </c>
      <c r="I26" s="82"/>
      <c r="J26" s="287"/>
      <c r="K26" s="82"/>
      <c r="L26" s="287"/>
      <c r="M26" s="82"/>
      <c r="N26" s="287"/>
      <c r="O26" s="82"/>
      <c r="P26" s="287"/>
      <c r="Q26" s="82"/>
      <c r="R26" s="287"/>
      <c r="S26" s="82"/>
      <c r="T26" s="287"/>
      <c r="U26" s="82"/>
      <c r="V26" s="287"/>
      <c r="W26" s="82"/>
      <c r="X26" s="287"/>
      <c r="Y26" s="82"/>
      <c r="Z26" s="287"/>
      <c r="AA26" s="82"/>
      <c r="AB26" s="287"/>
      <c r="AC26" s="82"/>
      <c r="AD26" s="287"/>
      <c r="AE26" s="82"/>
      <c r="AF26" s="287"/>
      <c r="AG26" s="82"/>
      <c r="AH26" s="287"/>
      <c r="AI26" s="82"/>
      <c r="AJ26" s="287"/>
      <c r="AK26" s="82"/>
      <c r="AL26" s="287"/>
      <c r="AM26" s="82"/>
      <c r="AN26" s="287"/>
      <c r="AO26" s="82"/>
      <c r="AP26" s="287"/>
      <c r="AQ26" s="82"/>
      <c r="AR26" s="287"/>
      <c r="AS26" s="82"/>
      <c r="AT26" s="287"/>
      <c r="AU26" s="82"/>
      <c r="AV26" s="50">
        <f>IFERROR(VLOOKUP(A26,'Site check'!A:Q,14,0),0)</f>
        <v>0</v>
      </c>
    </row>
    <row r="27" spans="1:48">
      <c r="A27" s="38" t="s">
        <v>43</v>
      </c>
      <c r="B27" s="97"/>
      <c r="C27" s="36"/>
      <c r="D27" s="4"/>
      <c r="E27" s="4"/>
      <c r="F27" s="4"/>
      <c r="G27" s="257">
        <f t="shared" si="0"/>
        <v>1</v>
      </c>
      <c r="H27" s="140">
        <f t="shared" si="1"/>
        <v>18.348623853211009</v>
      </c>
      <c r="I27" s="266" t="s">
        <v>358</v>
      </c>
      <c r="J27" s="287">
        <v>1</v>
      </c>
      <c r="K27" s="82"/>
      <c r="L27" s="287"/>
      <c r="M27" s="82"/>
      <c r="N27" s="287"/>
      <c r="O27" s="82"/>
      <c r="P27" s="287"/>
      <c r="Q27" s="82"/>
      <c r="R27" s="287"/>
      <c r="S27" s="82"/>
      <c r="T27" s="287"/>
      <c r="U27" s="82"/>
      <c r="V27" s="287"/>
      <c r="W27" s="82"/>
      <c r="X27" s="287"/>
      <c r="Y27" s="82"/>
      <c r="Z27" s="287"/>
      <c r="AA27" s="82"/>
      <c r="AB27" s="287"/>
      <c r="AC27" s="82"/>
      <c r="AD27" s="287"/>
      <c r="AE27" s="82"/>
      <c r="AF27" s="287"/>
      <c r="AG27" s="82"/>
      <c r="AH27" s="287"/>
      <c r="AI27" s="82"/>
      <c r="AJ27" s="287"/>
      <c r="AK27" s="82"/>
      <c r="AL27" s="287"/>
      <c r="AM27" s="82"/>
      <c r="AN27" s="287"/>
      <c r="AO27" s="82"/>
      <c r="AP27" s="287"/>
      <c r="AQ27" s="82"/>
      <c r="AR27" s="287"/>
      <c r="AS27" s="82"/>
      <c r="AT27" s="287"/>
      <c r="AU27" s="82"/>
      <c r="AV27" s="50">
        <f>IFERROR(VLOOKUP(A27,'Site check'!A:Q,14,0),0)</f>
        <v>0</v>
      </c>
    </row>
    <row r="28" spans="1:48">
      <c r="A28" s="38" t="s">
        <v>44</v>
      </c>
      <c r="B28" s="97"/>
      <c r="C28" s="36"/>
      <c r="D28" s="4"/>
      <c r="E28" s="4"/>
      <c r="F28" s="4"/>
      <c r="G28" s="257">
        <f t="shared" si="0"/>
        <v>1</v>
      </c>
      <c r="H28" s="140">
        <f t="shared" si="1"/>
        <v>18.348623853211009</v>
      </c>
      <c r="I28" s="266" t="s">
        <v>358</v>
      </c>
      <c r="J28" s="287">
        <v>1</v>
      </c>
      <c r="K28" s="82"/>
      <c r="L28" s="287"/>
      <c r="M28" s="82"/>
      <c r="N28" s="287"/>
      <c r="O28" s="82"/>
      <c r="P28" s="287"/>
      <c r="Q28" s="82"/>
      <c r="R28" s="287"/>
      <c r="S28" s="82"/>
      <c r="T28" s="287"/>
      <c r="U28" s="82"/>
      <c r="V28" s="287"/>
      <c r="W28" s="82"/>
      <c r="X28" s="287"/>
      <c r="Y28" s="82"/>
      <c r="Z28" s="287"/>
      <c r="AA28" s="82"/>
      <c r="AB28" s="287"/>
      <c r="AC28" s="82"/>
      <c r="AD28" s="287"/>
      <c r="AE28" s="82"/>
      <c r="AF28" s="287"/>
      <c r="AG28" s="82"/>
      <c r="AH28" s="287"/>
      <c r="AI28" s="82"/>
      <c r="AJ28" s="287"/>
      <c r="AK28" s="82"/>
      <c r="AL28" s="287"/>
      <c r="AM28" s="82"/>
      <c r="AN28" s="287"/>
      <c r="AO28" s="82"/>
      <c r="AP28" s="287"/>
      <c r="AQ28" s="82"/>
      <c r="AR28" s="287"/>
      <c r="AS28" s="82"/>
      <c r="AT28" s="287"/>
      <c r="AU28" s="82"/>
      <c r="AV28" s="50">
        <f>IFERROR(VLOOKUP(A28,'Site check'!A:Q,14,0),0)</f>
        <v>0</v>
      </c>
    </row>
    <row r="29" spans="1:48">
      <c r="A29" s="37" t="s">
        <v>45</v>
      </c>
      <c r="B29" s="97"/>
      <c r="C29" s="30" t="s">
        <v>18</v>
      </c>
      <c r="D29" s="30" t="s">
        <v>19</v>
      </c>
      <c r="E29" s="4"/>
      <c r="F29" s="30" t="s">
        <v>319</v>
      </c>
      <c r="G29" s="257">
        <f t="shared" si="0"/>
        <v>9.4499999999999993</v>
      </c>
      <c r="H29" s="140">
        <f t="shared" si="1"/>
        <v>173.39449541284404</v>
      </c>
      <c r="I29" s="86" t="s">
        <v>359</v>
      </c>
      <c r="J29" s="288">
        <v>0.3</v>
      </c>
      <c r="K29" s="82" t="s">
        <v>360</v>
      </c>
      <c r="L29" s="287">
        <v>2.2999999999999998</v>
      </c>
      <c r="M29" s="82" t="s">
        <v>361</v>
      </c>
      <c r="N29" s="287">
        <v>0.9</v>
      </c>
      <c r="O29" s="82" t="s">
        <v>362</v>
      </c>
      <c r="P29" s="287">
        <v>1.65</v>
      </c>
      <c r="Q29" s="82" t="s">
        <v>363</v>
      </c>
      <c r="R29" s="287">
        <v>1</v>
      </c>
      <c r="S29" s="82" t="s">
        <v>364</v>
      </c>
      <c r="T29" s="287">
        <v>1.5</v>
      </c>
      <c r="U29" s="82" t="s">
        <v>365</v>
      </c>
      <c r="V29" s="287">
        <v>1.8</v>
      </c>
      <c r="W29" s="82"/>
      <c r="X29" s="287"/>
      <c r="Y29" s="82"/>
      <c r="Z29" s="287"/>
      <c r="AA29" s="82"/>
      <c r="AB29" s="287"/>
      <c r="AC29" s="82"/>
      <c r="AD29" s="287"/>
      <c r="AE29" s="82"/>
      <c r="AF29" s="287"/>
      <c r="AG29" s="82"/>
      <c r="AH29" s="287"/>
      <c r="AI29" s="82"/>
      <c r="AJ29" s="287"/>
      <c r="AK29" s="82"/>
      <c r="AL29" s="287"/>
      <c r="AM29" s="82"/>
      <c r="AN29" s="287"/>
      <c r="AO29" s="82"/>
      <c r="AP29" s="287"/>
      <c r="AQ29" s="82"/>
      <c r="AR29" s="287"/>
      <c r="AS29" s="82"/>
      <c r="AT29" s="287"/>
      <c r="AU29" s="82"/>
      <c r="AV29" s="50">
        <f>IFERROR(VLOOKUP(A29,'Site check'!A:Q,14,0),0)</f>
        <v>0</v>
      </c>
    </row>
    <row r="30" spans="1:48">
      <c r="A30" s="37" t="s">
        <v>46</v>
      </c>
      <c r="B30" s="97"/>
      <c r="C30" s="4"/>
      <c r="D30" s="4"/>
      <c r="E30" s="4"/>
      <c r="F30" s="4"/>
      <c r="G30" s="257">
        <f t="shared" si="0"/>
        <v>7.48</v>
      </c>
      <c r="H30" s="140">
        <f t="shared" si="1"/>
        <v>137.24770642201835</v>
      </c>
      <c r="I30" s="86" t="s">
        <v>359</v>
      </c>
      <c r="J30" s="288">
        <v>0.6</v>
      </c>
      <c r="K30" s="82" t="s">
        <v>360</v>
      </c>
      <c r="L30" s="287">
        <v>0.3</v>
      </c>
      <c r="M30" s="82" t="s">
        <v>361</v>
      </c>
      <c r="N30" s="287">
        <v>0.93</v>
      </c>
      <c r="O30" s="82" t="s">
        <v>362</v>
      </c>
      <c r="P30" s="287">
        <v>1.55</v>
      </c>
      <c r="Q30" s="82" t="s">
        <v>363</v>
      </c>
      <c r="R30" s="287">
        <v>0.9</v>
      </c>
      <c r="S30" s="82" t="s">
        <v>364</v>
      </c>
      <c r="T30" s="287">
        <v>1.3</v>
      </c>
      <c r="U30" s="82" t="s">
        <v>365</v>
      </c>
      <c r="V30" s="287">
        <v>1.9</v>
      </c>
      <c r="W30" s="82"/>
      <c r="X30" s="287"/>
      <c r="Y30" s="82"/>
      <c r="Z30" s="287"/>
      <c r="AA30" s="82"/>
      <c r="AB30" s="287"/>
      <c r="AC30" s="82"/>
      <c r="AD30" s="287"/>
      <c r="AE30" s="82"/>
      <c r="AF30" s="287"/>
      <c r="AG30" s="82"/>
      <c r="AH30" s="287"/>
      <c r="AI30" s="82"/>
      <c r="AJ30" s="287"/>
      <c r="AK30" s="82"/>
      <c r="AL30" s="287"/>
      <c r="AM30" s="82"/>
      <c r="AN30" s="287"/>
      <c r="AO30" s="82"/>
      <c r="AP30" s="287"/>
      <c r="AQ30" s="82"/>
      <c r="AR30" s="287"/>
      <c r="AS30" s="82"/>
      <c r="AT30" s="287"/>
      <c r="AU30" s="82"/>
      <c r="AV30" s="50">
        <f>IFERROR(VLOOKUP(A30,'Site check'!A:Q,14,0),0)</f>
        <v>0</v>
      </c>
    </row>
    <row r="31" spans="1:48">
      <c r="A31" s="38" t="s">
        <v>47</v>
      </c>
      <c r="B31" s="97"/>
      <c r="C31" s="30" t="s">
        <v>18</v>
      </c>
      <c r="D31" s="4"/>
      <c r="E31" s="4"/>
      <c r="F31" s="4"/>
      <c r="G31" s="257">
        <f t="shared" si="0"/>
        <v>2.4</v>
      </c>
      <c r="H31" s="140">
        <f t="shared" si="1"/>
        <v>44.036697247706421</v>
      </c>
      <c r="I31" s="82" t="s">
        <v>366</v>
      </c>
      <c r="J31" s="287">
        <v>2.4</v>
      </c>
      <c r="K31" s="82"/>
      <c r="L31" s="287"/>
      <c r="M31" s="82"/>
      <c r="N31" s="287"/>
      <c r="O31" s="82"/>
      <c r="P31" s="287"/>
      <c r="Q31" s="82"/>
      <c r="R31" s="287"/>
      <c r="S31" s="82"/>
      <c r="T31" s="287"/>
      <c r="U31" s="82"/>
      <c r="V31" s="287"/>
      <c r="W31" s="82"/>
      <c r="X31" s="287"/>
      <c r="Y31" s="82"/>
      <c r="Z31" s="287"/>
      <c r="AA31" s="82"/>
      <c r="AB31" s="287"/>
      <c r="AC31" s="82"/>
      <c r="AD31" s="287"/>
      <c r="AE31" s="82"/>
      <c r="AF31" s="287"/>
      <c r="AG31" s="82"/>
      <c r="AH31" s="287"/>
      <c r="AI31" s="82"/>
      <c r="AJ31" s="287"/>
      <c r="AK31" s="82"/>
      <c r="AL31" s="287"/>
      <c r="AM31" s="82"/>
      <c r="AN31" s="287"/>
      <c r="AO31" s="82"/>
      <c r="AP31" s="287"/>
      <c r="AQ31" s="82"/>
      <c r="AR31" s="287"/>
      <c r="AS31" s="82"/>
      <c r="AT31" s="287"/>
      <c r="AU31" s="82"/>
      <c r="AV31" s="50">
        <f>IFERROR(VLOOKUP(A31,'Site check'!A:Q,14,0),0)</f>
        <v>0</v>
      </c>
    </row>
    <row r="32" spans="1:48">
      <c r="A32" s="38" t="s">
        <v>48</v>
      </c>
      <c r="B32" s="97"/>
      <c r="C32" s="36"/>
      <c r="D32" s="4"/>
      <c r="E32" s="4"/>
      <c r="F32" s="4"/>
      <c r="G32" s="257">
        <f t="shared" si="0"/>
        <v>2.5</v>
      </c>
      <c r="H32" s="140">
        <f t="shared" si="1"/>
        <v>45.871559633027523</v>
      </c>
      <c r="I32" s="82" t="s">
        <v>366</v>
      </c>
      <c r="J32" s="287">
        <v>2.5</v>
      </c>
      <c r="K32" s="82"/>
      <c r="L32" s="287"/>
      <c r="M32" s="82"/>
      <c r="N32" s="287"/>
      <c r="O32" s="82"/>
      <c r="P32" s="287"/>
      <c r="Q32" s="82"/>
      <c r="R32" s="287"/>
      <c r="S32" s="82"/>
      <c r="T32" s="287"/>
      <c r="U32" s="82"/>
      <c r="V32" s="287"/>
      <c r="W32" s="82"/>
      <c r="X32" s="287"/>
      <c r="Y32" s="82"/>
      <c r="Z32" s="287"/>
      <c r="AA32" s="82"/>
      <c r="AB32" s="287"/>
      <c r="AC32" s="82"/>
      <c r="AD32" s="287"/>
      <c r="AE32" s="82"/>
      <c r="AF32" s="287"/>
      <c r="AG32" s="82"/>
      <c r="AH32" s="287"/>
      <c r="AI32" s="82"/>
      <c r="AJ32" s="287"/>
      <c r="AK32" s="82"/>
      <c r="AL32" s="287"/>
      <c r="AM32" s="82"/>
      <c r="AN32" s="287"/>
      <c r="AO32" s="82"/>
      <c r="AP32" s="287"/>
      <c r="AQ32" s="82"/>
      <c r="AR32" s="287"/>
      <c r="AS32" s="82"/>
      <c r="AT32" s="287"/>
      <c r="AU32" s="82"/>
      <c r="AV32" s="50">
        <f>IFERROR(VLOOKUP(A32,'Site check'!A:Q,14,0),0)</f>
        <v>0</v>
      </c>
    </row>
    <row r="33" spans="1:48">
      <c r="A33" s="35" t="s">
        <v>49</v>
      </c>
      <c r="B33" s="97"/>
      <c r="C33" s="4"/>
      <c r="D33" s="4"/>
      <c r="E33" s="4"/>
      <c r="F33" s="4"/>
      <c r="G33" s="257">
        <f t="shared" si="0"/>
        <v>1</v>
      </c>
      <c r="H33" s="140">
        <f t="shared" si="1"/>
        <v>18.348623853211009</v>
      </c>
      <c r="I33" s="84" t="s">
        <v>367</v>
      </c>
      <c r="J33" s="292">
        <v>1</v>
      </c>
      <c r="K33" s="82"/>
      <c r="L33" s="287"/>
      <c r="M33" s="82"/>
      <c r="N33" s="287"/>
      <c r="O33" s="82"/>
      <c r="P33" s="287"/>
      <c r="Q33" s="82"/>
      <c r="R33" s="287"/>
      <c r="S33" s="82"/>
      <c r="T33" s="287"/>
      <c r="U33" s="82"/>
      <c r="V33" s="287"/>
      <c r="W33" s="82"/>
      <c r="X33" s="287"/>
      <c r="Y33" s="82"/>
      <c r="Z33" s="287"/>
      <c r="AA33" s="82"/>
      <c r="AB33" s="287"/>
      <c r="AC33" s="82"/>
      <c r="AD33" s="287"/>
      <c r="AE33" s="82"/>
      <c r="AF33" s="287"/>
      <c r="AG33" s="82"/>
      <c r="AH33" s="287"/>
      <c r="AI33" s="82"/>
      <c r="AJ33" s="287"/>
      <c r="AK33" s="82"/>
      <c r="AL33" s="287"/>
      <c r="AM33" s="82"/>
      <c r="AN33" s="287"/>
      <c r="AO33" s="82"/>
      <c r="AP33" s="287"/>
      <c r="AQ33" s="82"/>
      <c r="AR33" s="287"/>
      <c r="AS33" s="82"/>
      <c r="AT33" s="287"/>
      <c r="AU33" s="82"/>
      <c r="AV33" s="50">
        <f>IFERROR(VLOOKUP(A33,'Site check'!A:Q,14,0),0)</f>
        <v>0</v>
      </c>
    </row>
    <row r="34" spans="1:48">
      <c r="A34" s="35" t="s">
        <v>50</v>
      </c>
      <c r="B34" s="97"/>
      <c r="C34" s="4"/>
      <c r="D34" s="4"/>
      <c r="E34" s="4"/>
      <c r="F34" s="4"/>
      <c r="G34" s="257">
        <f t="shared" si="0"/>
        <v>0</v>
      </c>
      <c r="H34" s="140">
        <f t="shared" si="1"/>
        <v>0</v>
      </c>
      <c r="I34" s="82"/>
      <c r="J34" s="287"/>
      <c r="K34" s="82"/>
      <c r="L34" s="287"/>
      <c r="M34" s="82"/>
      <c r="N34" s="287"/>
      <c r="O34" s="82"/>
      <c r="P34" s="287"/>
      <c r="Q34" s="82"/>
      <c r="R34" s="287"/>
      <c r="S34" s="82"/>
      <c r="T34" s="287"/>
      <c r="U34" s="82"/>
      <c r="V34" s="287"/>
      <c r="W34" s="82"/>
      <c r="X34" s="287"/>
      <c r="Y34" s="82"/>
      <c r="Z34" s="287"/>
      <c r="AA34" s="82"/>
      <c r="AB34" s="287"/>
      <c r="AC34" s="82"/>
      <c r="AD34" s="287"/>
      <c r="AE34" s="82"/>
      <c r="AF34" s="287"/>
      <c r="AG34" s="82"/>
      <c r="AH34" s="287"/>
      <c r="AI34" s="82"/>
      <c r="AJ34" s="287"/>
      <c r="AK34" s="82"/>
      <c r="AL34" s="287"/>
      <c r="AM34" s="82"/>
      <c r="AN34" s="287"/>
      <c r="AO34" s="82"/>
      <c r="AP34" s="287"/>
      <c r="AQ34" s="82"/>
      <c r="AR34" s="287"/>
      <c r="AS34" s="82"/>
      <c r="AT34" s="287"/>
      <c r="AU34" s="82"/>
      <c r="AV34" s="50">
        <f>IFERROR(VLOOKUP(A34,'Site check'!A:Q,14,0),0)</f>
        <v>0</v>
      </c>
    </row>
    <row r="35" spans="1:48">
      <c r="A35" s="35" t="s">
        <v>51</v>
      </c>
      <c r="B35" s="97"/>
      <c r="C35" s="4"/>
      <c r="D35" s="4"/>
      <c r="E35" s="4"/>
      <c r="F35" s="4"/>
      <c r="G35" s="257">
        <f t="shared" si="0"/>
        <v>3</v>
      </c>
      <c r="H35" s="140">
        <f t="shared" si="1"/>
        <v>55.045871559633028</v>
      </c>
      <c r="I35" s="82" t="s">
        <v>368</v>
      </c>
      <c r="J35" s="287">
        <v>1</v>
      </c>
      <c r="K35" s="88" t="s">
        <v>369</v>
      </c>
      <c r="L35" s="289">
        <v>2</v>
      </c>
      <c r="M35" s="82"/>
      <c r="N35" s="287"/>
      <c r="O35" s="82"/>
      <c r="P35" s="287"/>
      <c r="Q35" s="82"/>
      <c r="R35" s="287"/>
      <c r="S35" s="82"/>
      <c r="T35" s="287"/>
      <c r="U35" s="82"/>
      <c r="V35" s="287"/>
      <c r="W35" s="82"/>
      <c r="X35" s="287"/>
      <c r="Y35" s="82"/>
      <c r="Z35" s="287"/>
      <c r="AA35" s="82"/>
      <c r="AB35" s="287"/>
      <c r="AC35" s="82"/>
      <c r="AD35" s="287"/>
      <c r="AE35" s="82"/>
      <c r="AF35" s="287"/>
      <c r="AG35" s="82"/>
      <c r="AH35" s="287"/>
      <c r="AI35" s="82"/>
      <c r="AJ35" s="287"/>
      <c r="AK35" s="82"/>
      <c r="AL35" s="287"/>
      <c r="AM35" s="82"/>
      <c r="AN35" s="287"/>
      <c r="AO35" s="82"/>
      <c r="AP35" s="287"/>
      <c r="AQ35" s="82"/>
      <c r="AR35" s="287"/>
      <c r="AS35" s="82"/>
      <c r="AT35" s="287"/>
      <c r="AU35" s="82"/>
      <c r="AV35" s="50">
        <f>IFERROR(VLOOKUP(A35,'Site check'!A:Q,14,0),0)</f>
        <v>0</v>
      </c>
    </row>
    <row r="36" spans="1:48">
      <c r="A36" s="40" t="s">
        <v>52</v>
      </c>
      <c r="B36" s="24" t="s">
        <v>17</v>
      </c>
      <c r="C36" s="4"/>
      <c r="D36" s="4"/>
      <c r="E36" s="4"/>
      <c r="F36" s="4"/>
      <c r="G36" s="257">
        <f t="shared" si="0"/>
        <v>27.799999999999997</v>
      </c>
      <c r="H36" s="140">
        <f t="shared" si="1"/>
        <v>510.09174311926597</v>
      </c>
      <c r="I36" s="90" t="s">
        <v>370</v>
      </c>
      <c r="J36" s="290">
        <v>19</v>
      </c>
      <c r="K36" s="90" t="s">
        <v>371</v>
      </c>
      <c r="L36" s="290">
        <v>2</v>
      </c>
      <c r="M36" s="90" t="s">
        <v>372</v>
      </c>
      <c r="N36" s="290">
        <v>2.9</v>
      </c>
      <c r="O36" s="90" t="s">
        <v>373</v>
      </c>
      <c r="P36" s="290">
        <v>3.9</v>
      </c>
      <c r="Q36" s="88"/>
      <c r="R36" s="289"/>
      <c r="S36" s="88"/>
      <c r="T36" s="289"/>
      <c r="U36" s="88"/>
      <c r="V36" s="289"/>
      <c r="W36" s="266"/>
      <c r="X36" s="289"/>
      <c r="Y36" s="88"/>
      <c r="Z36" s="289"/>
      <c r="AA36" s="82"/>
      <c r="AB36" s="287"/>
      <c r="AC36" s="82"/>
      <c r="AD36" s="287"/>
      <c r="AE36" s="82"/>
      <c r="AF36" s="287"/>
      <c r="AG36" s="82"/>
      <c r="AH36" s="287"/>
      <c r="AI36" s="82"/>
      <c r="AJ36" s="287"/>
      <c r="AK36" s="82"/>
      <c r="AL36" s="287"/>
      <c r="AM36" s="82"/>
      <c r="AN36" s="287"/>
      <c r="AO36" s="82"/>
      <c r="AP36" s="287"/>
      <c r="AQ36" s="82"/>
      <c r="AR36" s="287"/>
      <c r="AS36" s="82"/>
      <c r="AT36" s="287"/>
      <c r="AU36" s="82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7">
        <f t="shared" si="0"/>
        <v>19</v>
      </c>
      <c r="H37" s="140">
        <f t="shared" si="1"/>
        <v>348.62385321100919</v>
      </c>
      <c r="I37" s="90" t="s">
        <v>370</v>
      </c>
      <c r="J37" s="290">
        <v>19</v>
      </c>
      <c r="K37" s="82"/>
      <c r="L37" s="287"/>
      <c r="M37" s="82"/>
      <c r="N37" s="287"/>
      <c r="O37" s="82"/>
      <c r="P37" s="287"/>
      <c r="Q37" s="82"/>
      <c r="R37" s="287"/>
      <c r="S37" s="82"/>
      <c r="T37" s="287"/>
      <c r="U37" s="82"/>
      <c r="V37" s="287"/>
      <c r="W37" s="82"/>
      <c r="X37" s="287"/>
      <c r="Y37" s="82"/>
      <c r="Z37" s="287"/>
      <c r="AA37" s="82"/>
      <c r="AB37" s="287"/>
      <c r="AC37" s="82"/>
      <c r="AD37" s="287"/>
      <c r="AE37" s="82"/>
      <c r="AF37" s="287"/>
      <c r="AG37" s="82"/>
      <c r="AH37" s="287"/>
      <c r="AI37" s="82"/>
      <c r="AJ37" s="287"/>
      <c r="AK37" s="82"/>
      <c r="AL37" s="287"/>
      <c r="AM37" s="82"/>
      <c r="AN37" s="287"/>
      <c r="AO37" s="82"/>
      <c r="AP37" s="287"/>
      <c r="AQ37" s="82"/>
      <c r="AR37" s="287"/>
      <c r="AS37" s="82"/>
      <c r="AT37" s="287"/>
      <c r="AU37" s="82"/>
      <c r="AV37" s="50">
        <f>IFERROR(VLOOKUP(A37,'Site check'!A:Q,14,0),0)</f>
        <v>0</v>
      </c>
    </row>
    <row r="38" spans="1:48">
      <c r="A38" s="38" t="s">
        <v>54</v>
      </c>
      <c r="B38" s="24" t="s">
        <v>17</v>
      </c>
      <c r="C38" s="30" t="s">
        <v>18</v>
      </c>
      <c r="D38" s="30" t="s">
        <v>19</v>
      </c>
      <c r="E38" s="4"/>
      <c r="F38" s="30" t="s">
        <v>319</v>
      </c>
      <c r="G38" s="257">
        <f>SUM(J38,L38,N38,P38,R38,T38,V38,X38,Z38,AB38,AD38,AF38,AH38,AJ38,AL38,AN38,AP38,AR38,AT38,AV38)</f>
        <v>64.449999999999989</v>
      </c>
      <c r="H38" s="140">
        <f>SUM(G38*1000)/54.5</f>
        <v>1182.5688073394492</v>
      </c>
      <c r="I38" s="82" t="s">
        <v>374</v>
      </c>
      <c r="J38" s="287">
        <v>18.100000000000001</v>
      </c>
      <c r="K38" s="82" t="s">
        <v>375</v>
      </c>
      <c r="L38" s="287">
        <v>26.5</v>
      </c>
      <c r="M38" s="82" t="s">
        <v>376</v>
      </c>
      <c r="N38" s="287">
        <v>1</v>
      </c>
      <c r="O38" s="82" t="s">
        <v>377</v>
      </c>
      <c r="P38" s="287">
        <v>0.35</v>
      </c>
      <c r="Q38" s="88" t="s">
        <v>378</v>
      </c>
      <c r="R38" s="289">
        <v>0.5</v>
      </c>
      <c r="S38" s="88" t="s">
        <v>379</v>
      </c>
      <c r="T38" s="289">
        <v>0.8</v>
      </c>
      <c r="U38" s="82" t="s">
        <v>380</v>
      </c>
      <c r="V38" s="287">
        <v>0.65</v>
      </c>
      <c r="W38" s="82" t="s">
        <v>381</v>
      </c>
      <c r="X38" s="287">
        <v>0.22500000000000001</v>
      </c>
      <c r="Y38" s="82" t="s">
        <v>382</v>
      </c>
      <c r="Z38" s="287">
        <v>0.22500000000000001</v>
      </c>
      <c r="AA38" s="90" t="s">
        <v>383</v>
      </c>
      <c r="AB38" s="290">
        <v>0.9</v>
      </c>
      <c r="AC38" s="90" t="s">
        <v>384</v>
      </c>
      <c r="AD38" s="290">
        <v>0.5</v>
      </c>
      <c r="AE38" s="82" t="s">
        <v>385</v>
      </c>
      <c r="AF38" s="287">
        <v>1.4</v>
      </c>
      <c r="AG38" s="259" t="s">
        <v>386</v>
      </c>
      <c r="AH38" s="301">
        <v>1</v>
      </c>
      <c r="AI38" s="115" t="s">
        <v>387</v>
      </c>
      <c r="AJ38" s="300">
        <v>1</v>
      </c>
      <c r="AK38" s="115" t="s">
        <v>388</v>
      </c>
      <c r="AL38" s="300">
        <v>1</v>
      </c>
      <c r="AM38" s="259" t="s">
        <v>389</v>
      </c>
      <c r="AN38" s="308">
        <v>6.05</v>
      </c>
      <c r="AO38" s="84" t="s">
        <v>390</v>
      </c>
      <c r="AP38" s="292">
        <v>2</v>
      </c>
      <c r="AQ38" s="84" t="s">
        <v>391</v>
      </c>
      <c r="AR38" s="292">
        <v>2.25</v>
      </c>
      <c r="AS38" s="82"/>
      <c r="AT38" s="287"/>
      <c r="AU38" s="82"/>
      <c r="AV38" s="50"/>
    </row>
    <row r="39" spans="1:48">
      <c r="A39" s="38" t="s">
        <v>55</v>
      </c>
      <c r="B39" s="4"/>
      <c r="C39" s="4"/>
      <c r="D39" s="4"/>
      <c r="E39" s="4"/>
      <c r="F39" s="4"/>
      <c r="G39" s="257">
        <f>SUM(J39,L39,N39,P39,R39,T39,V39,X39,Z39,AB39,AD39,AF39,AH39,AJ39,AL39,AN39,AP39,AR39,AT39,AV39)</f>
        <v>64.449999999999989</v>
      </c>
      <c r="H39" s="140">
        <f>SUM(G39*1000)/54.5</f>
        <v>1182.5688073394492</v>
      </c>
      <c r="I39" s="82" t="s">
        <v>374</v>
      </c>
      <c r="J39" s="287">
        <v>18.100000000000001</v>
      </c>
      <c r="K39" s="82" t="s">
        <v>375</v>
      </c>
      <c r="L39" s="287">
        <v>26.5</v>
      </c>
      <c r="M39" s="82" t="s">
        <v>376</v>
      </c>
      <c r="N39" s="287">
        <v>1</v>
      </c>
      <c r="O39" s="82" t="s">
        <v>377</v>
      </c>
      <c r="P39" s="287">
        <v>0.35</v>
      </c>
      <c r="Q39" s="88" t="s">
        <v>378</v>
      </c>
      <c r="R39" s="289">
        <v>0.5</v>
      </c>
      <c r="S39" s="88" t="s">
        <v>379</v>
      </c>
      <c r="T39" s="289">
        <v>0.8</v>
      </c>
      <c r="U39" s="82" t="s">
        <v>380</v>
      </c>
      <c r="V39" s="287">
        <v>0.65</v>
      </c>
      <c r="W39" s="82" t="s">
        <v>381</v>
      </c>
      <c r="X39" s="287">
        <v>0.22500000000000001</v>
      </c>
      <c r="Y39" s="82" t="s">
        <v>382</v>
      </c>
      <c r="Z39" s="287">
        <v>0.22500000000000001</v>
      </c>
      <c r="AA39" s="90" t="s">
        <v>383</v>
      </c>
      <c r="AB39" s="290">
        <v>0.9</v>
      </c>
      <c r="AC39" s="90" t="s">
        <v>384</v>
      </c>
      <c r="AD39" s="290">
        <v>0.5</v>
      </c>
      <c r="AE39" s="82" t="s">
        <v>385</v>
      </c>
      <c r="AF39" s="287">
        <v>1.4</v>
      </c>
      <c r="AG39" s="259" t="s">
        <v>386</v>
      </c>
      <c r="AH39" s="301">
        <v>1</v>
      </c>
      <c r="AI39" s="115" t="s">
        <v>387</v>
      </c>
      <c r="AJ39" s="300">
        <v>1</v>
      </c>
      <c r="AK39" s="115" t="s">
        <v>388</v>
      </c>
      <c r="AL39" s="300">
        <v>1</v>
      </c>
      <c r="AM39" s="259" t="s">
        <v>389</v>
      </c>
      <c r="AN39" s="308">
        <v>6.05</v>
      </c>
      <c r="AO39" s="84" t="s">
        <v>390</v>
      </c>
      <c r="AP39" s="292">
        <v>2</v>
      </c>
      <c r="AQ39" s="84" t="s">
        <v>391</v>
      </c>
      <c r="AR39" s="292">
        <v>2.25</v>
      </c>
      <c r="AS39" s="82"/>
      <c r="AT39" s="287"/>
      <c r="AU39" s="82"/>
      <c r="AV39" s="50">
        <f>IFERROR(VLOOKUP(A39,'Site check'!A:Q,14,0),0)</f>
        <v>0</v>
      </c>
    </row>
    <row r="40" spans="1:48">
      <c r="A40" s="37" t="s">
        <v>56</v>
      </c>
      <c r="B40" s="97"/>
      <c r="C40" s="4"/>
      <c r="D40" s="4"/>
      <c r="E40" s="4"/>
      <c r="F40" s="4"/>
      <c r="G40" s="257">
        <f t="shared" si="0"/>
        <v>0</v>
      </c>
      <c r="H40" s="140">
        <f t="shared" si="1"/>
        <v>0</v>
      </c>
      <c r="I40" s="82"/>
      <c r="J40" s="287"/>
      <c r="K40" s="82"/>
      <c r="L40" s="287"/>
      <c r="M40" s="82"/>
      <c r="N40" s="287"/>
      <c r="O40" s="82"/>
      <c r="P40" s="287"/>
      <c r="Q40" s="82"/>
      <c r="R40" s="287"/>
      <c r="S40" s="82"/>
      <c r="T40" s="287"/>
      <c r="U40" s="82"/>
      <c r="V40" s="287"/>
      <c r="W40" s="82"/>
      <c r="X40" s="287"/>
      <c r="Y40" s="82"/>
      <c r="Z40" s="287"/>
      <c r="AA40" s="82"/>
      <c r="AB40" s="287"/>
      <c r="AC40" s="82"/>
      <c r="AD40" s="287"/>
      <c r="AE40" s="82"/>
      <c r="AF40" s="287"/>
      <c r="AG40" s="82"/>
      <c r="AH40" s="287"/>
      <c r="AI40" s="82"/>
      <c r="AJ40" s="287"/>
      <c r="AK40" s="82"/>
      <c r="AL40" s="287"/>
      <c r="AM40" s="82"/>
      <c r="AN40" s="287"/>
      <c r="AO40" s="82"/>
      <c r="AP40" s="287"/>
      <c r="AQ40" s="82"/>
      <c r="AR40" s="287"/>
      <c r="AS40" s="82"/>
      <c r="AT40" s="287"/>
      <c r="AU40" s="82"/>
      <c r="AV40" s="50">
        <f>IFERROR(VLOOKUP(A40,'Site check'!A:Q,14,0),0)</f>
        <v>0</v>
      </c>
    </row>
    <row r="41" spans="1:48">
      <c r="A41" s="37" t="s">
        <v>57</v>
      </c>
      <c r="B41" s="97"/>
      <c r="C41" s="4"/>
      <c r="D41" s="4"/>
      <c r="E41" s="4"/>
      <c r="F41" s="4"/>
      <c r="G41" s="257">
        <f t="shared" si="0"/>
        <v>0</v>
      </c>
      <c r="H41" s="140">
        <f t="shared" si="1"/>
        <v>0</v>
      </c>
      <c r="I41" s="82"/>
      <c r="J41" s="287"/>
      <c r="K41" s="82"/>
      <c r="L41" s="287"/>
      <c r="M41" s="82"/>
      <c r="N41" s="287"/>
      <c r="O41" s="82"/>
      <c r="P41" s="287"/>
      <c r="Q41" s="82"/>
      <c r="R41" s="287"/>
      <c r="S41" s="82"/>
      <c r="T41" s="287"/>
      <c r="U41" s="82"/>
      <c r="V41" s="287"/>
      <c r="W41" s="82"/>
      <c r="X41" s="287"/>
      <c r="Y41" s="82"/>
      <c r="Z41" s="287"/>
      <c r="AA41" s="82"/>
      <c r="AB41" s="287"/>
      <c r="AC41" s="82"/>
      <c r="AD41" s="287"/>
      <c r="AE41" s="82"/>
      <c r="AF41" s="287"/>
      <c r="AG41" s="82"/>
      <c r="AH41" s="287"/>
      <c r="AI41" s="82"/>
      <c r="AJ41" s="287"/>
      <c r="AK41" s="82"/>
      <c r="AL41" s="287"/>
      <c r="AM41" s="82"/>
      <c r="AN41" s="287"/>
      <c r="AO41" s="82"/>
      <c r="AP41" s="287"/>
      <c r="AQ41" s="82"/>
      <c r="AR41" s="287"/>
      <c r="AS41" s="82"/>
      <c r="AT41" s="287"/>
      <c r="AU41" s="82"/>
      <c r="AV41" s="50">
        <f>IFERROR(VLOOKUP(A41,'Site check'!A:Q,14,0),0)</f>
        <v>0</v>
      </c>
    </row>
    <row r="42" spans="1:48">
      <c r="A42" s="35" t="s">
        <v>58</v>
      </c>
      <c r="B42" s="97"/>
      <c r="C42" s="4"/>
      <c r="D42" s="4"/>
      <c r="E42" s="4"/>
      <c r="F42" s="4"/>
      <c r="G42" s="257">
        <f t="shared" si="0"/>
        <v>0.5</v>
      </c>
      <c r="H42" s="140">
        <f t="shared" si="1"/>
        <v>9.1743119266055047</v>
      </c>
      <c r="I42" s="86" t="s">
        <v>392</v>
      </c>
      <c r="J42" s="288">
        <v>0.5</v>
      </c>
      <c r="K42" s="82"/>
      <c r="L42" s="287"/>
      <c r="M42" s="82"/>
      <c r="N42" s="287"/>
      <c r="O42" s="82"/>
      <c r="P42" s="287"/>
      <c r="Q42" s="82"/>
      <c r="R42" s="287"/>
      <c r="S42" s="82"/>
      <c r="T42" s="287"/>
      <c r="U42" s="82"/>
      <c r="V42" s="287"/>
      <c r="W42" s="82"/>
      <c r="X42" s="287"/>
      <c r="Y42" s="82"/>
      <c r="Z42" s="287"/>
      <c r="AA42" s="82"/>
      <c r="AB42" s="287"/>
      <c r="AC42" s="82"/>
      <c r="AD42" s="287"/>
      <c r="AE42" s="82"/>
      <c r="AF42" s="287"/>
      <c r="AG42" s="82"/>
      <c r="AH42" s="287"/>
      <c r="AI42" s="82"/>
      <c r="AJ42" s="287"/>
      <c r="AK42" s="82"/>
      <c r="AL42" s="287"/>
      <c r="AM42" s="82"/>
      <c r="AN42" s="287"/>
      <c r="AO42" s="82"/>
      <c r="AP42" s="287"/>
      <c r="AQ42" s="82"/>
      <c r="AR42" s="287"/>
      <c r="AS42" s="82"/>
      <c r="AT42" s="287"/>
      <c r="AU42" s="82"/>
      <c r="AV42" s="50">
        <f>IFERROR(VLOOKUP(A42,'Site check'!A:Q,14,0),0)</f>
        <v>0</v>
      </c>
    </row>
    <row r="43" spans="1:48">
      <c r="A43" s="35" t="s">
        <v>59</v>
      </c>
      <c r="B43" s="97"/>
      <c r="C43" s="4"/>
      <c r="D43" s="4"/>
      <c r="E43" s="4"/>
      <c r="F43" s="4"/>
      <c r="G43" s="257">
        <f t="shared" si="0"/>
        <v>1</v>
      </c>
      <c r="H43" s="140">
        <f t="shared" si="1"/>
        <v>18.348623853211009</v>
      </c>
      <c r="I43" s="82" t="s">
        <v>393</v>
      </c>
      <c r="J43" s="287">
        <v>1</v>
      </c>
      <c r="K43" s="82"/>
      <c r="L43" s="287"/>
      <c r="M43" s="82"/>
      <c r="N43" s="287"/>
      <c r="O43" s="82"/>
      <c r="P43" s="287"/>
      <c r="Q43" s="82"/>
      <c r="R43" s="287"/>
      <c r="S43" s="82"/>
      <c r="T43" s="287"/>
      <c r="U43" s="82"/>
      <c r="V43" s="287"/>
      <c r="W43" s="82"/>
      <c r="X43" s="287"/>
      <c r="Y43" s="82"/>
      <c r="Z43" s="287"/>
      <c r="AA43" s="82"/>
      <c r="AB43" s="287"/>
      <c r="AC43" s="82"/>
      <c r="AD43" s="287"/>
      <c r="AE43" s="82"/>
      <c r="AF43" s="287"/>
      <c r="AG43" s="82"/>
      <c r="AH43" s="287"/>
      <c r="AI43" s="82"/>
      <c r="AJ43" s="287"/>
      <c r="AK43" s="82"/>
      <c r="AL43" s="287"/>
      <c r="AM43" s="82"/>
      <c r="AN43" s="287"/>
      <c r="AO43" s="82"/>
      <c r="AP43" s="287"/>
      <c r="AQ43" s="82"/>
      <c r="AR43" s="287"/>
      <c r="AS43" s="82"/>
      <c r="AT43" s="287"/>
      <c r="AU43" s="82"/>
      <c r="AV43" s="50">
        <f>IFERROR(VLOOKUP(A43,'Site check'!A:Q,14,0),0)</f>
        <v>0</v>
      </c>
    </row>
    <row r="44" spans="1:48">
      <c r="A44" s="35" t="s">
        <v>60</v>
      </c>
      <c r="B44" s="97"/>
      <c r="C44" s="4"/>
      <c r="D44" s="4"/>
      <c r="E44" s="4"/>
      <c r="F44" s="4"/>
      <c r="G44" s="257">
        <f t="shared" si="0"/>
        <v>0.5</v>
      </c>
      <c r="H44" s="140">
        <f t="shared" si="1"/>
        <v>9.1743119266055047</v>
      </c>
      <c r="I44" s="82" t="s">
        <v>394</v>
      </c>
      <c r="J44" s="287">
        <v>0.5</v>
      </c>
      <c r="K44" s="82"/>
      <c r="L44" s="287"/>
      <c r="M44" s="82"/>
      <c r="N44" s="287"/>
      <c r="O44" s="82"/>
      <c r="P44" s="287"/>
      <c r="Q44" s="82"/>
      <c r="R44" s="287"/>
      <c r="S44" s="82"/>
      <c r="T44" s="287"/>
      <c r="U44" s="82"/>
      <c r="V44" s="287"/>
      <c r="W44" s="82"/>
      <c r="X44" s="287"/>
      <c r="Y44" s="82"/>
      <c r="Z44" s="287"/>
      <c r="AA44" s="82"/>
      <c r="AB44" s="287"/>
      <c r="AC44" s="82"/>
      <c r="AD44" s="287"/>
      <c r="AE44" s="82"/>
      <c r="AF44" s="287"/>
      <c r="AG44" s="82"/>
      <c r="AH44" s="287"/>
      <c r="AI44" s="82"/>
      <c r="AJ44" s="287"/>
      <c r="AK44" s="82"/>
      <c r="AL44" s="287"/>
      <c r="AM44" s="82"/>
      <c r="AN44" s="287"/>
      <c r="AO44" s="82"/>
      <c r="AP44" s="287"/>
      <c r="AQ44" s="82"/>
      <c r="AR44" s="287"/>
      <c r="AS44" s="82"/>
      <c r="AT44" s="287"/>
      <c r="AU44" s="82"/>
      <c r="AV44" s="50">
        <f>IFERROR(VLOOKUP(A44,'Site check'!A:Q,14,0),0)</f>
        <v>0</v>
      </c>
    </row>
    <row r="45" spans="1:48">
      <c r="A45" s="35" t="s">
        <v>61</v>
      </c>
      <c r="B45" s="97"/>
      <c r="C45" s="4"/>
      <c r="D45" s="4"/>
      <c r="E45" s="4"/>
      <c r="F45" s="4"/>
      <c r="G45" s="257">
        <f t="shared" si="0"/>
        <v>0</v>
      </c>
      <c r="H45" s="140">
        <f t="shared" si="1"/>
        <v>0</v>
      </c>
      <c r="I45" s="82"/>
      <c r="J45" s="287"/>
      <c r="K45" s="82"/>
      <c r="L45" s="287"/>
      <c r="M45" s="82"/>
      <c r="N45" s="287"/>
      <c r="O45" s="82"/>
      <c r="P45" s="287"/>
      <c r="Q45" s="82"/>
      <c r="R45" s="287"/>
      <c r="S45" s="82"/>
      <c r="T45" s="287"/>
      <c r="U45" s="82"/>
      <c r="V45" s="287"/>
      <c r="W45" s="82"/>
      <c r="X45" s="287"/>
      <c r="Y45" s="82"/>
      <c r="Z45" s="287"/>
      <c r="AA45" s="82"/>
      <c r="AB45" s="287"/>
      <c r="AC45" s="82"/>
      <c r="AD45" s="287"/>
      <c r="AE45" s="82"/>
      <c r="AF45" s="287"/>
      <c r="AG45" s="82"/>
      <c r="AH45" s="287"/>
      <c r="AI45" s="82"/>
      <c r="AJ45" s="287"/>
      <c r="AK45" s="82"/>
      <c r="AL45" s="287"/>
      <c r="AM45" s="82"/>
      <c r="AN45" s="287"/>
      <c r="AO45" s="82"/>
      <c r="AP45" s="287"/>
      <c r="AQ45" s="82"/>
      <c r="AR45" s="287"/>
      <c r="AS45" s="82"/>
      <c r="AT45" s="287"/>
      <c r="AU45" s="82"/>
      <c r="AV45" s="50">
        <f>IFERROR(VLOOKUP(A45,'Site check'!A:Q,14,0),0)</f>
        <v>0</v>
      </c>
    </row>
    <row r="46" spans="1:48">
      <c r="A46" s="35" t="s">
        <v>62</v>
      </c>
      <c r="B46" s="97"/>
      <c r="C46" s="4"/>
      <c r="D46" s="4"/>
      <c r="E46" s="4"/>
      <c r="F46" s="4"/>
      <c r="G46" s="257">
        <f t="shared" si="0"/>
        <v>4</v>
      </c>
      <c r="H46" s="140">
        <f t="shared" si="1"/>
        <v>73.394495412844037</v>
      </c>
      <c r="I46" s="266" t="s">
        <v>395</v>
      </c>
      <c r="J46" s="291">
        <v>3</v>
      </c>
      <c r="K46" s="88" t="s">
        <v>396</v>
      </c>
      <c r="L46" s="289">
        <v>1</v>
      </c>
      <c r="M46" s="82"/>
      <c r="N46" s="287"/>
      <c r="O46" s="82"/>
      <c r="P46" s="287"/>
      <c r="Q46" s="82"/>
      <c r="R46" s="287"/>
      <c r="S46" s="82"/>
      <c r="T46" s="287"/>
      <c r="U46" s="82"/>
      <c r="V46" s="287"/>
      <c r="W46" s="82"/>
      <c r="X46" s="287"/>
      <c r="Y46" s="82"/>
      <c r="Z46" s="287"/>
      <c r="AA46" s="82"/>
      <c r="AB46" s="287"/>
      <c r="AC46" s="82"/>
      <c r="AD46" s="287"/>
      <c r="AE46" s="82"/>
      <c r="AF46" s="287"/>
      <c r="AG46" s="82"/>
      <c r="AH46" s="287"/>
      <c r="AI46" s="82"/>
      <c r="AJ46" s="287"/>
      <c r="AK46" s="82"/>
      <c r="AL46" s="287"/>
      <c r="AM46" s="82"/>
      <c r="AN46" s="287"/>
      <c r="AO46" s="82"/>
      <c r="AP46" s="287"/>
      <c r="AQ46" s="82"/>
      <c r="AR46" s="287"/>
      <c r="AS46" s="82"/>
      <c r="AT46" s="287"/>
      <c r="AU46" s="82"/>
      <c r="AV46" s="50">
        <f>IFERROR(VLOOKUP(A46,'Site check'!A:Q,14,0),0)</f>
        <v>0</v>
      </c>
    </row>
    <row r="47" spans="1:48">
      <c r="A47" s="40" t="s">
        <v>63</v>
      </c>
      <c r="B47" s="24" t="s">
        <v>17</v>
      </c>
      <c r="C47" s="30" t="s">
        <v>18</v>
      </c>
      <c r="D47" s="30" t="s">
        <v>19</v>
      </c>
      <c r="E47" s="4"/>
      <c r="F47" s="4"/>
      <c r="G47" s="257">
        <f t="shared" si="0"/>
        <v>21</v>
      </c>
      <c r="H47" s="140">
        <f t="shared" si="1"/>
        <v>385.32110091743118</v>
      </c>
      <c r="I47" s="82" t="s">
        <v>397</v>
      </c>
      <c r="J47" s="287">
        <v>1.4</v>
      </c>
      <c r="K47" s="88" t="s">
        <v>398</v>
      </c>
      <c r="L47" s="289">
        <v>0.3</v>
      </c>
      <c r="M47" s="88" t="s">
        <v>399</v>
      </c>
      <c r="N47" s="289">
        <v>1.6</v>
      </c>
      <c r="O47" s="88" t="s">
        <v>400</v>
      </c>
      <c r="P47" s="289">
        <v>1.5</v>
      </c>
      <c r="Q47" s="88" t="s">
        <v>401</v>
      </c>
      <c r="R47" s="289">
        <v>1.3</v>
      </c>
      <c r="S47" s="88" t="s">
        <v>402</v>
      </c>
      <c r="T47" s="289">
        <v>1.5</v>
      </c>
      <c r="U47" s="88" t="s">
        <v>403</v>
      </c>
      <c r="V47" s="289">
        <v>0.7</v>
      </c>
      <c r="W47" s="90" t="s">
        <v>404</v>
      </c>
      <c r="X47" s="290">
        <v>1</v>
      </c>
      <c r="Y47" s="90" t="s">
        <v>405</v>
      </c>
      <c r="Z47" s="290">
        <v>1.1000000000000001</v>
      </c>
      <c r="AA47" s="90" t="s">
        <v>406</v>
      </c>
      <c r="AB47" s="290">
        <v>2</v>
      </c>
      <c r="AC47" s="82" t="s">
        <v>407</v>
      </c>
      <c r="AD47" s="287">
        <v>2.5</v>
      </c>
      <c r="AE47" s="88" t="s">
        <v>408</v>
      </c>
      <c r="AF47" s="289">
        <v>4</v>
      </c>
      <c r="AG47" s="269" t="s">
        <v>409</v>
      </c>
      <c r="AH47" s="291">
        <v>1.1000000000000001</v>
      </c>
      <c r="AI47" s="84" t="s">
        <v>410</v>
      </c>
      <c r="AJ47" s="292">
        <v>0.6</v>
      </c>
      <c r="AK47" s="82" t="s">
        <v>411</v>
      </c>
      <c r="AL47" s="287">
        <v>0.4</v>
      </c>
      <c r="AM47" s="82"/>
      <c r="AN47" s="287"/>
      <c r="AO47" s="82"/>
      <c r="AP47" s="287"/>
      <c r="AQ47" s="82"/>
      <c r="AR47" s="287"/>
      <c r="AS47" s="82"/>
      <c r="AT47" s="287"/>
      <c r="AU47" s="82"/>
      <c r="AV47" s="50">
        <f>IFERROR(VLOOKUP(A47,'Site check'!A:Q,14,0),0)</f>
        <v>0</v>
      </c>
    </row>
    <row r="48" spans="1:48">
      <c r="A48" s="40" t="s">
        <v>64</v>
      </c>
      <c r="B48" s="24" t="s">
        <v>17</v>
      </c>
      <c r="C48" s="4"/>
      <c r="D48" s="4"/>
      <c r="E48" s="4"/>
      <c r="F48" s="4"/>
      <c r="G48" s="257">
        <f>SUM(J48,L48,N48,P48,R48,T48,V48,X48,Z48,AB48,AD48,AF48,AH48,AJ48,AL48,AN48,AP48,AR48,AT48,AV48)</f>
        <v>20.9</v>
      </c>
      <c r="H48" s="140">
        <f t="shared" si="1"/>
        <v>383.48623853211006</v>
      </c>
      <c r="I48" s="82" t="s">
        <v>397</v>
      </c>
      <c r="J48" s="287">
        <v>0.8</v>
      </c>
      <c r="K48" s="88" t="s">
        <v>398</v>
      </c>
      <c r="L48" s="289">
        <v>0.5</v>
      </c>
      <c r="M48" s="88" t="s">
        <v>399</v>
      </c>
      <c r="N48" s="289">
        <v>1.4</v>
      </c>
      <c r="O48" s="88" t="s">
        <v>400</v>
      </c>
      <c r="P48" s="289">
        <v>1.4</v>
      </c>
      <c r="Q48" s="88" t="s">
        <v>401</v>
      </c>
      <c r="R48" s="289">
        <v>1.3</v>
      </c>
      <c r="S48" s="88" t="s">
        <v>402</v>
      </c>
      <c r="T48" s="289">
        <v>1.4</v>
      </c>
      <c r="U48" s="88" t="s">
        <v>403</v>
      </c>
      <c r="V48" s="289">
        <v>0.7</v>
      </c>
      <c r="W48" s="90" t="s">
        <v>404</v>
      </c>
      <c r="X48" s="290">
        <v>0.7</v>
      </c>
      <c r="Y48" s="90" t="s">
        <v>405</v>
      </c>
      <c r="Z48" s="290">
        <v>1.1000000000000001</v>
      </c>
      <c r="AA48" s="90" t="s">
        <v>406</v>
      </c>
      <c r="AB48" s="290">
        <v>2</v>
      </c>
      <c r="AC48" s="82" t="s">
        <v>407</v>
      </c>
      <c r="AD48" s="287">
        <v>2.2000000000000002</v>
      </c>
      <c r="AE48" s="88" t="s">
        <v>408</v>
      </c>
      <c r="AF48" s="289">
        <v>4</v>
      </c>
      <c r="AG48" s="269" t="s">
        <v>409</v>
      </c>
      <c r="AH48" s="291">
        <v>1.2</v>
      </c>
      <c r="AI48" s="84" t="s">
        <v>410</v>
      </c>
      <c r="AJ48" s="292">
        <v>0.6</v>
      </c>
      <c r="AK48" s="82" t="s">
        <v>411</v>
      </c>
      <c r="AL48" s="287">
        <v>0.4</v>
      </c>
      <c r="AM48" s="82" t="s">
        <v>412</v>
      </c>
      <c r="AN48" s="287">
        <v>1.2</v>
      </c>
      <c r="AO48" s="82"/>
      <c r="AP48" s="287"/>
      <c r="AQ48" s="82"/>
      <c r="AR48" s="287"/>
      <c r="AS48" s="82"/>
      <c r="AT48" s="287"/>
      <c r="AU48" s="82"/>
      <c r="AV48" s="50">
        <f>IFERROR(VLOOKUP(A48,'Site check'!A:Q,14,0),0)</f>
        <v>0</v>
      </c>
    </row>
    <row r="49" spans="1:48">
      <c r="A49" s="40" t="s">
        <v>65</v>
      </c>
      <c r="B49" s="24" t="s">
        <v>17</v>
      </c>
      <c r="C49" s="4"/>
      <c r="D49" s="4"/>
      <c r="E49" s="4"/>
      <c r="F49" s="4"/>
      <c r="G49" s="257">
        <f>SUM(J49,L49,N49,P49,R49,T49,V49,X49,Z49,AB49,AD49,AF49,AH49,AJ49,AL49,AN49,AP49,AR49,AT49,AV49)</f>
        <v>3.6</v>
      </c>
      <c r="H49" s="140">
        <f t="shared" si="1"/>
        <v>66.055045871559628</v>
      </c>
      <c r="I49" s="88" t="s">
        <v>413</v>
      </c>
      <c r="J49" s="289">
        <v>0.8</v>
      </c>
      <c r="K49" s="88" t="s">
        <v>414</v>
      </c>
      <c r="L49" s="289">
        <v>1</v>
      </c>
      <c r="M49" s="88" t="s">
        <v>415</v>
      </c>
      <c r="N49" s="289">
        <v>1.8</v>
      </c>
      <c r="O49" s="82"/>
      <c r="P49" s="287"/>
      <c r="Q49" s="82"/>
      <c r="R49" s="287"/>
      <c r="S49" s="82"/>
      <c r="T49" s="287"/>
      <c r="U49" s="82"/>
      <c r="V49" s="287"/>
      <c r="W49" s="82"/>
      <c r="X49" s="287"/>
      <c r="Y49" s="82"/>
      <c r="Z49" s="287"/>
      <c r="AA49" s="82"/>
      <c r="AB49" s="287"/>
      <c r="AC49" s="82"/>
      <c r="AD49" s="287"/>
      <c r="AE49" s="82"/>
      <c r="AF49" s="287"/>
      <c r="AG49" s="82"/>
      <c r="AH49" s="287"/>
      <c r="AI49" s="82"/>
      <c r="AJ49" s="287"/>
      <c r="AK49" s="82"/>
      <c r="AL49" s="287"/>
      <c r="AM49" s="82"/>
      <c r="AN49" s="287"/>
      <c r="AO49" s="82"/>
      <c r="AP49" s="287"/>
      <c r="AQ49" s="82"/>
      <c r="AR49" s="287"/>
      <c r="AS49" s="82"/>
      <c r="AT49" s="287"/>
      <c r="AU49" s="82"/>
      <c r="AV49" s="50">
        <f>IFERROR(VLOOKUP(A49,'Site check'!A:Q,14,0),0)</f>
        <v>0</v>
      </c>
    </row>
    <row r="50" spans="1:48">
      <c r="A50" s="35" t="s">
        <v>66</v>
      </c>
      <c r="B50" s="97"/>
      <c r="C50" s="4"/>
      <c r="D50" s="4"/>
      <c r="E50" s="4"/>
      <c r="F50" s="4"/>
      <c r="G50" s="257">
        <f>SUM(J50,L50,N50,P50,R50,T50,V50,X50,Z50,AB50,AD50,AF50,AH50,AJ50,AL50,AN50,AP50,AR50,AT50,AV50)</f>
        <v>13.299999999999999</v>
      </c>
      <c r="H50" s="140">
        <f t="shared" si="1"/>
        <v>244.0366972477064</v>
      </c>
      <c r="I50" s="86" t="s">
        <v>416</v>
      </c>
      <c r="J50" s="288">
        <v>2</v>
      </c>
      <c r="K50" s="84" t="s">
        <v>417</v>
      </c>
      <c r="L50" s="292">
        <v>2</v>
      </c>
      <c r="M50" s="84" t="s">
        <v>418</v>
      </c>
      <c r="N50" s="292">
        <v>8.6999999999999993</v>
      </c>
      <c r="O50" s="84" t="s">
        <v>412</v>
      </c>
      <c r="P50" s="292">
        <v>0.6</v>
      </c>
      <c r="Q50" s="82"/>
      <c r="R50" s="287"/>
      <c r="S50" s="82"/>
      <c r="T50" s="287"/>
      <c r="U50" s="82"/>
      <c r="V50" s="287"/>
      <c r="W50" s="82"/>
      <c r="X50" s="287"/>
      <c r="Y50" s="82"/>
      <c r="Z50" s="287"/>
      <c r="AA50" s="82"/>
      <c r="AB50" s="287"/>
      <c r="AC50" s="82"/>
      <c r="AD50" s="287"/>
      <c r="AE50" s="82"/>
      <c r="AF50" s="287"/>
      <c r="AG50" s="82"/>
      <c r="AH50" s="287"/>
      <c r="AI50" s="82"/>
      <c r="AJ50" s="287"/>
      <c r="AK50" s="82"/>
      <c r="AL50" s="287"/>
      <c r="AM50" s="82"/>
      <c r="AN50" s="287"/>
      <c r="AO50" s="82"/>
      <c r="AP50" s="287"/>
      <c r="AQ50" s="82"/>
      <c r="AR50" s="287"/>
      <c r="AS50" s="82"/>
      <c r="AT50" s="287"/>
      <c r="AU50" s="82"/>
      <c r="AV50" s="50">
        <f>IFERROR(VLOOKUP(A50,'Site check'!A:Q,14,0),0)</f>
        <v>0</v>
      </c>
    </row>
    <row r="51" spans="1:48">
      <c r="A51" s="35" t="s">
        <v>67</v>
      </c>
      <c r="B51" s="97"/>
      <c r="C51" s="4"/>
      <c r="D51" s="4"/>
      <c r="E51" s="4"/>
      <c r="F51" s="4"/>
      <c r="G51" s="257">
        <f>SUM(J51,L51,N51,P51,R51,T51,V51,X51,Z51,AB51,AD51,AF51,AH51,AJ51,AL51,AN51,AP51,AR51,AT51,AV51)</f>
        <v>11.299999999999999</v>
      </c>
      <c r="H51" s="140">
        <f t="shared" si="1"/>
        <v>207.33944954128438</v>
      </c>
      <c r="I51" s="86"/>
      <c r="J51" s="288"/>
      <c r="K51" s="84" t="s">
        <v>417</v>
      </c>
      <c r="L51" s="292">
        <v>2</v>
      </c>
      <c r="M51" s="84" t="s">
        <v>418</v>
      </c>
      <c r="N51" s="292">
        <v>8.6999999999999993</v>
      </c>
      <c r="O51" s="84" t="s">
        <v>412</v>
      </c>
      <c r="P51" s="292">
        <v>0.6</v>
      </c>
      <c r="Q51" s="82"/>
      <c r="R51" s="287"/>
      <c r="S51" s="82"/>
      <c r="T51" s="287"/>
      <c r="U51" s="82"/>
      <c r="V51" s="287"/>
      <c r="W51" s="82"/>
      <c r="X51" s="287"/>
      <c r="Y51" s="82"/>
      <c r="Z51" s="287"/>
      <c r="AA51" s="82"/>
      <c r="AB51" s="287"/>
      <c r="AC51" s="82"/>
      <c r="AD51" s="287"/>
      <c r="AE51" s="82"/>
      <c r="AF51" s="287"/>
      <c r="AG51" s="82"/>
      <c r="AH51" s="287"/>
      <c r="AI51" s="82"/>
      <c r="AJ51" s="287"/>
      <c r="AK51" s="82"/>
      <c r="AL51" s="287"/>
      <c r="AM51" s="82"/>
      <c r="AN51" s="287"/>
      <c r="AO51" s="82"/>
      <c r="AP51" s="287"/>
      <c r="AQ51" s="82"/>
      <c r="AR51" s="287"/>
      <c r="AS51" s="82"/>
      <c r="AT51" s="287"/>
      <c r="AU51" s="82"/>
      <c r="AV51" s="50">
        <f>IFERROR(VLOOKUP(A51,'Site check'!A:Q,14,0),0)</f>
        <v>0</v>
      </c>
    </row>
    <row r="52" spans="1:48">
      <c r="A52" s="35" t="s">
        <v>68</v>
      </c>
      <c r="B52" s="24" t="s">
        <v>17</v>
      </c>
      <c r="C52" s="4"/>
      <c r="D52" s="4"/>
      <c r="E52" s="4"/>
      <c r="F52" s="4"/>
      <c r="G52" s="257">
        <f t="shared" si="0"/>
        <v>0</v>
      </c>
      <c r="H52" s="140">
        <f t="shared" si="1"/>
        <v>0</v>
      </c>
      <c r="I52" s="84"/>
      <c r="J52" s="292"/>
      <c r="K52" s="84"/>
      <c r="L52" s="292"/>
      <c r="M52" s="84"/>
      <c r="N52" s="292"/>
      <c r="O52" s="82"/>
      <c r="P52" s="287"/>
      <c r="Q52" s="82"/>
      <c r="R52" s="287"/>
      <c r="S52" s="84"/>
      <c r="T52" s="292"/>
      <c r="U52" s="84"/>
      <c r="V52" s="292"/>
      <c r="W52" s="84"/>
      <c r="X52" s="292"/>
      <c r="Y52" s="82"/>
      <c r="Z52" s="287"/>
      <c r="AA52" s="82"/>
      <c r="AB52" s="287"/>
      <c r="AC52" s="86"/>
      <c r="AD52" s="288"/>
      <c r="AE52" s="82"/>
      <c r="AF52" s="287"/>
      <c r="AG52" s="82"/>
      <c r="AH52" s="287"/>
      <c r="AI52" s="82"/>
      <c r="AJ52" s="287"/>
      <c r="AK52" s="82"/>
      <c r="AL52" s="287"/>
      <c r="AM52" s="82"/>
      <c r="AN52" s="287"/>
      <c r="AO52" s="82"/>
      <c r="AP52" s="287"/>
      <c r="AQ52" s="82"/>
      <c r="AR52" s="287"/>
      <c r="AS52" s="82"/>
      <c r="AT52" s="287"/>
      <c r="AU52" s="82"/>
      <c r="AV52" s="50">
        <f>IFERROR(VLOOKUP(A52,'Site check'!A:Q,14,0),0)</f>
        <v>0</v>
      </c>
    </row>
    <row r="53" spans="1:48">
      <c r="A53" s="35" t="s">
        <v>69</v>
      </c>
      <c r="B53" s="97"/>
      <c r="C53" s="30" t="s">
        <v>18</v>
      </c>
      <c r="D53" s="30" t="s">
        <v>19</v>
      </c>
      <c r="E53" s="4"/>
      <c r="F53" s="30" t="s">
        <v>319</v>
      </c>
      <c r="G53" s="257">
        <f>SUM(J53,L53,N53,P53,R53,T53,V53,X53,Z53,AB53,AD53,AF53,AH53,AJ53,AL53,AN53,AP53,AR53,AT53,AV53)</f>
        <v>36.15</v>
      </c>
      <c r="H53" s="140">
        <f t="shared" si="1"/>
        <v>663.30275229357801</v>
      </c>
      <c r="I53" s="82" t="s">
        <v>419</v>
      </c>
      <c r="J53" s="287">
        <v>2.5</v>
      </c>
      <c r="K53" s="82" t="s">
        <v>420</v>
      </c>
      <c r="L53" s="287">
        <v>1</v>
      </c>
      <c r="M53" s="82" t="s">
        <v>421</v>
      </c>
      <c r="N53" s="287">
        <v>1.8</v>
      </c>
      <c r="O53" s="82" t="s">
        <v>422</v>
      </c>
      <c r="P53" s="287">
        <v>1.2</v>
      </c>
      <c r="Q53" s="82" t="s">
        <v>423</v>
      </c>
      <c r="R53" s="287">
        <v>10.9</v>
      </c>
      <c r="S53" s="82" t="s">
        <v>424</v>
      </c>
      <c r="T53" s="287">
        <v>0.5</v>
      </c>
      <c r="U53" s="90" t="s">
        <v>425</v>
      </c>
      <c r="V53" s="290">
        <v>2.2999999999999998</v>
      </c>
      <c r="W53" s="90" t="s">
        <v>426</v>
      </c>
      <c r="X53" s="290">
        <v>2.65</v>
      </c>
      <c r="Y53" s="90" t="s">
        <v>427</v>
      </c>
      <c r="Z53" s="290">
        <v>0.8</v>
      </c>
      <c r="AA53" s="268" t="s">
        <v>428</v>
      </c>
      <c r="AB53" s="289">
        <v>2</v>
      </c>
      <c r="AC53" s="86" t="s">
        <v>429</v>
      </c>
      <c r="AD53" s="288">
        <v>2.4</v>
      </c>
      <c r="AE53" s="88" t="s">
        <v>430</v>
      </c>
      <c r="AF53" s="289">
        <v>0.5</v>
      </c>
      <c r="AG53" s="88" t="s">
        <v>431</v>
      </c>
      <c r="AH53" s="289">
        <v>0.5</v>
      </c>
      <c r="AI53" s="88" t="s">
        <v>432</v>
      </c>
      <c r="AJ53" s="287">
        <v>3.2</v>
      </c>
      <c r="AK53" s="88" t="s">
        <v>433</v>
      </c>
      <c r="AL53" s="289">
        <v>3.9</v>
      </c>
      <c r="AM53" s="82"/>
      <c r="AN53" s="287"/>
      <c r="AO53" s="82"/>
      <c r="AP53" s="287"/>
      <c r="AQ53" s="82"/>
      <c r="AR53" s="287"/>
      <c r="AS53" s="82"/>
      <c r="AT53" s="287"/>
      <c r="AU53" s="82"/>
      <c r="AV53" s="50">
        <f>IFERROR(VLOOKUP(A53,'Site check'!A:Q,14,0),0)</f>
        <v>0</v>
      </c>
    </row>
    <row r="54" spans="1:48">
      <c r="A54" s="39" t="s">
        <v>70</v>
      </c>
      <c r="B54" s="97"/>
      <c r="C54" s="4"/>
      <c r="D54" s="4"/>
      <c r="E54" s="4"/>
      <c r="F54" s="4"/>
      <c r="G54" s="257">
        <f>SUM(J54,L54,N54,P54,R54,T54,V54,X54,Z54,AB54,AD54,AF54,AH54,AJ54,AL54,AN54,AP54,AR54,AT54,AV54)</f>
        <v>2.25</v>
      </c>
      <c r="H54" s="140">
        <f t="shared" si="1"/>
        <v>41.284403669724767</v>
      </c>
      <c r="I54" s="88" t="s">
        <v>434</v>
      </c>
      <c r="J54" s="289">
        <v>2</v>
      </c>
      <c r="K54" s="82" t="s">
        <v>435</v>
      </c>
      <c r="L54" s="287">
        <v>0.25</v>
      </c>
      <c r="M54" s="82"/>
      <c r="N54" s="287"/>
      <c r="O54" s="82"/>
      <c r="P54" s="287"/>
      <c r="Q54" s="82"/>
      <c r="R54" s="287"/>
      <c r="S54" s="82"/>
      <c r="T54" s="287"/>
      <c r="U54" s="82"/>
      <c r="V54" s="287"/>
      <c r="W54" s="82"/>
      <c r="X54" s="287"/>
      <c r="Y54" s="82"/>
      <c r="Z54" s="287"/>
      <c r="AA54" s="82"/>
      <c r="AB54" s="287"/>
      <c r="AC54" s="82"/>
      <c r="AD54" s="287"/>
      <c r="AE54" s="82"/>
      <c r="AF54" s="287"/>
      <c r="AG54" s="82"/>
      <c r="AH54" s="287"/>
      <c r="AI54" s="82"/>
      <c r="AJ54" s="287"/>
      <c r="AK54" s="82"/>
      <c r="AL54" s="287"/>
      <c r="AM54" s="82"/>
      <c r="AN54" s="287"/>
      <c r="AO54" s="82"/>
      <c r="AP54" s="287"/>
      <c r="AQ54" s="82"/>
      <c r="AR54" s="287"/>
      <c r="AS54" s="82"/>
      <c r="AT54" s="287"/>
      <c r="AU54" s="82"/>
      <c r="AV54" s="50">
        <f>IFERROR(VLOOKUP(A54,'Site check'!A:Q,14,0),0)</f>
        <v>0</v>
      </c>
    </row>
    <row r="55" spans="1:48">
      <c r="A55" s="39" t="s">
        <v>71</v>
      </c>
      <c r="B55" s="24" t="s">
        <v>17</v>
      </c>
      <c r="C55" s="4"/>
      <c r="D55" s="4"/>
      <c r="E55" s="4"/>
      <c r="F55" s="4"/>
      <c r="G55" s="257">
        <f>SUM(J55,L55,N55,P55,R55,T55,V55,X55,Z55,AB55,AD54,AF55,AH55,AJ55,AL55,AN55,AP55,AR55,AT55,AV55)</f>
        <v>5</v>
      </c>
      <c r="H55" s="140">
        <f t="shared" si="1"/>
        <v>91.743119266055047</v>
      </c>
      <c r="I55" s="88" t="s">
        <v>436</v>
      </c>
      <c r="J55" s="289">
        <v>2</v>
      </c>
      <c r="K55" s="270" t="s">
        <v>437</v>
      </c>
      <c r="L55" s="296">
        <v>3</v>
      </c>
      <c r="M55" s="115"/>
      <c r="N55" s="300"/>
      <c r="O55" s="84"/>
      <c r="P55" s="292"/>
      <c r="Q55" s="82"/>
      <c r="R55" s="287"/>
      <c r="S55" s="82"/>
      <c r="T55" s="287"/>
      <c r="U55" s="82"/>
      <c r="V55" s="287"/>
      <c r="W55" s="82"/>
      <c r="X55" s="287"/>
      <c r="Y55" s="82"/>
      <c r="Z55" s="287"/>
      <c r="AA55" s="82"/>
      <c r="AB55" s="287"/>
      <c r="AC55" s="82"/>
      <c r="AD55" s="287"/>
      <c r="AE55" s="82"/>
      <c r="AF55" s="287"/>
      <c r="AG55" s="82"/>
      <c r="AH55" s="287"/>
      <c r="AI55" s="82"/>
      <c r="AJ55" s="287"/>
      <c r="AK55" s="82"/>
      <c r="AL55" s="287"/>
      <c r="AM55" s="82"/>
      <c r="AN55" s="287"/>
      <c r="AO55" s="82"/>
      <c r="AP55" s="287"/>
      <c r="AQ55" s="82"/>
      <c r="AR55" s="287"/>
      <c r="AS55" s="82"/>
      <c r="AT55" s="287"/>
      <c r="AU55" s="82"/>
      <c r="AV55" s="50">
        <f>IFERROR(VLOOKUP(A55,'Site check'!A:Q,14,0),0)</f>
        <v>0</v>
      </c>
    </row>
    <row r="56" spans="1:48">
      <c r="A56" s="39" t="s">
        <v>72</v>
      </c>
      <c r="B56" s="97"/>
      <c r="C56" s="30" t="s">
        <v>18</v>
      </c>
      <c r="D56" s="30" t="s">
        <v>19</v>
      </c>
      <c r="E56" s="30" t="s">
        <v>438</v>
      </c>
      <c r="F56" s="30" t="s">
        <v>319</v>
      </c>
      <c r="G56" s="257">
        <f t="shared" si="0"/>
        <v>42.23</v>
      </c>
      <c r="H56" s="140">
        <f t="shared" si="1"/>
        <v>774.86238532110087</v>
      </c>
      <c r="I56" s="82" t="s">
        <v>439</v>
      </c>
      <c r="J56" s="287">
        <v>2.1</v>
      </c>
      <c r="K56" s="82" t="s">
        <v>440</v>
      </c>
      <c r="L56" s="287">
        <v>1.2</v>
      </c>
      <c r="M56" s="82" t="s">
        <v>441</v>
      </c>
      <c r="N56" s="287">
        <v>5.8</v>
      </c>
      <c r="O56" s="82" t="s">
        <v>442</v>
      </c>
      <c r="P56" s="287">
        <v>1.4</v>
      </c>
      <c r="Q56" s="82" t="s">
        <v>443</v>
      </c>
      <c r="R56" s="287">
        <v>1.7</v>
      </c>
      <c r="S56" s="82" t="s">
        <v>444</v>
      </c>
      <c r="T56" s="287">
        <v>11.7</v>
      </c>
      <c r="U56" s="90" t="s">
        <v>445</v>
      </c>
      <c r="V56" s="290">
        <v>2.4</v>
      </c>
      <c r="W56" s="90" t="s">
        <v>446</v>
      </c>
      <c r="X56" s="290">
        <v>2.2000000000000002</v>
      </c>
      <c r="Y56" s="90" t="s">
        <v>447</v>
      </c>
      <c r="Z56" s="290">
        <v>1.3</v>
      </c>
      <c r="AA56" s="88" t="s">
        <v>448</v>
      </c>
      <c r="AB56" s="289">
        <v>0.5</v>
      </c>
      <c r="AC56" s="269"/>
      <c r="AD56" s="291"/>
      <c r="AE56" s="266" t="s">
        <v>449</v>
      </c>
      <c r="AF56" s="291">
        <v>1.7</v>
      </c>
      <c r="AG56" s="109" t="s">
        <v>450</v>
      </c>
      <c r="AH56" s="302">
        <v>3.3</v>
      </c>
      <c r="AI56" s="109" t="s">
        <v>451</v>
      </c>
      <c r="AJ56" s="302">
        <v>0.93</v>
      </c>
      <c r="AK56" s="109" t="s">
        <v>452</v>
      </c>
      <c r="AL56" s="302">
        <v>4</v>
      </c>
      <c r="AM56" s="84" t="s">
        <v>453</v>
      </c>
      <c r="AN56" s="292">
        <v>2</v>
      </c>
      <c r="AO56" s="82"/>
      <c r="AP56" s="287"/>
      <c r="AQ56" s="82"/>
      <c r="AR56" s="287"/>
      <c r="AS56" s="82"/>
      <c r="AT56" s="287"/>
      <c r="AU56" s="82"/>
      <c r="AV56" s="50">
        <f>IFERROR(VLOOKUP(A56,'Site check'!A:Q,14,0),0)</f>
        <v>0</v>
      </c>
    </row>
    <row r="57" spans="1:48">
      <c r="A57" s="35" t="s">
        <v>73</v>
      </c>
      <c r="B57" s="97"/>
      <c r="C57" s="30" t="s">
        <v>18</v>
      </c>
      <c r="D57" s="4"/>
      <c r="E57" s="4"/>
      <c r="F57" s="4"/>
      <c r="G57" s="257">
        <f t="shared" si="0"/>
        <v>2.7</v>
      </c>
      <c r="H57" s="140">
        <f t="shared" si="1"/>
        <v>49.541284403669728</v>
      </c>
      <c r="I57" s="82" t="s">
        <v>454</v>
      </c>
      <c r="J57" s="287">
        <v>1.7</v>
      </c>
      <c r="K57" s="269" t="s">
        <v>455</v>
      </c>
      <c r="L57" s="291">
        <v>1</v>
      </c>
      <c r="M57" s="82"/>
      <c r="N57" s="287"/>
      <c r="O57" s="82"/>
      <c r="P57" s="287"/>
      <c r="Q57" s="82" t="s">
        <v>456</v>
      </c>
      <c r="R57" s="287"/>
      <c r="S57" s="82"/>
      <c r="T57" s="287"/>
      <c r="U57" s="82"/>
      <c r="V57" s="287"/>
      <c r="W57" s="82"/>
      <c r="X57" s="287"/>
      <c r="Y57" s="82"/>
      <c r="Z57" s="287"/>
      <c r="AA57" s="82"/>
      <c r="AB57" s="287"/>
      <c r="AC57" s="82"/>
      <c r="AD57" s="287"/>
      <c r="AE57" s="82"/>
      <c r="AF57" s="287"/>
      <c r="AG57" s="82"/>
      <c r="AH57" s="287"/>
      <c r="AI57" s="82"/>
      <c r="AJ57" s="287"/>
      <c r="AK57" s="82"/>
      <c r="AL57" s="287"/>
      <c r="AM57" s="82"/>
      <c r="AN57" s="287"/>
      <c r="AO57" s="82"/>
      <c r="AP57" s="287"/>
      <c r="AQ57" s="82"/>
      <c r="AR57" s="287"/>
      <c r="AS57" s="82"/>
      <c r="AT57" s="287"/>
      <c r="AU57" s="82"/>
      <c r="AV57" s="50">
        <f>IFERROR(VLOOKUP(A57,'Site check'!A:Q,14,0),0)</f>
        <v>0</v>
      </c>
    </row>
    <row r="58" spans="1:48">
      <c r="A58" s="35" t="s">
        <v>74</v>
      </c>
      <c r="B58" s="97"/>
      <c r="C58" s="4"/>
      <c r="D58" s="4"/>
      <c r="E58" s="4"/>
      <c r="F58" s="4"/>
      <c r="G58" s="257">
        <f t="shared" si="0"/>
        <v>0</v>
      </c>
      <c r="H58" s="140">
        <f t="shared" si="1"/>
        <v>0</v>
      </c>
      <c r="I58" s="82"/>
      <c r="J58" s="287"/>
      <c r="K58" s="82"/>
      <c r="L58" s="287"/>
      <c r="M58" s="82"/>
      <c r="N58" s="287"/>
      <c r="O58" s="82"/>
      <c r="P58" s="287"/>
      <c r="Q58" s="82"/>
      <c r="R58" s="287"/>
      <c r="S58" s="82"/>
      <c r="T58" s="287"/>
      <c r="U58" s="82"/>
      <c r="V58" s="287"/>
      <c r="W58" s="82"/>
      <c r="X58" s="287"/>
      <c r="Y58" s="82"/>
      <c r="Z58" s="287"/>
      <c r="AA58" s="82"/>
      <c r="AB58" s="287"/>
      <c r="AC58" s="82"/>
      <c r="AD58" s="287"/>
      <c r="AE58" s="82"/>
      <c r="AF58" s="287"/>
      <c r="AG58" s="82"/>
      <c r="AH58" s="287"/>
      <c r="AI58" s="82"/>
      <c r="AJ58" s="287"/>
      <c r="AK58" s="82"/>
      <c r="AL58" s="287"/>
      <c r="AM58" s="82"/>
      <c r="AN58" s="287"/>
      <c r="AO58" s="82"/>
      <c r="AP58" s="287"/>
      <c r="AQ58" s="82"/>
      <c r="AR58" s="287"/>
      <c r="AS58" s="82"/>
      <c r="AT58" s="287"/>
      <c r="AU58" s="82"/>
      <c r="AV58" s="50">
        <f>IFERROR(VLOOKUP(A58,'Site check'!A:Q,14,0),0)</f>
        <v>0</v>
      </c>
    </row>
    <row r="59" spans="1:48">
      <c r="A59" s="35" t="s">
        <v>75</v>
      </c>
      <c r="B59" s="97"/>
      <c r="C59" s="4"/>
      <c r="D59" s="4"/>
      <c r="E59" s="4"/>
      <c r="F59" s="4"/>
      <c r="G59" s="257">
        <f t="shared" si="0"/>
        <v>0</v>
      </c>
      <c r="H59" s="140">
        <f t="shared" si="1"/>
        <v>0</v>
      </c>
      <c r="I59" s="82"/>
      <c r="J59" s="287"/>
      <c r="K59" s="82"/>
      <c r="L59" s="287"/>
      <c r="M59" s="82"/>
      <c r="N59" s="287"/>
      <c r="O59" s="82"/>
      <c r="P59" s="287"/>
      <c r="Q59" s="82"/>
      <c r="R59" s="287"/>
      <c r="S59" s="82"/>
      <c r="T59" s="287"/>
      <c r="U59" s="82"/>
      <c r="V59" s="287"/>
      <c r="W59" s="82"/>
      <c r="X59" s="287"/>
      <c r="Y59" s="82"/>
      <c r="Z59" s="287"/>
      <c r="AA59" s="82"/>
      <c r="AB59" s="287"/>
      <c r="AC59" s="82"/>
      <c r="AD59" s="287"/>
      <c r="AE59" s="82"/>
      <c r="AF59" s="287"/>
      <c r="AG59" s="82"/>
      <c r="AH59" s="287"/>
      <c r="AI59" s="82"/>
      <c r="AJ59" s="287"/>
      <c r="AK59" s="82"/>
      <c r="AL59" s="287"/>
      <c r="AM59" s="82"/>
      <c r="AN59" s="287"/>
      <c r="AO59" s="82"/>
      <c r="AP59" s="287"/>
      <c r="AQ59" s="82"/>
      <c r="AR59" s="287"/>
      <c r="AS59" s="82"/>
      <c r="AT59" s="287"/>
      <c r="AU59" s="82"/>
      <c r="AV59" s="50">
        <f>IFERROR(VLOOKUP(A59,'Site check'!A:Q,14,0),0)</f>
        <v>0</v>
      </c>
    </row>
    <row r="60" spans="1:48">
      <c r="A60" s="35" t="s">
        <v>76</v>
      </c>
      <c r="B60" s="97"/>
      <c r="C60" s="4"/>
      <c r="D60" s="4"/>
      <c r="E60" s="4"/>
      <c r="F60" s="4"/>
      <c r="G60" s="257">
        <f t="shared" si="0"/>
        <v>0</v>
      </c>
      <c r="H60" s="140">
        <f t="shared" si="1"/>
        <v>0</v>
      </c>
      <c r="I60" s="82"/>
      <c r="J60" s="287"/>
      <c r="K60" s="82"/>
      <c r="L60" s="287"/>
      <c r="M60" s="82"/>
      <c r="N60" s="287"/>
      <c r="O60" s="82"/>
      <c r="P60" s="287"/>
      <c r="Q60" s="82"/>
      <c r="R60" s="287"/>
      <c r="S60" s="82"/>
      <c r="T60" s="287"/>
      <c r="U60" s="82"/>
      <c r="V60" s="287"/>
      <c r="W60" s="82"/>
      <c r="X60" s="287"/>
      <c r="Y60" s="82"/>
      <c r="Z60" s="287"/>
      <c r="AA60" s="82"/>
      <c r="AB60" s="287"/>
      <c r="AC60" s="82"/>
      <c r="AD60" s="287"/>
      <c r="AE60" s="82"/>
      <c r="AF60" s="287"/>
      <c r="AG60" s="82"/>
      <c r="AH60" s="287"/>
      <c r="AI60" s="82"/>
      <c r="AJ60" s="287"/>
      <c r="AK60" s="82"/>
      <c r="AL60" s="287"/>
      <c r="AM60" s="82"/>
      <c r="AN60" s="287"/>
      <c r="AO60" s="82"/>
      <c r="AP60" s="287"/>
      <c r="AQ60" s="82"/>
      <c r="AR60" s="287"/>
      <c r="AS60" s="82"/>
      <c r="AT60" s="287"/>
      <c r="AU60" s="82"/>
      <c r="AV60" s="50">
        <f>IFERROR(VLOOKUP(A60,'Site check'!A:Q,14,0),0)</f>
        <v>0</v>
      </c>
    </row>
    <row r="61" spans="1:48">
      <c r="A61" s="35" t="s">
        <v>77</v>
      </c>
      <c r="B61" s="97"/>
      <c r="C61" s="4"/>
      <c r="D61" s="4"/>
      <c r="E61" s="4"/>
      <c r="F61" s="4"/>
      <c r="G61" s="257">
        <f t="shared" si="0"/>
        <v>1</v>
      </c>
      <c r="H61" s="140">
        <f t="shared" si="1"/>
        <v>18.348623853211009</v>
      </c>
      <c r="I61" s="266" t="s">
        <v>457</v>
      </c>
      <c r="J61" s="291">
        <v>1</v>
      </c>
      <c r="K61" s="82"/>
      <c r="L61" s="287"/>
      <c r="M61" s="82"/>
      <c r="N61" s="287"/>
      <c r="O61" s="82"/>
      <c r="P61" s="287"/>
      <c r="Q61" s="82"/>
      <c r="R61" s="287"/>
      <c r="S61" s="82"/>
      <c r="T61" s="287"/>
      <c r="U61" s="82"/>
      <c r="V61" s="287"/>
      <c r="W61" s="82"/>
      <c r="X61" s="287"/>
      <c r="Y61" s="82"/>
      <c r="Z61" s="287"/>
      <c r="AA61" s="82"/>
      <c r="AB61" s="287"/>
      <c r="AC61" s="82"/>
      <c r="AD61" s="287"/>
      <c r="AE61" s="82"/>
      <c r="AF61" s="287"/>
      <c r="AG61" s="82"/>
      <c r="AH61" s="287"/>
      <c r="AI61" s="82"/>
      <c r="AJ61" s="287"/>
      <c r="AK61" s="82"/>
      <c r="AL61" s="287"/>
      <c r="AM61" s="82"/>
      <c r="AN61" s="287"/>
      <c r="AO61" s="82"/>
      <c r="AP61" s="287"/>
      <c r="AQ61" s="82"/>
      <c r="AR61" s="287"/>
      <c r="AS61" s="82"/>
      <c r="AT61" s="287"/>
      <c r="AU61" s="82"/>
      <c r="AV61" s="50">
        <f>IFERROR(VLOOKUP(A61,'Site check'!A:Q,14,0),0)</f>
        <v>0</v>
      </c>
    </row>
    <row r="62" spans="1:48">
      <c r="A62" s="35" t="s">
        <v>78</v>
      </c>
      <c r="B62" s="97"/>
      <c r="C62" s="4"/>
      <c r="D62" s="4"/>
      <c r="E62" s="4"/>
      <c r="F62" s="4"/>
      <c r="G62" s="257">
        <f t="shared" si="0"/>
        <v>0</v>
      </c>
      <c r="H62" s="140">
        <f t="shared" si="1"/>
        <v>0</v>
      </c>
      <c r="I62" s="84"/>
      <c r="J62" s="292"/>
      <c r="K62" s="82"/>
      <c r="L62" s="287"/>
      <c r="M62" s="82"/>
      <c r="N62" s="287"/>
      <c r="O62" s="82"/>
      <c r="P62" s="287"/>
      <c r="Q62" s="82"/>
      <c r="R62" s="287"/>
      <c r="S62" s="82"/>
      <c r="T62" s="287"/>
      <c r="U62" s="82"/>
      <c r="V62" s="287"/>
      <c r="W62" s="82"/>
      <c r="X62" s="287"/>
      <c r="Y62" s="82"/>
      <c r="Z62" s="287"/>
      <c r="AA62" s="82"/>
      <c r="AB62" s="287"/>
      <c r="AC62" s="82"/>
      <c r="AD62" s="287"/>
      <c r="AE62" s="82"/>
      <c r="AF62" s="287"/>
      <c r="AG62" s="82"/>
      <c r="AH62" s="287"/>
      <c r="AI62" s="82"/>
      <c r="AJ62" s="287"/>
      <c r="AK62" s="82"/>
      <c r="AL62" s="287"/>
      <c r="AM62" s="82"/>
      <c r="AN62" s="287"/>
      <c r="AO62" s="82"/>
      <c r="AP62" s="287"/>
      <c r="AQ62" s="82"/>
      <c r="AR62" s="287"/>
      <c r="AS62" s="82"/>
      <c r="AT62" s="287"/>
      <c r="AU62" s="82"/>
      <c r="AV62" s="50">
        <f>IFERROR(VLOOKUP(A62,'Site check'!A:Q,14,0),0)</f>
        <v>0</v>
      </c>
    </row>
    <row r="63" spans="1:48">
      <c r="A63" s="35" t="s">
        <v>79</v>
      </c>
      <c r="B63" s="97"/>
      <c r="C63" s="4"/>
      <c r="D63" s="4"/>
      <c r="E63" s="4"/>
      <c r="F63" s="4"/>
      <c r="G63" s="257">
        <f t="shared" si="0"/>
        <v>1</v>
      </c>
      <c r="H63" s="140">
        <f t="shared" si="1"/>
        <v>18.348623853211009</v>
      </c>
      <c r="I63" s="266" t="s">
        <v>458</v>
      </c>
      <c r="J63" s="291">
        <v>1</v>
      </c>
      <c r="K63" s="82"/>
      <c r="L63" s="287"/>
      <c r="M63" s="82"/>
      <c r="N63" s="287"/>
      <c r="O63" s="82"/>
      <c r="P63" s="287"/>
      <c r="Q63" s="82"/>
      <c r="R63" s="287"/>
      <c r="S63" s="82"/>
      <c r="T63" s="287"/>
      <c r="U63" s="82"/>
      <c r="V63" s="287"/>
      <c r="W63" s="82"/>
      <c r="X63" s="287"/>
      <c r="Y63" s="82"/>
      <c r="Z63" s="287"/>
      <c r="AA63" s="82"/>
      <c r="AB63" s="287"/>
      <c r="AC63" s="82"/>
      <c r="AD63" s="287"/>
      <c r="AE63" s="82"/>
      <c r="AF63" s="287"/>
      <c r="AG63" s="82"/>
      <c r="AH63" s="287"/>
      <c r="AI63" s="82"/>
      <c r="AJ63" s="287"/>
      <c r="AK63" s="82"/>
      <c r="AL63" s="287"/>
      <c r="AM63" s="82"/>
      <c r="AN63" s="287"/>
      <c r="AO63" s="82"/>
      <c r="AP63" s="287"/>
      <c r="AQ63" s="82"/>
      <c r="AR63" s="287"/>
      <c r="AS63" s="82"/>
      <c r="AT63" s="287"/>
      <c r="AU63" s="82"/>
      <c r="AV63" s="50">
        <f>IFERROR(VLOOKUP(A63,'Site check'!A:Q,14,0),0)</f>
        <v>0</v>
      </c>
    </row>
    <row r="64" spans="1:48">
      <c r="A64" s="35" t="s">
        <v>80</v>
      </c>
      <c r="B64" s="97"/>
      <c r="C64" s="4"/>
      <c r="D64" s="4"/>
      <c r="E64" s="4"/>
      <c r="F64" s="4"/>
      <c r="G64" s="257">
        <f t="shared" si="0"/>
        <v>3</v>
      </c>
      <c r="H64" s="140">
        <f t="shared" si="1"/>
        <v>55.045871559633028</v>
      </c>
      <c r="I64" s="82" t="s">
        <v>459</v>
      </c>
      <c r="J64" s="287">
        <v>0.5</v>
      </c>
      <c r="K64" s="82" t="s">
        <v>460</v>
      </c>
      <c r="L64" s="287">
        <v>2.5</v>
      </c>
      <c r="M64" s="82"/>
      <c r="N64" s="287"/>
      <c r="O64" s="82"/>
      <c r="P64" s="287"/>
      <c r="Q64" s="82"/>
      <c r="R64" s="287"/>
      <c r="S64" s="82"/>
      <c r="T64" s="287"/>
      <c r="U64" s="82"/>
      <c r="V64" s="287"/>
      <c r="W64" s="82"/>
      <c r="X64" s="287"/>
      <c r="Y64" s="82"/>
      <c r="Z64" s="287"/>
      <c r="AA64" s="82"/>
      <c r="AB64" s="287"/>
      <c r="AC64" s="82"/>
      <c r="AD64" s="287"/>
      <c r="AE64" s="82"/>
      <c r="AF64" s="287"/>
      <c r="AG64" s="82"/>
      <c r="AH64" s="287"/>
      <c r="AI64" s="82"/>
      <c r="AJ64" s="287"/>
      <c r="AK64" s="82"/>
      <c r="AL64" s="287"/>
      <c r="AM64" s="82"/>
      <c r="AN64" s="287"/>
      <c r="AO64" s="82"/>
      <c r="AP64" s="287"/>
      <c r="AQ64" s="82"/>
      <c r="AR64" s="287"/>
      <c r="AS64" s="82"/>
      <c r="AT64" s="287"/>
      <c r="AU64" s="82"/>
      <c r="AV64" s="50">
        <f>IFERROR(VLOOKUP(A64,'Site check'!A:Q,14,0),0)</f>
        <v>0</v>
      </c>
    </row>
    <row r="65" spans="1:48">
      <c r="A65" s="35" t="s">
        <v>81</v>
      </c>
      <c r="B65" s="97"/>
      <c r="C65" s="4"/>
      <c r="D65" s="4"/>
      <c r="E65" s="4"/>
      <c r="F65" s="4"/>
      <c r="G65" s="257">
        <f t="shared" si="0"/>
        <v>0</v>
      </c>
      <c r="H65" s="140">
        <f t="shared" si="1"/>
        <v>0</v>
      </c>
      <c r="I65" s="82"/>
      <c r="J65" s="287"/>
      <c r="K65" s="82"/>
      <c r="L65" s="287"/>
      <c r="M65" s="82"/>
      <c r="N65" s="287"/>
      <c r="O65" s="82"/>
      <c r="P65" s="287"/>
      <c r="Q65" s="82"/>
      <c r="R65" s="287"/>
      <c r="S65" s="82"/>
      <c r="T65" s="287"/>
      <c r="U65" s="82"/>
      <c r="V65" s="287"/>
      <c r="W65" s="82"/>
      <c r="X65" s="287"/>
      <c r="Y65" s="82"/>
      <c r="Z65" s="287"/>
      <c r="AA65" s="82"/>
      <c r="AB65" s="287"/>
      <c r="AC65" s="82"/>
      <c r="AD65" s="287"/>
      <c r="AE65" s="82"/>
      <c r="AF65" s="287"/>
      <c r="AG65" s="82"/>
      <c r="AH65" s="287"/>
      <c r="AI65" s="82"/>
      <c r="AJ65" s="287"/>
      <c r="AK65" s="82"/>
      <c r="AL65" s="287"/>
      <c r="AM65" s="82"/>
      <c r="AN65" s="287"/>
      <c r="AO65" s="82"/>
      <c r="AP65" s="287"/>
      <c r="AQ65" s="82"/>
      <c r="AR65" s="287"/>
      <c r="AS65" s="82"/>
      <c r="AT65" s="287"/>
      <c r="AU65" s="82"/>
      <c r="AV65" s="50">
        <f>IFERROR(VLOOKUP(A65,'Site check'!A:Q,14,0),0)</f>
        <v>0</v>
      </c>
    </row>
    <row r="66" spans="1:48">
      <c r="A66" s="35" t="s">
        <v>82</v>
      </c>
      <c r="B66" s="97"/>
      <c r="C66" s="4"/>
      <c r="D66" s="4"/>
      <c r="E66" s="4"/>
      <c r="F66" s="4"/>
      <c r="G66" s="257">
        <f t="shared" si="0"/>
        <v>1.5</v>
      </c>
      <c r="H66" s="140">
        <f t="shared" si="1"/>
        <v>27.522935779816514</v>
      </c>
      <c r="I66" s="88" t="s">
        <v>461</v>
      </c>
      <c r="J66" s="289">
        <v>0.5</v>
      </c>
      <c r="K66" s="88" t="s">
        <v>462</v>
      </c>
      <c r="L66" s="289">
        <v>1</v>
      </c>
      <c r="M66" s="82"/>
      <c r="N66" s="287"/>
      <c r="O66" s="82"/>
      <c r="P66" s="287"/>
      <c r="Q66" s="82"/>
      <c r="R66" s="287"/>
      <c r="S66" s="82"/>
      <c r="T66" s="287"/>
      <c r="U66" s="82"/>
      <c r="V66" s="287"/>
      <c r="W66" s="82"/>
      <c r="X66" s="287"/>
      <c r="Y66" s="82"/>
      <c r="Z66" s="287"/>
      <c r="AA66" s="82"/>
      <c r="AB66" s="287"/>
      <c r="AC66" s="82"/>
      <c r="AD66" s="287"/>
      <c r="AE66" s="82"/>
      <c r="AF66" s="287"/>
      <c r="AG66" s="82"/>
      <c r="AH66" s="287"/>
      <c r="AI66" s="82"/>
      <c r="AJ66" s="287"/>
      <c r="AK66" s="82"/>
      <c r="AL66" s="287"/>
      <c r="AM66" s="82"/>
      <c r="AN66" s="287"/>
      <c r="AO66" s="82"/>
      <c r="AP66" s="287"/>
      <c r="AQ66" s="82"/>
      <c r="AR66" s="287"/>
      <c r="AS66" s="82"/>
      <c r="AT66" s="287"/>
      <c r="AU66" s="82"/>
      <c r="AV66" s="50">
        <f>IFERROR(VLOOKUP(A66,'Site check'!A:Q,14,0),0)</f>
        <v>0</v>
      </c>
    </row>
    <row r="67" spans="1:48">
      <c r="A67" s="35" t="s">
        <v>83</v>
      </c>
      <c r="B67" s="97"/>
      <c r="C67" s="4"/>
      <c r="D67" s="4"/>
      <c r="E67" s="4"/>
      <c r="F67" s="4"/>
      <c r="G67" s="257">
        <f t="shared" si="0"/>
        <v>0</v>
      </c>
      <c r="H67" s="140">
        <f t="shared" si="1"/>
        <v>0</v>
      </c>
      <c r="I67" s="82"/>
      <c r="J67" s="287"/>
      <c r="K67" s="82"/>
      <c r="L67" s="287"/>
      <c r="M67" s="82"/>
      <c r="N67" s="287"/>
      <c r="O67" s="82"/>
      <c r="P67" s="287"/>
      <c r="Q67" s="82"/>
      <c r="R67" s="287"/>
      <c r="S67" s="82"/>
      <c r="T67" s="287"/>
      <c r="U67" s="82"/>
      <c r="V67" s="287"/>
      <c r="W67" s="82"/>
      <c r="X67" s="287"/>
      <c r="Y67" s="82"/>
      <c r="Z67" s="287"/>
      <c r="AA67" s="82"/>
      <c r="AB67" s="287"/>
      <c r="AC67" s="82"/>
      <c r="AD67" s="287"/>
      <c r="AE67" s="82"/>
      <c r="AF67" s="287"/>
      <c r="AG67" s="82"/>
      <c r="AH67" s="287"/>
      <c r="AI67" s="82"/>
      <c r="AJ67" s="287"/>
      <c r="AK67" s="82"/>
      <c r="AL67" s="287"/>
      <c r="AM67" s="82"/>
      <c r="AN67" s="287"/>
      <c r="AO67" s="82"/>
      <c r="AP67" s="287"/>
      <c r="AQ67" s="82"/>
      <c r="AR67" s="287"/>
      <c r="AS67" s="82"/>
      <c r="AT67" s="287"/>
      <c r="AU67" s="82"/>
      <c r="AV67" s="50">
        <f>IFERROR(VLOOKUP(A67,'Site check'!A:Q,14,0),0)</f>
        <v>0</v>
      </c>
    </row>
    <row r="68" spans="1:48">
      <c r="A68" s="35" t="s">
        <v>84</v>
      </c>
      <c r="B68" s="97"/>
      <c r="C68" s="4"/>
      <c r="D68" s="4"/>
      <c r="E68" s="4"/>
      <c r="F68" s="4"/>
      <c r="G68" s="257">
        <f t="shared" si="0"/>
        <v>0</v>
      </c>
      <c r="H68" s="140">
        <f t="shared" si="1"/>
        <v>0</v>
      </c>
      <c r="I68" s="82"/>
      <c r="J68" s="287"/>
      <c r="K68" s="82"/>
      <c r="L68" s="287"/>
      <c r="M68" s="82"/>
      <c r="N68" s="287"/>
      <c r="O68" s="82"/>
      <c r="P68" s="287"/>
      <c r="Q68" s="82"/>
      <c r="R68" s="287"/>
      <c r="S68" s="82"/>
      <c r="T68" s="287"/>
      <c r="U68" s="82"/>
      <c r="V68" s="287"/>
      <c r="W68" s="82"/>
      <c r="X68" s="287"/>
      <c r="Y68" s="82"/>
      <c r="Z68" s="287"/>
      <c r="AA68" s="82"/>
      <c r="AB68" s="287"/>
      <c r="AC68" s="82"/>
      <c r="AD68" s="287"/>
      <c r="AE68" s="82"/>
      <c r="AF68" s="287"/>
      <c r="AG68" s="82"/>
      <c r="AH68" s="287"/>
      <c r="AI68" s="82"/>
      <c r="AJ68" s="287"/>
      <c r="AK68" s="82"/>
      <c r="AL68" s="287"/>
      <c r="AM68" s="82"/>
      <c r="AN68" s="287"/>
      <c r="AO68" s="82"/>
      <c r="AP68" s="287"/>
      <c r="AQ68" s="82"/>
      <c r="AR68" s="287"/>
      <c r="AS68" s="82"/>
      <c r="AT68" s="287"/>
      <c r="AU68" s="82"/>
      <c r="AV68" s="50">
        <f>IFERROR(VLOOKUP(A68,'Site check'!A:Q,14,0),0)</f>
        <v>0</v>
      </c>
    </row>
    <row r="69" spans="1:48">
      <c r="A69" s="39" t="s">
        <v>85</v>
      </c>
      <c r="B69" s="24" t="s">
        <v>17</v>
      </c>
      <c r="C69" s="4"/>
      <c r="D69" s="4"/>
      <c r="E69" s="4"/>
      <c r="F69" s="4"/>
      <c r="G69" s="257">
        <f t="shared" si="0"/>
        <v>11.1</v>
      </c>
      <c r="H69" s="140">
        <f t="shared" si="1"/>
        <v>203.6697247706422</v>
      </c>
      <c r="I69" s="82" t="s">
        <v>463</v>
      </c>
      <c r="J69" s="287">
        <v>1</v>
      </c>
      <c r="K69" s="82" t="s">
        <v>464</v>
      </c>
      <c r="L69" s="287">
        <v>1</v>
      </c>
      <c r="M69" s="266" t="s">
        <v>465</v>
      </c>
      <c r="N69" s="291">
        <v>2</v>
      </c>
      <c r="O69" s="269" t="s">
        <v>466</v>
      </c>
      <c r="P69" s="291">
        <v>2</v>
      </c>
      <c r="Q69" s="266" t="s">
        <v>467</v>
      </c>
      <c r="R69" s="291">
        <v>2</v>
      </c>
      <c r="S69" s="269" t="s">
        <v>468</v>
      </c>
      <c r="T69" s="291">
        <v>2</v>
      </c>
      <c r="U69" s="93" t="s">
        <v>469</v>
      </c>
      <c r="V69" s="81">
        <v>1.1000000000000001</v>
      </c>
      <c r="W69" s="102"/>
      <c r="X69" s="297"/>
      <c r="Y69" s="104"/>
      <c r="Z69" s="297"/>
      <c r="AA69" s="82"/>
      <c r="AB69" s="287"/>
      <c r="AC69" s="82"/>
      <c r="AD69" s="287"/>
      <c r="AE69" s="82"/>
      <c r="AF69" s="287"/>
      <c r="AG69" s="82"/>
      <c r="AH69" s="287"/>
      <c r="AI69" s="82"/>
      <c r="AJ69" s="287"/>
      <c r="AK69" s="82"/>
      <c r="AL69" s="287"/>
      <c r="AM69" s="82"/>
      <c r="AN69" s="287"/>
      <c r="AO69" s="82"/>
      <c r="AP69" s="287"/>
      <c r="AQ69" s="82"/>
      <c r="AR69" s="287"/>
      <c r="AS69" s="82"/>
      <c r="AT69" s="287"/>
      <c r="AU69" s="82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7">
        <f t="shared" si="0"/>
        <v>1.5</v>
      </c>
      <c r="H70" s="140">
        <f t="shared" si="1"/>
        <v>27.522935779816514</v>
      </c>
      <c r="I70" s="82" t="s">
        <v>470</v>
      </c>
      <c r="J70" s="287">
        <v>1.5</v>
      </c>
      <c r="K70" s="82"/>
      <c r="L70" s="287"/>
      <c r="M70" s="82"/>
      <c r="N70" s="287"/>
      <c r="O70" s="82"/>
      <c r="P70" s="287"/>
      <c r="Q70" s="82"/>
      <c r="R70" s="287"/>
      <c r="S70" s="82"/>
      <c r="T70" s="287"/>
      <c r="U70" s="82"/>
      <c r="V70" s="287"/>
      <c r="W70" s="82"/>
      <c r="X70" s="287"/>
      <c r="Y70" s="82"/>
      <c r="Z70" s="287"/>
      <c r="AA70" s="82"/>
      <c r="AB70" s="287"/>
      <c r="AC70" s="82"/>
      <c r="AD70" s="287"/>
      <c r="AE70" s="82"/>
      <c r="AF70" s="287"/>
      <c r="AG70" s="82"/>
      <c r="AH70" s="287"/>
      <c r="AI70" s="82"/>
      <c r="AJ70" s="287"/>
      <c r="AK70" s="82"/>
      <c r="AL70" s="287"/>
      <c r="AM70" s="82"/>
      <c r="AN70" s="287"/>
      <c r="AO70" s="82"/>
      <c r="AP70" s="287"/>
      <c r="AQ70" s="82"/>
      <c r="AR70" s="287"/>
      <c r="AS70" s="82"/>
      <c r="AT70" s="287"/>
      <c r="AU70" s="82"/>
      <c r="AV70" s="50">
        <f>IFERROR(VLOOKUP(A70,'Site check'!A:Q,14,0),0)</f>
        <v>0</v>
      </c>
    </row>
    <row r="71" spans="1:48">
      <c r="A71" s="35" t="s">
        <v>87</v>
      </c>
      <c r="B71" s="97"/>
      <c r="C71" s="30" t="s">
        <v>18</v>
      </c>
      <c r="D71" s="30" t="s">
        <v>19</v>
      </c>
      <c r="E71" s="4"/>
      <c r="F71" s="30" t="s">
        <v>319</v>
      </c>
      <c r="G71" s="257">
        <f t="shared" si="0"/>
        <v>9</v>
      </c>
      <c r="H71" s="140">
        <f t="shared" si="1"/>
        <v>165.13761467889907</v>
      </c>
      <c r="I71" s="88" t="s">
        <v>471</v>
      </c>
      <c r="J71" s="289">
        <v>0.3</v>
      </c>
      <c r="K71" s="82" t="s">
        <v>472</v>
      </c>
      <c r="L71" s="287">
        <v>1</v>
      </c>
      <c r="M71" s="82" t="s">
        <v>473</v>
      </c>
      <c r="N71" s="287">
        <v>1.45</v>
      </c>
      <c r="O71" s="82" t="s">
        <v>474</v>
      </c>
      <c r="P71" s="287">
        <v>0.65</v>
      </c>
      <c r="Q71" s="82" t="s">
        <v>475</v>
      </c>
      <c r="R71" s="287">
        <v>1.25</v>
      </c>
      <c r="S71" s="90" t="s">
        <v>476</v>
      </c>
      <c r="T71" s="290">
        <v>0.35</v>
      </c>
      <c r="U71" s="88" t="s">
        <v>408</v>
      </c>
      <c r="V71" s="289">
        <v>4</v>
      </c>
      <c r="W71" s="82"/>
      <c r="X71" s="287"/>
      <c r="Y71" s="82"/>
      <c r="Z71" s="287"/>
      <c r="AA71" s="82"/>
      <c r="AB71" s="287"/>
      <c r="AC71" s="82"/>
      <c r="AD71" s="287"/>
      <c r="AE71" s="82"/>
      <c r="AF71" s="287"/>
      <c r="AG71" s="82"/>
      <c r="AH71" s="287"/>
      <c r="AI71" s="82"/>
      <c r="AJ71" s="287"/>
      <c r="AK71" s="82"/>
      <c r="AL71" s="287"/>
      <c r="AM71" s="82"/>
      <c r="AN71" s="287"/>
      <c r="AO71" s="82"/>
      <c r="AP71" s="287"/>
      <c r="AQ71" s="82"/>
      <c r="AR71" s="287"/>
      <c r="AS71" s="82"/>
      <c r="AT71" s="287"/>
      <c r="AU71" s="82"/>
      <c r="AV71" s="50">
        <f>IFERROR(VLOOKUP(A71,'Site check'!A:Q,14,0),0)</f>
        <v>0</v>
      </c>
    </row>
    <row r="72" spans="1:48">
      <c r="A72" s="35" t="s">
        <v>88</v>
      </c>
      <c r="B72" s="97"/>
      <c r="C72" s="4"/>
      <c r="D72" s="4"/>
      <c r="E72" s="4"/>
      <c r="F72" s="4"/>
      <c r="G72" s="257">
        <f t="shared" ref="G72" si="2">SUM(J72,L72,N72,P72,R72,T72,V72,X72,Z72,AB72,AD72,AF72,AH72,AJ72,AL72,AN72,AP72,AR72,AT72,AV72)</f>
        <v>9.6999999999999993</v>
      </c>
      <c r="H72" s="140">
        <f t="shared" ref="H72" si="3">SUM(G72*1000)/54.5</f>
        <v>177.9816513761468</v>
      </c>
      <c r="I72" s="88" t="s">
        <v>471</v>
      </c>
      <c r="J72" s="289">
        <v>0.5</v>
      </c>
      <c r="K72" s="82" t="s">
        <v>472</v>
      </c>
      <c r="L72" s="287">
        <v>1.1000000000000001</v>
      </c>
      <c r="M72" s="82" t="s">
        <v>473</v>
      </c>
      <c r="N72" s="287">
        <v>1.45</v>
      </c>
      <c r="O72" s="82" t="s">
        <v>474</v>
      </c>
      <c r="P72" s="287">
        <v>0.75</v>
      </c>
      <c r="Q72" s="82" t="s">
        <v>475</v>
      </c>
      <c r="R72" s="287">
        <v>1.35</v>
      </c>
      <c r="S72" s="90" t="s">
        <v>476</v>
      </c>
      <c r="T72" s="290">
        <v>0.55000000000000004</v>
      </c>
      <c r="U72" s="88" t="s">
        <v>408</v>
      </c>
      <c r="V72" s="289">
        <v>4</v>
      </c>
      <c r="W72" s="82"/>
      <c r="X72" s="287"/>
      <c r="Y72" s="82"/>
      <c r="Z72" s="287"/>
      <c r="AA72" s="82"/>
      <c r="AB72" s="287"/>
      <c r="AC72" s="82"/>
      <c r="AD72" s="287"/>
      <c r="AE72" s="82"/>
      <c r="AF72" s="287"/>
      <c r="AG72" s="82"/>
      <c r="AH72" s="287"/>
      <c r="AI72" s="82"/>
      <c r="AJ72" s="287"/>
      <c r="AK72" s="82"/>
      <c r="AL72" s="287"/>
      <c r="AM72" s="82"/>
      <c r="AN72" s="287"/>
      <c r="AO72" s="82"/>
      <c r="AP72" s="287"/>
      <c r="AQ72" s="82"/>
      <c r="AR72" s="287"/>
      <c r="AS72" s="82"/>
      <c r="AT72" s="287"/>
      <c r="AU72" s="82"/>
      <c r="AV72" s="50">
        <f>IFERROR(VLOOKUP(A72,'Site check'!A:Q,14,0),0)</f>
        <v>0</v>
      </c>
    </row>
    <row r="73" spans="1:48">
      <c r="A73" s="37" t="s">
        <v>89</v>
      </c>
      <c r="B73" s="97"/>
      <c r="C73" s="97"/>
      <c r="D73" s="4"/>
      <c r="E73" s="30" t="s">
        <v>438</v>
      </c>
      <c r="F73" s="4"/>
      <c r="G73" s="257">
        <f t="shared" ref="G73:G140" si="4">SUM(J73,L73,N73,P73,R73,T73,V73,X73,Z73,AB73,AD73,AF73,AH73,AJ73,AL73,AN73,AP73,AR73,AT73,AV73)</f>
        <v>6.9</v>
      </c>
      <c r="H73" s="140">
        <f t="shared" si="1"/>
        <v>126.60550458715596</v>
      </c>
      <c r="I73" s="82" t="s">
        <v>477</v>
      </c>
      <c r="J73" s="287">
        <v>5.9</v>
      </c>
      <c r="K73" s="259" t="s">
        <v>478</v>
      </c>
      <c r="L73" s="307">
        <v>1</v>
      </c>
      <c r="M73" s="109"/>
      <c r="N73" s="307"/>
      <c r="O73" s="82"/>
      <c r="P73" s="287"/>
      <c r="Q73" s="82"/>
      <c r="R73" s="287"/>
      <c r="S73" s="82"/>
      <c r="T73" s="287"/>
      <c r="U73" s="82"/>
      <c r="V73" s="287"/>
      <c r="W73" s="82"/>
      <c r="X73" s="287"/>
      <c r="Y73" s="82"/>
      <c r="Z73" s="287"/>
      <c r="AA73" s="82"/>
      <c r="AB73" s="287"/>
      <c r="AC73" s="82"/>
      <c r="AD73" s="287"/>
      <c r="AE73" s="82"/>
      <c r="AF73" s="287"/>
      <c r="AG73" s="82"/>
      <c r="AH73" s="287"/>
      <c r="AI73" s="82"/>
      <c r="AJ73" s="287"/>
      <c r="AK73" s="82"/>
      <c r="AL73" s="287"/>
      <c r="AM73" s="82"/>
      <c r="AN73" s="287"/>
      <c r="AO73" s="82"/>
      <c r="AP73" s="287"/>
      <c r="AQ73" s="82"/>
      <c r="AR73" s="287"/>
      <c r="AS73" s="82"/>
      <c r="AT73" s="287"/>
      <c r="AU73" s="82"/>
      <c r="AV73" s="50">
        <f>IFERROR(VLOOKUP(A73,'Site check'!A:Q,14,0),0)</f>
        <v>0</v>
      </c>
    </row>
    <row r="74" spans="1:48">
      <c r="A74" s="37" t="s">
        <v>90</v>
      </c>
      <c r="B74" s="97"/>
      <c r="C74" s="97"/>
      <c r="D74" s="4"/>
      <c r="E74" s="4"/>
      <c r="F74" s="4"/>
      <c r="G74" s="257">
        <f t="shared" si="4"/>
        <v>6.8</v>
      </c>
      <c r="H74" s="140">
        <f t="shared" ref="H74:H141" si="5">SUM(G74*1000)/54.5</f>
        <v>124.77064220183486</v>
      </c>
      <c r="I74" s="82" t="s">
        <v>477</v>
      </c>
      <c r="J74" s="287">
        <v>5.8</v>
      </c>
      <c r="K74" s="259" t="s">
        <v>478</v>
      </c>
      <c r="L74" s="307">
        <v>1</v>
      </c>
      <c r="M74" s="109"/>
      <c r="N74" s="307"/>
      <c r="O74" s="82"/>
      <c r="P74" s="287"/>
      <c r="Q74" s="82"/>
      <c r="R74" s="287"/>
      <c r="S74" s="82"/>
      <c r="T74" s="287"/>
      <c r="U74" s="82"/>
      <c r="V74" s="287"/>
      <c r="W74" s="82"/>
      <c r="X74" s="287"/>
      <c r="Y74" s="82"/>
      <c r="Z74" s="287"/>
      <c r="AA74" s="82"/>
      <c r="AB74" s="287"/>
      <c r="AC74" s="82"/>
      <c r="AD74" s="287"/>
      <c r="AE74" s="82"/>
      <c r="AF74" s="287"/>
      <c r="AG74" s="82"/>
      <c r="AH74" s="287"/>
      <c r="AI74" s="82"/>
      <c r="AJ74" s="287"/>
      <c r="AK74" s="82"/>
      <c r="AL74" s="287"/>
      <c r="AM74" s="82"/>
      <c r="AN74" s="287"/>
      <c r="AO74" s="82"/>
      <c r="AP74" s="287"/>
      <c r="AQ74" s="82"/>
      <c r="AR74" s="287"/>
      <c r="AS74" s="82"/>
      <c r="AT74" s="287"/>
      <c r="AU74" s="82"/>
      <c r="AV74" s="50">
        <f>IFERROR(VLOOKUP(A74,'Site check'!A:Q,14,0),0)</f>
        <v>0</v>
      </c>
    </row>
    <row r="75" spans="1:48">
      <c r="A75" s="35" t="s">
        <v>91</v>
      </c>
      <c r="B75" s="97"/>
      <c r="C75" s="97"/>
      <c r="D75" s="4"/>
      <c r="E75" s="4"/>
      <c r="F75" s="30" t="s">
        <v>319</v>
      </c>
      <c r="G75" s="257">
        <f t="shared" si="4"/>
        <v>16.5</v>
      </c>
      <c r="H75" s="140">
        <f t="shared" si="5"/>
        <v>302.75229357798167</v>
      </c>
      <c r="I75" s="82" t="s">
        <v>479</v>
      </c>
      <c r="J75" s="287">
        <v>4.5</v>
      </c>
      <c r="K75" s="82" t="s">
        <v>480</v>
      </c>
      <c r="L75" s="287">
        <v>4.5</v>
      </c>
      <c r="M75" s="82" t="s">
        <v>481</v>
      </c>
      <c r="N75" s="287">
        <v>4.5</v>
      </c>
      <c r="O75" s="266" t="s">
        <v>482</v>
      </c>
      <c r="P75" s="291">
        <v>2</v>
      </c>
      <c r="Q75" s="104" t="s">
        <v>483</v>
      </c>
      <c r="R75" s="297">
        <v>1</v>
      </c>
      <c r="S75" s="82"/>
      <c r="T75" s="287"/>
      <c r="U75" s="82"/>
      <c r="V75" s="287"/>
      <c r="W75" s="82"/>
      <c r="X75" s="287"/>
      <c r="Y75" s="82"/>
      <c r="Z75" s="287"/>
      <c r="AA75" s="82"/>
      <c r="AB75" s="287"/>
      <c r="AC75" s="82"/>
      <c r="AD75" s="287"/>
      <c r="AE75" s="82"/>
      <c r="AF75" s="287"/>
      <c r="AG75" s="82"/>
      <c r="AH75" s="287"/>
      <c r="AI75" s="82"/>
      <c r="AJ75" s="287"/>
      <c r="AK75" s="82"/>
      <c r="AL75" s="287"/>
      <c r="AM75" s="82"/>
      <c r="AN75" s="287"/>
      <c r="AO75" s="82"/>
      <c r="AP75" s="287"/>
      <c r="AQ75" s="82"/>
      <c r="AR75" s="287"/>
      <c r="AS75" s="82"/>
      <c r="AT75" s="287"/>
      <c r="AU75" s="82"/>
      <c r="AV75" s="50">
        <f>IFERROR(VLOOKUP(A75,'Site check'!A:Q,14,0),0)</f>
        <v>0</v>
      </c>
    </row>
    <row r="76" spans="1:48">
      <c r="A76" s="35" t="s">
        <v>92</v>
      </c>
      <c r="B76" s="97"/>
      <c r="C76" s="97"/>
      <c r="D76" s="4"/>
      <c r="E76" s="4"/>
      <c r="F76" s="30"/>
      <c r="G76" s="257"/>
      <c r="H76" s="140"/>
      <c r="I76" s="82"/>
      <c r="J76" s="287"/>
      <c r="K76" s="82"/>
      <c r="L76" s="287"/>
      <c r="M76" s="82"/>
      <c r="N76" s="287"/>
      <c r="O76" s="266"/>
      <c r="P76" s="291"/>
      <c r="Q76" s="104"/>
      <c r="R76" s="297"/>
      <c r="S76" s="82"/>
      <c r="T76" s="287"/>
      <c r="U76" s="82"/>
      <c r="V76" s="287"/>
      <c r="W76" s="82"/>
      <c r="X76" s="287"/>
      <c r="Y76" s="82"/>
      <c r="Z76" s="287"/>
      <c r="AA76" s="82"/>
      <c r="AB76" s="287"/>
      <c r="AC76" s="82"/>
      <c r="AD76" s="287"/>
      <c r="AE76" s="82"/>
      <c r="AF76" s="287"/>
      <c r="AG76" s="82"/>
      <c r="AH76" s="287"/>
      <c r="AI76" s="82"/>
      <c r="AJ76" s="287"/>
      <c r="AK76" s="82"/>
      <c r="AL76" s="287"/>
      <c r="AM76" s="82"/>
      <c r="AN76" s="287"/>
      <c r="AO76" s="82"/>
      <c r="AP76" s="287"/>
      <c r="AQ76" s="82"/>
      <c r="AR76" s="287"/>
      <c r="AS76" s="82"/>
      <c r="AT76" s="287"/>
      <c r="AU76" s="82"/>
      <c r="AV76" s="50"/>
    </row>
    <row r="77" spans="1:48">
      <c r="A77" s="35" t="s">
        <v>93</v>
      </c>
      <c r="B77" s="97"/>
      <c r="C77" s="4"/>
      <c r="D77" s="4"/>
      <c r="E77" s="4"/>
      <c r="F77" s="4"/>
      <c r="G77" s="257">
        <f t="shared" si="4"/>
        <v>0</v>
      </c>
      <c r="H77" s="140">
        <f t="shared" si="5"/>
        <v>0</v>
      </c>
      <c r="I77" s="82"/>
      <c r="J77" s="287"/>
      <c r="K77" s="82"/>
      <c r="L77" s="287"/>
      <c r="M77" s="82"/>
      <c r="N77" s="287"/>
      <c r="O77" s="82"/>
      <c r="P77" s="287"/>
      <c r="Q77" s="82"/>
      <c r="R77" s="287"/>
      <c r="S77" s="82"/>
      <c r="T77" s="287"/>
      <c r="U77" s="82"/>
      <c r="V77" s="287"/>
      <c r="W77" s="82"/>
      <c r="X77" s="287"/>
      <c r="Y77" s="82"/>
      <c r="Z77" s="287"/>
      <c r="AA77" s="82"/>
      <c r="AB77" s="287"/>
      <c r="AC77" s="82"/>
      <c r="AD77" s="287"/>
      <c r="AE77" s="82"/>
      <c r="AF77" s="287"/>
      <c r="AG77" s="82"/>
      <c r="AH77" s="287"/>
      <c r="AI77" s="82"/>
      <c r="AJ77" s="287"/>
      <c r="AK77" s="82"/>
      <c r="AL77" s="287"/>
      <c r="AM77" s="82"/>
      <c r="AN77" s="287"/>
      <c r="AO77" s="82"/>
      <c r="AP77" s="287"/>
      <c r="AQ77" s="82"/>
      <c r="AR77" s="287"/>
      <c r="AS77" s="82"/>
      <c r="AT77" s="287"/>
      <c r="AU77" s="82"/>
      <c r="AV77" s="50">
        <f>IFERROR(VLOOKUP(A77,'Site check'!A:Q,14,0),0)</f>
        <v>0</v>
      </c>
    </row>
    <row r="78" spans="1:48">
      <c r="A78" s="35" t="s">
        <v>94</v>
      </c>
      <c r="B78" s="97"/>
      <c r="C78" s="4"/>
      <c r="D78" s="4"/>
      <c r="E78" s="4"/>
      <c r="F78" s="4"/>
      <c r="G78" s="257">
        <f t="shared" si="4"/>
        <v>2</v>
      </c>
      <c r="H78" s="140">
        <f t="shared" si="5"/>
        <v>36.697247706422019</v>
      </c>
      <c r="I78" s="88" t="s">
        <v>484</v>
      </c>
      <c r="J78" s="289">
        <v>2</v>
      </c>
      <c r="K78" s="82"/>
      <c r="L78" s="287"/>
      <c r="M78" s="82"/>
      <c r="N78" s="287"/>
      <c r="O78" s="82"/>
      <c r="P78" s="287"/>
      <c r="Q78" s="82"/>
      <c r="R78" s="287"/>
      <c r="S78" s="82"/>
      <c r="T78" s="287"/>
      <c r="U78" s="82"/>
      <c r="V78" s="287"/>
      <c r="W78" s="82"/>
      <c r="X78" s="287"/>
      <c r="Y78" s="82"/>
      <c r="Z78" s="287"/>
      <c r="AA78" s="82"/>
      <c r="AB78" s="287"/>
      <c r="AC78" s="82"/>
      <c r="AD78" s="287"/>
      <c r="AE78" s="82"/>
      <c r="AF78" s="287"/>
      <c r="AG78" s="82"/>
      <c r="AH78" s="287"/>
      <c r="AI78" s="82"/>
      <c r="AJ78" s="287"/>
      <c r="AK78" s="82"/>
      <c r="AL78" s="287"/>
      <c r="AM78" s="82"/>
      <c r="AN78" s="287"/>
      <c r="AO78" s="82"/>
      <c r="AP78" s="287"/>
      <c r="AQ78" s="82"/>
      <c r="AR78" s="287"/>
      <c r="AS78" s="82"/>
      <c r="AT78" s="287"/>
      <c r="AU78" s="82"/>
      <c r="AV78" s="50">
        <f>IFERROR(VLOOKUP(A78,'Site check'!A:Q,14,0),0)</f>
        <v>0</v>
      </c>
    </row>
    <row r="79" spans="1:48">
      <c r="A79" s="37" t="s">
        <v>95</v>
      </c>
      <c r="B79" s="97"/>
      <c r="C79" s="4"/>
      <c r="D79" s="4"/>
      <c r="E79" s="30" t="s">
        <v>438</v>
      </c>
      <c r="F79" s="4"/>
      <c r="G79" s="257">
        <f t="shared" si="4"/>
        <v>6.8</v>
      </c>
      <c r="H79" s="140">
        <f t="shared" si="5"/>
        <v>124.77064220183486</v>
      </c>
      <c r="I79" s="82" t="s">
        <v>485</v>
      </c>
      <c r="J79" s="287">
        <v>5.8</v>
      </c>
      <c r="K79" s="259" t="s">
        <v>486</v>
      </c>
      <c r="L79" s="308">
        <v>1</v>
      </c>
      <c r="M79" s="259"/>
      <c r="N79" s="308"/>
      <c r="O79" s="82"/>
      <c r="P79" s="287"/>
      <c r="Q79" s="82"/>
      <c r="R79" s="287"/>
      <c r="S79" s="82"/>
      <c r="T79" s="287"/>
      <c r="U79" s="82"/>
      <c r="V79" s="287"/>
      <c r="W79" s="82"/>
      <c r="X79" s="287"/>
      <c r="Y79" s="82"/>
      <c r="Z79" s="287"/>
      <c r="AA79" s="82"/>
      <c r="AB79" s="287"/>
      <c r="AC79" s="82"/>
      <c r="AD79" s="287"/>
      <c r="AE79" s="82"/>
      <c r="AF79" s="287"/>
      <c r="AG79" s="82"/>
      <c r="AH79" s="287"/>
      <c r="AI79" s="82"/>
      <c r="AJ79" s="287"/>
      <c r="AK79" s="82"/>
      <c r="AL79" s="287"/>
      <c r="AM79" s="82"/>
      <c r="AN79" s="287"/>
      <c r="AO79" s="82"/>
      <c r="AP79" s="287"/>
      <c r="AQ79" s="82"/>
      <c r="AR79" s="287"/>
      <c r="AS79" s="82"/>
      <c r="AT79" s="287"/>
      <c r="AU79" s="82"/>
      <c r="AV79" s="50">
        <f>IFERROR(VLOOKUP(A79,'Site check'!A:Q,14,0),0)</f>
        <v>0</v>
      </c>
    </row>
    <row r="80" spans="1:48">
      <c r="A80" s="37" t="s">
        <v>96</v>
      </c>
      <c r="B80" s="97"/>
      <c r="C80" s="4"/>
      <c r="D80" s="4"/>
      <c r="E80" s="4"/>
      <c r="F80" s="4"/>
      <c r="G80" s="257">
        <f t="shared" si="4"/>
        <v>6.9</v>
      </c>
      <c r="H80" s="140">
        <f t="shared" si="5"/>
        <v>126.60550458715596</v>
      </c>
      <c r="I80" s="82" t="s">
        <v>485</v>
      </c>
      <c r="J80" s="287">
        <v>5.9</v>
      </c>
      <c r="K80" s="259" t="s">
        <v>486</v>
      </c>
      <c r="L80" s="308">
        <v>1</v>
      </c>
      <c r="M80" s="259"/>
      <c r="N80" s="308"/>
      <c r="O80" s="82"/>
      <c r="P80" s="287"/>
      <c r="Q80" s="82"/>
      <c r="R80" s="287"/>
      <c r="S80" s="82"/>
      <c r="T80" s="287"/>
      <c r="U80" s="82"/>
      <c r="V80" s="287"/>
      <c r="W80" s="82"/>
      <c r="X80" s="287"/>
      <c r="Y80" s="82"/>
      <c r="Z80" s="287"/>
      <c r="AA80" s="82"/>
      <c r="AB80" s="287"/>
      <c r="AC80" s="82"/>
      <c r="AD80" s="287"/>
      <c r="AE80" s="82"/>
      <c r="AF80" s="287"/>
      <c r="AG80" s="82"/>
      <c r="AH80" s="287"/>
      <c r="AI80" s="82"/>
      <c r="AJ80" s="287"/>
      <c r="AK80" s="82"/>
      <c r="AL80" s="287"/>
      <c r="AM80" s="82"/>
      <c r="AN80" s="287"/>
      <c r="AO80" s="82"/>
      <c r="AP80" s="287"/>
      <c r="AQ80" s="82"/>
      <c r="AR80" s="287"/>
      <c r="AS80" s="82"/>
      <c r="AT80" s="287"/>
      <c r="AU80" s="82"/>
      <c r="AV80" s="50">
        <f>IFERROR(VLOOKUP(A80,'Site check'!A:Q,14,0),0)</f>
        <v>0</v>
      </c>
    </row>
    <row r="81" spans="1:48">
      <c r="A81" s="35" t="s">
        <v>97</v>
      </c>
      <c r="B81" s="97"/>
      <c r="C81" s="4"/>
      <c r="D81" s="4"/>
      <c r="E81" s="4"/>
      <c r="F81" s="4"/>
      <c r="G81" s="257">
        <f t="shared" si="4"/>
        <v>0</v>
      </c>
      <c r="H81" s="140">
        <f t="shared" si="5"/>
        <v>0</v>
      </c>
      <c r="I81" s="82"/>
      <c r="J81" s="287"/>
      <c r="K81" s="82"/>
      <c r="L81" s="287"/>
      <c r="M81" s="82"/>
      <c r="N81" s="287"/>
      <c r="O81" s="82"/>
      <c r="P81" s="287"/>
      <c r="Q81" s="82"/>
      <c r="R81" s="287"/>
      <c r="S81" s="82"/>
      <c r="T81" s="287"/>
      <c r="U81" s="82"/>
      <c r="V81" s="287"/>
      <c r="W81" s="82"/>
      <c r="X81" s="287"/>
      <c r="Y81" s="82"/>
      <c r="Z81" s="287"/>
      <c r="AA81" s="82"/>
      <c r="AB81" s="287"/>
      <c r="AC81" s="82"/>
      <c r="AD81" s="287"/>
      <c r="AE81" s="82"/>
      <c r="AF81" s="287"/>
      <c r="AG81" s="82"/>
      <c r="AH81" s="287"/>
      <c r="AI81" s="82"/>
      <c r="AJ81" s="287"/>
      <c r="AK81" s="82"/>
      <c r="AL81" s="287"/>
      <c r="AM81" s="82"/>
      <c r="AN81" s="287"/>
      <c r="AO81" s="82"/>
      <c r="AP81" s="287"/>
      <c r="AQ81" s="82"/>
      <c r="AR81" s="287"/>
      <c r="AS81" s="82"/>
      <c r="AT81" s="287"/>
      <c r="AU81" s="82"/>
      <c r="AV81" s="50">
        <f>IFERROR(VLOOKUP(A81,'Site check'!A:Q,14,0),0)</f>
        <v>0</v>
      </c>
    </row>
    <row r="82" spans="1:48">
      <c r="A82" s="35" t="s">
        <v>98</v>
      </c>
      <c r="B82" s="97"/>
      <c r="C82" s="30" t="s">
        <v>18</v>
      </c>
      <c r="D82" s="4"/>
      <c r="E82" s="4"/>
      <c r="F82" s="4"/>
      <c r="G82" s="257">
        <f t="shared" si="4"/>
        <v>4</v>
      </c>
      <c r="H82" s="140">
        <f t="shared" si="5"/>
        <v>73.394495412844037</v>
      </c>
      <c r="I82" s="82" t="s">
        <v>487</v>
      </c>
      <c r="J82" s="287">
        <v>3</v>
      </c>
      <c r="K82" s="269" t="s">
        <v>488</v>
      </c>
      <c r="L82" s="291">
        <v>1</v>
      </c>
      <c r="M82" s="82"/>
      <c r="N82" s="287"/>
      <c r="O82" s="82"/>
      <c r="P82" s="287"/>
      <c r="Q82" s="82"/>
      <c r="R82" s="287"/>
      <c r="S82" s="82"/>
      <c r="T82" s="287"/>
      <c r="U82" s="82"/>
      <c r="V82" s="287"/>
      <c r="W82" s="82"/>
      <c r="X82" s="287"/>
      <c r="Y82" s="82"/>
      <c r="Z82" s="287"/>
      <c r="AA82" s="82"/>
      <c r="AB82" s="287"/>
      <c r="AC82" s="82"/>
      <c r="AD82" s="287"/>
      <c r="AE82" s="82"/>
      <c r="AF82" s="287"/>
      <c r="AG82" s="82"/>
      <c r="AH82" s="287"/>
      <c r="AI82" s="82"/>
      <c r="AJ82" s="287"/>
      <c r="AK82" s="82"/>
      <c r="AL82" s="287"/>
      <c r="AM82" s="82"/>
      <c r="AN82" s="287"/>
      <c r="AO82" s="82"/>
      <c r="AP82" s="287"/>
      <c r="AQ82" s="82"/>
      <c r="AR82" s="287"/>
      <c r="AS82" s="82"/>
      <c r="AT82" s="287"/>
      <c r="AU82" s="82"/>
      <c r="AV82" s="50">
        <f>IFERROR(VLOOKUP(A82,'Site check'!A:Q,14,0),0)</f>
        <v>0</v>
      </c>
    </row>
    <row r="83" spans="1:48">
      <c r="A83" s="35" t="s">
        <v>99</v>
      </c>
      <c r="B83" s="97"/>
      <c r="C83" s="4"/>
      <c r="D83" s="4"/>
      <c r="E83" s="4"/>
      <c r="F83" s="4"/>
      <c r="G83" s="257">
        <f t="shared" si="4"/>
        <v>3</v>
      </c>
      <c r="H83" s="140">
        <f t="shared" si="5"/>
        <v>55.045871559633028</v>
      </c>
      <c r="I83" s="82" t="s">
        <v>489</v>
      </c>
      <c r="J83" s="287">
        <v>2</v>
      </c>
      <c r="K83" s="266" t="s">
        <v>490</v>
      </c>
      <c r="L83" s="291">
        <v>1</v>
      </c>
      <c r="M83" s="82"/>
      <c r="N83" s="287"/>
      <c r="O83" s="82"/>
      <c r="P83" s="287"/>
      <c r="Q83" s="82"/>
      <c r="R83" s="287"/>
      <c r="S83" s="82"/>
      <c r="T83" s="287"/>
      <c r="U83" s="82"/>
      <c r="V83" s="287"/>
      <c r="W83" s="82"/>
      <c r="X83" s="287"/>
      <c r="Y83" s="82"/>
      <c r="Z83" s="287"/>
      <c r="AA83" s="82"/>
      <c r="AB83" s="287"/>
      <c r="AC83" s="82"/>
      <c r="AD83" s="287"/>
      <c r="AE83" s="82"/>
      <c r="AF83" s="287"/>
      <c r="AG83" s="82"/>
      <c r="AH83" s="287"/>
      <c r="AI83" s="82"/>
      <c r="AJ83" s="287"/>
      <c r="AK83" s="82"/>
      <c r="AL83" s="287"/>
      <c r="AM83" s="82"/>
      <c r="AN83" s="287"/>
      <c r="AO83" s="82"/>
      <c r="AP83" s="287"/>
      <c r="AQ83" s="82"/>
      <c r="AR83" s="287"/>
      <c r="AS83" s="82"/>
      <c r="AT83" s="287"/>
      <c r="AU83" s="82"/>
      <c r="AV83" s="50">
        <f>IFERROR(VLOOKUP(A83,'Site check'!A:Q,14,0),0)</f>
        <v>0</v>
      </c>
    </row>
    <row r="84" spans="1:48">
      <c r="A84" s="35" t="s">
        <v>100</v>
      </c>
      <c r="B84" s="97"/>
      <c r="C84" s="4"/>
      <c r="D84" s="4"/>
      <c r="E84" s="4"/>
      <c r="F84" s="4"/>
      <c r="G84" s="257">
        <f t="shared" si="4"/>
        <v>1</v>
      </c>
      <c r="H84" s="140">
        <f t="shared" si="5"/>
        <v>18.348623853211009</v>
      </c>
      <c r="I84" s="82"/>
      <c r="J84" s="287"/>
      <c r="K84" s="266" t="s">
        <v>491</v>
      </c>
      <c r="L84" s="291">
        <v>1</v>
      </c>
      <c r="M84" s="82"/>
      <c r="N84" s="287"/>
      <c r="O84" s="82"/>
      <c r="P84" s="287"/>
      <c r="Q84" s="82"/>
      <c r="R84" s="287"/>
      <c r="S84" s="82"/>
      <c r="T84" s="287"/>
      <c r="U84" s="82"/>
      <c r="V84" s="287"/>
      <c r="W84" s="82"/>
      <c r="X84" s="287"/>
      <c r="Y84" s="82"/>
      <c r="Z84" s="287"/>
      <c r="AA84" s="82"/>
      <c r="AB84" s="287"/>
      <c r="AC84" s="82"/>
      <c r="AD84" s="287"/>
      <c r="AE84" s="82"/>
      <c r="AF84" s="287"/>
      <c r="AG84" s="82"/>
      <c r="AH84" s="287"/>
      <c r="AI84" s="82"/>
      <c r="AJ84" s="287"/>
      <c r="AK84" s="82"/>
      <c r="AL84" s="287"/>
      <c r="AM84" s="82"/>
      <c r="AN84" s="287"/>
      <c r="AO84" s="82"/>
      <c r="AP84" s="287"/>
      <c r="AQ84" s="82"/>
      <c r="AR84" s="287"/>
      <c r="AS84" s="82"/>
      <c r="AT84" s="287"/>
      <c r="AU84" s="82"/>
      <c r="AV84" s="50">
        <f>IFERROR(VLOOKUP(A84,'Site check'!A:Q,14,0),0)</f>
        <v>0</v>
      </c>
    </row>
    <row r="85" spans="1:48">
      <c r="A85" s="35" t="s">
        <v>101</v>
      </c>
      <c r="B85" s="97"/>
      <c r="C85" s="4"/>
      <c r="D85" s="4"/>
      <c r="E85" s="4"/>
      <c r="F85" s="4"/>
      <c r="G85" s="257">
        <f t="shared" si="4"/>
        <v>0</v>
      </c>
      <c r="H85" s="140">
        <f t="shared" si="5"/>
        <v>0</v>
      </c>
      <c r="I85" s="82"/>
      <c r="J85" s="287"/>
      <c r="K85" s="82"/>
      <c r="L85" s="287"/>
      <c r="M85" s="82"/>
      <c r="N85" s="287"/>
      <c r="O85" s="82"/>
      <c r="P85" s="287"/>
      <c r="Q85" s="82"/>
      <c r="R85" s="287"/>
      <c r="S85" s="82"/>
      <c r="T85" s="287"/>
      <c r="U85" s="82"/>
      <c r="V85" s="287"/>
      <c r="W85" s="82"/>
      <c r="X85" s="287"/>
      <c r="Y85" s="82"/>
      <c r="Z85" s="287"/>
      <c r="AA85" s="82"/>
      <c r="AB85" s="287"/>
      <c r="AC85" s="82"/>
      <c r="AD85" s="287"/>
      <c r="AE85" s="82"/>
      <c r="AF85" s="287"/>
      <c r="AG85" s="82"/>
      <c r="AH85" s="287"/>
      <c r="AI85" s="82"/>
      <c r="AJ85" s="287"/>
      <c r="AK85" s="82"/>
      <c r="AL85" s="287"/>
      <c r="AM85" s="82"/>
      <c r="AN85" s="287"/>
      <c r="AO85" s="82"/>
      <c r="AP85" s="287"/>
      <c r="AQ85" s="82"/>
      <c r="AR85" s="287"/>
      <c r="AS85" s="82"/>
      <c r="AT85" s="287"/>
      <c r="AU85" s="82"/>
      <c r="AV85" s="50">
        <f>IFERROR(VLOOKUP(A85,'Site check'!A:Q,14,0),0)</f>
        <v>0</v>
      </c>
    </row>
    <row r="86" spans="1:48">
      <c r="A86" s="39" t="s">
        <v>102</v>
      </c>
      <c r="B86" s="97"/>
      <c r="C86" s="4"/>
      <c r="D86" s="4"/>
      <c r="E86" s="4"/>
      <c r="F86" s="4"/>
      <c r="G86" s="257">
        <f t="shared" si="4"/>
        <v>2</v>
      </c>
      <c r="H86" s="140">
        <f t="shared" si="5"/>
        <v>36.697247706422019</v>
      </c>
      <c r="I86" s="88" t="s">
        <v>492</v>
      </c>
      <c r="J86" s="289">
        <v>1</v>
      </c>
      <c r="K86" s="88" t="s">
        <v>493</v>
      </c>
      <c r="L86" s="289">
        <v>1</v>
      </c>
      <c r="M86" s="82"/>
      <c r="N86" s="287"/>
      <c r="O86" s="82"/>
      <c r="P86" s="287"/>
      <c r="Q86" s="82"/>
      <c r="R86" s="287"/>
      <c r="S86" s="82"/>
      <c r="T86" s="287"/>
      <c r="U86" s="82"/>
      <c r="V86" s="287"/>
      <c r="W86" s="82"/>
      <c r="X86" s="287"/>
      <c r="Y86" s="82"/>
      <c r="Z86" s="287"/>
      <c r="AA86" s="82"/>
      <c r="AB86" s="287"/>
      <c r="AC86" s="82"/>
      <c r="AD86" s="287"/>
      <c r="AE86" s="82"/>
      <c r="AF86" s="287"/>
      <c r="AG86" s="82"/>
      <c r="AH86" s="287"/>
      <c r="AI86" s="82"/>
      <c r="AJ86" s="287"/>
      <c r="AK86" s="82"/>
      <c r="AL86" s="287"/>
      <c r="AM86" s="82"/>
      <c r="AN86" s="287"/>
      <c r="AO86" s="82"/>
      <c r="AP86" s="287"/>
      <c r="AQ86" s="82"/>
      <c r="AR86" s="287"/>
      <c r="AS86" s="82"/>
      <c r="AT86" s="287"/>
      <c r="AU86" s="82"/>
      <c r="AV86" s="50">
        <f>IFERROR(VLOOKUP(A86,'Site check'!A:Q,14,0),0)</f>
        <v>0</v>
      </c>
    </row>
    <row r="87" spans="1:48">
      <c r="A87" s="39" t="s">
        <v>103</v>
      </c>
      <c r="B87" s="97"/>
      <c r="C87" s="4"/>
      <c r="D87" s="4"/>
      <c r="E87" s="4"/>
      <c r="F87" s="4"/>
      <c r="G87" s="257">
        <f t="shared" si="4"/>
        <v>0</v>
      </c>
      <c r="H87" s="140">
        <f t="shared" si="5"/>
        <v>0</v>
      </c>
      <c r="I87" s="88"/>
      <c r="J87" s="289"/>
      <c r="K87" s="82"/>
      <c r="L87" s="287"/>
      <c r="M87" s="82"/>
      <c r="N87" s="287"/>
      <c r="O87" s="82"/>
      <c r="P87" s="287"/>
      <c r="Q87" s="82"/>
      <c r="R87" s="287"/>
      <c r="S87" s="82"/>
      <c r="T87" s="287"/>
      <c r="U87" s="82"/>
      <c r="V87" s="287"/>
      <c r="W87" s="82"/>
      <c r="X87" s="287"/>
      <c r="Y87" s="82"/>
      <c r="Z87" s="287"/>
      <c r="AA87" s="82"/>
      <c r="AB87" s="287"/>
      <c r="AC87" s="82"/>
      <c r="AD87" s="287"/>
      <c r="AE87" s="82"/>
      <c r="AF87" s="287"/>
      <c r="AG87" s="82"/>
      <c r="AH87" s="287"/>
      <c r="AI87" s="82"/>
      <c r="AJ87" s="287"/>
      <c r="AK87" s="82"/>
      <c r="AL87" s="287"/>
      <c r="AM87" s="82"/>
      <c r="AN87" s="287"/>
      <c r="AO87" s="82"/>
      <c r="AP87" s="287"/>
      <c r="AQ87" s="82"/>
      <c r="AR87" s="287"/>
      <c r="AS87" s="82"/>
      <c r="AT87" s="287"/>
      <c r="AU87" s="82"/>
      <c r="AV87" s="50">
        <f>IFERROR(VLOOKUP(A87,'Site check'!A:Q,14,0),0)</f>
        <v>0</v>
      </c>
    </row>
    <row r="88" spans="1:48">
      <c r="A88" s="35" t="s">
        <v>104</v>
      </c>
      <c r="B88" s="97"/>
      <c r="C88" s="4"/>
      <c r="D88" s="4"/>
      <c r="E88" s="4"/>
      <c r="F88" s="4"/>
      <c r="G88" s="257">
        <f t="shared" si="4"/>
        <v>0</v>
      </c>
      <c r="H88" s="140">
        <f t="shared" si="5"/>
        <v>0</v>
      </c>
      <c r="I88" s="88"/>
      <c r="J88" s="289"/>
      <c r="K88" s="82"/>
      <c r="L88" s="287"/>
      <c r="M88" s="82"/>
      <c r="N88" s="287"/>
      <c r="O88" s="82"/>
      <c r="P88" s="287"/>
      <c r="Q88" s="82"/>
      <c r="R88" s="287"/>
      <c r="S88" s="82"/>
      <c r="T88" s="287"/>
      <c r="U88" s="82"/>
      <c r="V88" s="287"/>
      <c r="W88" s="82"/>
      <c r="X88" s="287"/>
      <c r="Y88" s="82"/>
      <c r="Z88" s="287"/>
      <c r="AA88" s="82"/>
      <c r="AB88" s="287"/>
      <c r="AC88" s="82"/>
      <c r="AD88" s="287"/>
      <c r="AE88" s="82"/>
      <c r="AF88" s="287"/>
      <c r="AG88" s="82"/>
      <c r="AH88" s="287"/>
      <c r="AI88" s="82"/>
      <c r="AJ88" s="287"/>
      <c r="AK88" s="82"/>
      <c r="AL88" s="287"/>
      <c r="AM88" s="82"/>
      <c r="AN88" s="287"/>
      <c r="AO88" s="82"/>
      <c r="AP88" s="287"/>
      <c r="AQ88" s="82"/>
      <c r="AR88" s="287"/>
      <c r="AS88" s="82"/>
      <c r="AT88" s="287"/>
      <c r="AU88" s="82"/>
      <c r="AV88" s="50">
        <f>IFERROR(VLOOKUP(A88,'Site check'!A:Q,14,0),0)</f>
        <v>0</v>
      </c>
    </row>
    <row r="89" spans="1:48">
      <c r="A89" s="35" t="s">
        <v>105</v>
      </c>
      <c r="B89" s="97"/>
      <c r="C89" s="4"/>
      <c r="D89" s="4"/>
      <c r="E89" s="4"/>
      <c r="F89" s="4"/>
      <c r="G89" s="257">
        <f t="shared" si="4"/>
        <v>0</v>
      </c>
      <c r="H89" s="140">
        <f t="shared" si="5"/>
        <v>0</v>
      </c>
      <c r="I89" s="88"/>
      <c r="J89" s="289"/>
      <c r="K89" s="82"/>
      <c r="L89" s="287"/>
      <c r="M89" s="82"/>
      <c r="N89" s="287"/>
      <c r="O89" s="82"/>
      <c r="P89" s="287"/>
      <c r="Q89" s="82"/>
      <c r="R89" s="287"/>
      <c r="S89" s="82"/>
      <c r="T89" s="287"/>
      <c r="U89" s="82"/>
      <c r="V89" s="287"/>
      <c r="W89" s="82"/>
      <c r="X89" s="287"/>
      <c r="Y89" s="82"/>
      <c r="Z89" s="287"/>
      <c r="AA89" s="82"/>
      <c r="AB89" s="287"/>
      <c r="AC89" s="82"/>
      <c r="AD89" s="287"/>
      <c r="AE89" s="82"/>
      <c r="AF89" s="287"/>
      <c r="AG89" s="82"/>
      <c r="AH89" s="287"/>
      <c r="AI89" s="82"/>
      <c r="AJ89" s="287"/>
      <c r="AK89" s="82"/>
      <c r="AL89" s="287"/>
      <c r="AM89" s="82"/>
      <c r="AN89" s="287"/>
      <c r="AO89" s="82"/>
      <c r="AP89" s="287"/>
      <c r="AQ89" s="82"/>
      <c r="AR89" s="287"/>
      <c r="AS89" s="82"/>
      <c r="AT89" s="287"/>
      <c r="AU89" s="82"/>
      <c r="AV89" s="50">
        <f>IFERROR(VLOOKUP(A89,'Site check'!A:Q,14,0),0)</f>
        <v>0</v>
      </c>
    </row>
    <row r="90" spans="1:48">
      <c r="A90" s="35" t="s">
        <v>106</v>
      </c>
      <c r="B90" s="97"/>
      <c r="C90" s="30" t="s">
        <v>18</v>
      </c>
      <c r="D90" s="4"/>
      <c r="E90" s="4"/>
      <c r="F90" s="4"/>
      <c r="G90" s="257">
        <f t="shared" si="4"/>
        <v>7.4</v>
      </c>
      <c r="H90" s="140">
        <f t="shared" si="5"/>
        <v>135.77981651376146</v>
      </c>
      <c r="I90" s="88" t="s">
        <v>494</v>
      </c>
      <c r="J90" s="289">
        <v>2.4</v>
      </c>
      <c r="K90" s="269" t="s">
        <v>495</v>
      </c>
      <c r="L90" s="291">
        <v>2</v>
      </c>
      <c r="M90" s="266" t="s">
        <v>496</v>
      </c>
      <c r="N90" s="291">
        <v>2</v>
      </c>
      <c r="O90" s="104" t="s">
        <v>497</v>
      </c>
      <c r="P90" s="297">
        <v>1</v>
      </c>
      <c r="Q90" s="82"/>
      <c r="R90" s="287"/>
      <c r="S90" s="82"/>
      <c r="T90" s="287"/>
      <c r="U90" s="82"/>
      <c r="V90" s="287"/>
      <c r="W90" s="82"/>
      <c r="X90" s="287"/>
      <c r="Y90" s="82"/>
      <c r="Z90" s="287"/>
      <c r="AA90" s="82"/>
      <c r="AB90" s="287"/>
      <c r="AC90" s="82"/>
      <c r="AD90" s="287"/>
      <c r="AE90" s="82"/>
      <c r="AF90" s="287"/>
      <c r="AG90" s="82"/>
      <c r="AH90" s="287"/>
      <c r="AI90" s="82"/>
      <c r="AJ90" s="287"/>
      <c r="AK90" s="82"/>
      <c r="AL90" s="287"/>
      <c r="AM90" s="82"/>
      <c r="AN90" s="287"/>
      <c r="AO90" s="82"/>
      <c r="AP90" s="287"/>
      <c r="AQ90" s="82"/>
      <c r="AR90" s="287"/>
      <c r="AS90" s="82"/>
      <c r="AT90" s="287"/>
      <c r="AU90" s="82"/>
      <c r="AV90" s="50">
        <f>IFERROR(VLOOKUP(A90,'Site check'!A:Q,14,0),0)</f>
        <v>0</v>
      </c>
    </row>
    <row r="91" spans="1:48">
      <c r="A91" s="35" t="s">
        <v>107</v>
      </c>
      <c r="B91" s="97"/>
      <c r="C91" s="4"/>
      <c r="D91" s="4"/>
      <c r="E91" s="4"/>
      <c r="F91" s="4"/>
      <c r="G91" s="257">
        <f t="shared" si="4"/>
        <v>0</v>
      </c>
      <c r="H91" s="140">
        <f t="shared" si="5"/>
        <v>0</v>
      </c>
      <c r="I91" s="88"/>
      <c r="J91" s="289"/>
      <c r="K91" s="82"/>
      <c r="L91" s="287"/>
      <c r="M91" s="82"/>
      <c r="N91" s="287"/>
      <c r="O91" s="82"/>
      <c r="P91" s="287"/>
      <c r="Q91" s="82"/>
      <c r="R91" s="287"/>
      <c r="S91" s="82"/>
      <c r="T91" s="287"/>
      <c r="U91" s="82"/>
      <c r="V91" s="287"/>
      <c r="W91" s="82"/>
      <c r="X91" s="287"/>
      <c r="Y91" s="82"/>
      <c r="Z91" s="287"/>
      <c r="AA91" s="82"/>
      <c r="AB91" s="287"/>
      <c r="AC91" s="82"/>
      <c r="AD91" s="287"/>
      <c r="AE91" s="82"/>
      <c r="AF91" s="287"/>
      <c r="AG91" s="82"/>
      <c r="AH91" s="287"/>
      <c r="AI91" s="82"/>
      <c r="AJ91" s="287"/>
      <c r="AK91" s="82"/>
      <c r="AL91" s="287"/>
      <c r="AM91" s="82"/>
      <c r="AN91" s="287"/>
      <c r="AO91" s="82"/>
      <c r="AP91" s="287"/>
      <c r="AQ91" s="82"/>
      <c r="AR91" s="287"/>
      <c r="AS91" s="82"/>
      <c r="AT91" s="287"/>
      <c r="AU91" s="82"/>
      <c r="AV91" s="50">
        <f>IFERROR(VLOOKUP(A91,'Site check'!A:Q,14,0),0)</f>
        <v>0</v>
      </c>
    </row>
    <row r="92" spans="1:48">
      <c r="A92" s="35" t="s">
        <v>108</v>
      </c>
      <c r="B92" s="97"/>
      <c r="C92" s="4"/>
      <c r="D92" s="4"/>
      <c r="E92" s="4"/>
      <c r="F92" s="4"/>
      <c r="G92" s="257">
        <f t="shared" si="4"/>
        <v>1</v>
      </c>
      <c r="H92" s="140">
        <f t="shared" si="5"/>
        <v>18.348623853211009</v>
      </c>
      <c r="I92" s="88" t="s">
        <v>498</v>
      </c>
      <c r="J92" s="289">
        <v>1</v>
      </c>
      <c r="K92" s="108"/>
      <c r="L92" s="294"/>
      <c r="M92" s="82"/>
      <c r="N92" s="287"/>
      <c r="O92" s="82"/>
      <c r="P92" s="287"/>
      <c r="Q92" s="82"/>
      <c r="R92" s="287"/>
      <c r="S92" s="82"/>
      <c r="T92" s="287"/>
      <c r="U92" s="82"/>
      <c r="V92" s="287"/>
      <c r="W92" s="82"/>
      <c r="X92" s="287"/>
      <c r="Y92" s="82"/>
      <c r="Z92" s="287"/>
      <c r="AA92" s="82"/>
      <c r="AB92" s="287"/>
      <c r="AC92" s="82"/>
      <c r="AD92" s="287"/>
      <c r="AE92" s="82"/>
      <c r="AF92" s="287"/>
      <c r="AG92" s="82"/>
      <c r="AH92" s="287"/>
      <c r="AI92" s="82"/>
      <c r="AJ92" s="287"/>
      <c r="AK92" s="82"/>
      <c r="AL92" s="287"/>
      <c r="AM92" s="82"/>
      <c r="AN92" s="287"/>
      <c r="AO92" s="82"/>
      <c r="AP92" s="287"/>
      <c r="AQ92" s="82"/>
      <c r="AR92" s="287"/>
      <c r="AS92" s="82"/>
      <c r="AT92" s="287"/>
      <c r="AU92" s="82"/>
      <c r="AV92" s="50">
        <f>IFERROR(VLOOKUP(A92,'Site check'!A:Q,14,0),0)</f>
        <v>0</v>
      </c>
    </row>
    <row r="93" spans="1:48">
      <c r="A93" s="35" t="s">
        <v>109</v>
      </c>
      <c r="B93" s="97"/>
      <c r="C93" s="30" t="s">
        <v>18</v>
      </c>
      <c r="D93" s="4"/>
      <c r="E93" s="4"/>
      <c r="F93" s="4"/>
      <c r="G93" s="257">
        <f t="shared" si="4"/>
        <v>4.7</v>
      </c>
      <c r="H93" s="140">
        <f t="shared" si="5"/>
        <v>86.238532110091739</v>
      </c>
      <c r="I93" s="82" t="s">
        <v>499</v>
      </c>
      <c r="J93" s="287">
        <v>1.7</v>
      </c>
      <c r="K93" s="82" t="s">
        <v>500</v>
      </c>
      <c r="L93" s="287">
        <v>2</v>
      </c>
      <c r="M93" s="88"/>
      <c r="N93" s="289"/>
      <c r="O93" s="88"/>
      <c r="P93" s="289"/>
      <c r="Q93" s="84" t="s">
        <v>501</v>
      </c>
      <c r="R93" s="292">
        <v>1</v>
      </c>
      <c r="S93" s="82"/>
      <c r="T93" s="287"/>
      <c r="U93" s="82"/>
      <c r="V93" s="287"/>
      <c r="W93" s="82"/>
      <c r="X93" s="287"/>
      <c r="Y93" s="82"/>
      <c r="Z93" s="287"/>
      <c r="AA93" s="82"/>
      <c r="AB93" s="287"/>
      <c r="AC93" s="82"/>
      <c r="AD93" s="287"/>
      <c r="AE93" s="82"/>
      <c r="AF93" s="287"/>
      <c r="AG93" s="82"/>
      <c r="AH93" s="287"/>
      <c r="AI93" s="82"/>
      <c r="AJ93" s="287"/>
      <c r="AK93" s="82"/>
      <c r="AL93" s="287"/>
      <c r="AM93" s="82"/>
      <c r="AN93" s="287"/>
      <c r="AO93" s="82"/>
      <c r="AP93" s="287"/>
      <c r="AQ93" s="82"/>
      <c r="AR93" s="287"/>
      <c r="AS93" s="82"/>
      <c r="AT93" s="287"/>
      <c r="AU93" s="82"/>
      <c r="AV93" s="50">
        <f>IFERROR(VLOOKUP(A93,'Site check'!A:Q,14,0),0)</f>
        <v>0</v>
      </c>
    </row>
    <row r="94" spans="1:48">
      <c r="A94" s="35" t="s">
        <v>110</v>
      </c>
      <c r="B94" s="97"/>
      <c r="C94" s="4"/>
      <c r="D94" s="4"/>
      <c r="E94" s="4"/>
      <c r="F94" s="4"/>
      <c r="G94" s="257">
        <f t="shared" si="4"/>
        <v>0</v>
      </c>
      <c r="H94" s="140">
        <f t="shared" si="5"/>
        <v>0</v>
      </c>
      <c r="I94" s="82"/>
      <c r="J94" s="287"/>
      <c r="K94" s="82"/>
      <c r="L94" s="287"/>
      <c r="M94" s="82"/>
      <c r="N94" s="287"/>
      <c r="O94" s="82"/>
      <c r="P94" s="287"/>
      <c r="Q94" s="82"/>
      <c r="R94" s="287"/>
      <c r="S94" s="82"/>
      <c r="T94" s="287"/>
      <c r="U94" s="82"/>
      <c r="V94" s="287"/>
      <c r="W94" s="82"/>
      <c r="X94" s="287"/>
      <c r="Y94" s="82"/>
      <c r="Z94" s="287"/>
      <c r="AA94" s="82"/>
      <c r="AB94" s="287"/>
      <c r="AC94" s="82"/>
      <c r="AD94" s="287"/>
      <c r="AE94" s="82"/>
      <c r="AF94" s="287"/>
      <c r="AG94" s="82"/>
      <c r="AH94" s="287"/>
      <c r="AI94" s="82"/>
      <c r="AJ94" s="287"/>
      <c r="AK94" s="82"/>
      <c r="AL94" s="287"/>
      <c r="AM94" s="82"/>
      <c r="AN94" s="287"/>
      <c r="AO94" s="82"/>
      <c r="AP94" s="287"/>
      <c r="AQ94" s="82"/>
      <c r="AR94" s="287"/>
      <c r="AS94" s="82"/>
      <c r="AT94" s="287"/>
      <c r="AU94" s="82"/>
      <c r="AV94" s="50">
        <f>IFERROR(VLOOKUP(A94,'Site check'!A:Q,14,0),0)</f>
        <v>0</v>
      </c>
    </row>
    <row r="95" spans="1:48">
      <c r="A95" s="35" t="s">
        <v>111</v>
      </c>
      <c r="B95" s="97"/>
      <c r="C95" s="4"/>
      <c r="D95" s="4"/>
      <c r="E95" s="4"/>
      <c r="F95" s="4"/>
      <c r="G95" s="257">
        <f t="shared" si="4"/>
        <v>0.5</v>
      </c>
      <c r="H95" s="140">
        <f t="shared" si="5"/>
        <v>9.1743119266055047</v>
      </c>
      <c r="I95" s="82" t="s">
        <v>502</v>
      </c>
      <c r="J95" s="287">
        <v>0.5</v>
      </c>
      <c r="K95" s="82"/>
      <c r="L95" s="287"/>
      <c r="M95" s="82"/>
      <c r="N95" s="287"/>
      <c r="O95" s="82"/>
      <c r="P95" s="287"/>
      <c r="Q95" s="82"/>
      <c r="R95" s="287"/>
      <c r="S95" s="82"/>
      <c r="T95" s="287"/>
      <c r="U95" s="82"/>
      <c r="V95" s="287"/>
      <c r="W95" s="82"/>
      <c r="X95" s="287"/>
      <c r="Y95" s="82"/>
      <c r="Z95" s="287"/>
      <c r="AA95" s="82"/>
      <c r="AB95" s="287"/>
      <c r="AC95" s="82"/>
      <c r="AD95" s="287"/>
      <c r="AE95" s="82"/>
      <c r="AF95" s="287"/>
      <c r="AG95" s="82"/>
      <c r="AH95" s="287"/>
      <c r="AI95" s="82"/>
      <c r="AJ95" s="287"/>
      <c r="AK95" s="82"/>
      <c r="AL95" s="287"/>
      <c r="AM95" s="82"/>
      <c r="AN95" s="287"/>
      <c r="AO95" s="82"/>
      <c r="AP95" s="287"/>
      <c r="AQ95" s="82"/>
      <c r="AR95" s="287"/>
      <c r="AS95" s="82"/>
      <c r="AT95" s="287"/>
      <c r="AU95" s="82"/>
      <c r="AV95" s="50">
        <f>IFERROR(VLOOKUP(A95,'Site check'!A:Q,14,0),0)</f>
        <v>0</v>
      </c>
    </row>
    <row r="96" spans="1:48">
      <c r="A96" s="35" t="s">
        <v>112</v>
      </c>
      <c r="B96" s="97"/>
      <c r="C96" s="4"/>
      <c r="D96" s="4"/>
      <c r="E96" s="4"/>
      <c r="F96" s="4"/>
      <c r="G96" s="257">
        <f t="shared" si="4"/>
        <v>0</v>
      </c>
      <c r="H96" s="140">
        <f t="shared" si="5"/>
        <v>0</v>
      </c>
      <c r="I96" s="82"/>
      <c r="J96" s="287"/>
      <c r="K96" s="82"/>
      <c r="L96" s="287"/>
      <c r="M96" s="82"/>
      <c r="N96" s="287"/>
      <c r="O96" s="82"/>
      <c r="P96" s="287"/>
      <c r="Q96" s="82"/>
      <c r="R96" s="287"/>
      <c r="S96" s="82"/>
      <c r="T96" s="287"/>
      <c r="U96" s="82"/>
      <c r="V96" s="287"/>
      <c r="W96" s="82"/>
      <c r="X96" s="287"/>
      <c r="Y96" s="82"/>
      <c r="Z96" s="287"/>
      <c r="AA96" s="82"/>
      <c r="AB96" s="287"/>
      <c r="AC96" s="82"/>
      <c r="AD96" s="287"/>
      <c r="AE96" s="82"/>
      <c r="AF96" s="287"/>
      <c r="AG96" s="82"/>
      <c r="AH96" s="287"/>
      <c r="AI96" s="82"/>
      <c r="AJ96" s="287"/>
      <c r="AK96" s="82"/>
      <c r="AL96" s="287"/>
      <c r="AM96" s="82"/>
      <c r="AN96" s="287"/>
      <c r="AO96" s="82"/>
      <c r="AP96" s="287"/>
      <c r="AQ96" s="82"/>
      <c r="AR96" s="287"/>
      <c r="AS96" s="82"/>
      <c r="AT96" s="287"/>
      <c r="AU96" s="82"/>
      <c r="AV96" s="50">
        <f>IFERROR(VLOOKUP(A96,'Site check'!A:Q,14,0),0)</f>
        <v>0</v>
      </c>
    </row>
    <row r="97" spans="1:48">
      <c r="A97" s="35" t="s">
        <v>113</v>
      </c>
      <c r="B97" s="97"/>
      <c r="C97" s="4"/>
      <c r="D97" s="4"/>
      <c r="E97" s="4"/>
      <c r="F97" s="4"/>
      <c r="G97" s="257">
        <f t="shared" si="4"/>
        <v>0</v>
      </c>
      <c r="H97" s="140">
        <f t="shared" si="5"/>
        <v>0</v>
      </c>
      <c r="I97" s="82"/>
      <c r="J97" s="287"/>
      <c r="K97" s="82"/>
      <c r="L97" s="287"/>
      <c r="M97" s="82"/>
      <c r="N97" s="287"/>
      <c r="O97" s="82"/>
      <c r="P97" s="287"/>
      <c r="Q97" s="82"/>
      <c r="R97" s="287"/>
      <c r="S97" s="82"/>
      <c r="T97" s="287"/>
      <c r="U97" s="82"/>
      <c r="V97" s="287"/>
      <c r="W97" s="82"/>
      <c r="X97" s="287"/>
      <c r="Y97" s="82"/>
      <c r="Z97" s="287"/>
      <c r="AA97" s="82"/>
      <c r="AB97" s="287"/>
      <c r="AC97" s="82"/>
      <c r="AD97" s="287"/>
      <c r="AE97" s="82"/>
      <c r="AF97" s="287"/>
      <c r="AG97" s="82"/>
      <c r="AH97" s="287"/>
      <c r="AI97" s="82"/>
      <c r="AJ97" s="287"/>
      <c r="AK97" s="82"/>
      <c r="AL97" s="287"/>
      <c r="AM97" s="82"/>
      <c r="AN97" s="287"/>
      <c r="AO97" s="82"/>
      <c r="AP97" s="287"/>
      <c r="AQ97" s="82"/>
      <c r="AR97" s="287"/>
      <c r="AS97" s="82"/>
      <c r="AT97" s="287"/>
      <c r="AU97" s="82"/>
      <c r="AV97" s="50">
        <f>IFERROR(VLOOKUP(A97,'Site check'!A:Q,14,0),0)</f>
        <v>0</v>
      </c>
    </row>
    <row r="98" spans="1:48">
      <c r="A98" s="35" t="s">
        <v>114</v>
      </c>
      <c r="B98" s="97"/>
      <c r="C98" s="4"/>
      <c r="D98" s="4"/>
      <c r="E98" s="4"/>
      <c r="F98" s="4"/>
      <c r="G98" s="257">
        <f t="shared" si="4"/>
        <v>4</v>
      </c>
      <c r="H98" s="140">
        <f t="shared" si="5"/>
        <v>73.394495412844037</v>
      </c>
      <c r="I98" s="86" t="s">
        <v>503</v>
      </c>
      <c r="J98" s="288">
        <v>4</v>
      </c>
      <c r="K98" s="82"/>
      <c r="L98" s="287"/>
      <c r="M98" s="82"/>
      <c r="N98" s="287"/>
      <c r="O98" s="82"/>
      <c r="P98" s="287"/>
      <c r="Q98" s="82"/>
      <c r="R98" s="287"/>
      <c r="S98" s="82"/>
      <c r="T98" s="287"/>
      <c r="U98" s="82"/>
      <c r="V98" s="287"/>
      <c r="W98" s="82"/>
      <c r="X98" s="287"/>
      <c r="Y98" s="82"/>
      <c r="Z98" s="287"/>
      <c r="AA98" s="82"/>
      <c r="AB98" s="287"/>
      <c r="AC98" s="82"/>
      <c r="AD98" s="287"/>
      <c r="AE98" s="82"/>
      <c r="AF98" s="287"/>
      <c r="AG98" s="82"/>
      <c r="AH98" s="287"/>
      <c r="AI98" s="82"/>
      <c r="AJ98" s="287"/>
      <c r="AK98" s="82"/>
      <c r="AL98" s="287"/>
      <c r="AM98" s="82"/>
      <c r="AN98" s="287"/>
      <c r="AO98" s="82"/>
      <c r="AP98" s="287"/>
      <c r="AQ98" s="82"/>
      <c r="AR98" s="287"/>
      <c r="AS98" s="82"/>
      <c r="AT98" s="287"/>
      <c r="AU98" s="82"/>
      <c r="AV98" s="50">
        <f>IFERROR(VLOOKUP(A98,'Site check'!A:Q,14,0),0)</f>
        <v>0</v>
      </c>
    </row>
    <row r="99" spans="1:48">
      <c r="A99" s="35" t="s">
        <v>115</v>
      </c>
      <c r="B99" s="97"/>
      <c r="C99" s="4"/>
      <c r="D99" s="4"/>
      <c r="E99" s="4"/>
      <c r="F99" s="4"/>
      <c r="G99" s="257">
        <f t="shared" si="4"/>
        <v>1</v>
      </c>
      <c r="H99" s="140">
        <f t="shared" si="5"/>
        <v>18.348623853211009</v>
      </c>
      <c r="I99" s="88" t="s">
        <v>504</v>
      </c>
      <c r="J99" s="289">
        <v>1</v>
      </c>
      <c r="K99" s="82"/>
      <c r="L99" s="287"/>
      <c r="M99" s="82"/>
      <c r="N99" s="287"/>
      <c r="O99" s="82"/>
      <c r="P99" s="287"/>
      <c r="Q99" s="82"/>
      <c r="R99" s="287"/>
      <c r="S99" s="82"/>
      <c r="T99" s="287"/>
      <c r="U99" s="82"/>
      <c r="V99" s="287"/>
      <c r="W99" s="82"/>
      <c r="X99" s="287"/>
      <c r="Y99" s="82"/>
      <c r="Z99" s="287"/>
      <c r="AA99" s="82"/>
      <c r="AB99" s="287"/>
      <c r="AC99" s="82"/>
      <c r="AD99" s="287"/>
      <c r="AE99" s="82"/>
      <c r="AF99" s="287"/>
      <c r="AG99" s="82"/>
      <c r="AH99" s="287"/>
      <c r="AI99" s="82"/>
      <c r="AJ99" s="287"/>
      <c r="AK99" s="82"/>
      <c r="AL99" s="287"/>
      <c r="AM99" s="82"/>
      <c r="AN99" s="287"/>
      <c r="AO99" s="82"/>
      <c r="AP99" s="287"/>
      <c r="AQ99" s="82"/>
      <c r="AR99" s="287"/>
      <c r="AS99" s="82"/>
      <c r="AT99" s="287"/>
      <c r="AU99" s="82"/>
      <c r="AV99" s="50">
        <f>IFERROR(VLOOKUP(A99,'Site check'!A:Q,14,0),0)</f>
        <v>0</v>
      </c>
    </row>
    <row r="100" spans="1:48">
      <c r="A100" s="35" t="s">
        <v>116</v>
      </c>
      <c r="B100" s="97"/>
      <c r="C100" s="4"/>
      <c r="D100" s="4"/>
      <c r="E100" s="4"/>
      <c r="F100" s="4"/>
      <c r="G100" s="257">
        <f t="shared" si="4"/>
        <v>0</v>
      </c>
      <c r="H100" s="140">
        <f t="shared" si="5"/>
        <v>0</v>
      </c>
      <c r="I100" s="88"/>
      <c r="J100" s="289"/>
      <c r="K100" s="82"/>
      <c r="L100" s="287"/>
      <c r="M100" s="82"/>
      <c r="N100" s="287"/>
      <c r="O100" s="82"/>
      <c r="P100" s="287"/>
      <c r="Q100" s="82"/>
      <c r="R100" s="287"/>
      <c r="S100" s="82"/>
      <c r="T100" s="287"/>
      <c r="U100" s="82"/>
      <c r="V100" s="287"/>
      <c r="W100" s="82"/>
      <c r="X100" s="287"/>
      <c r="Y100" s="82"/>
      <c r="Z100" s="287"/>
      <c r="AA100" s="82"/>
      <c r="AB100" s="287"/>
      <c r="AC100" s="82"/>
      <c r="AD100" s="287"/>
      <c r="AE100" s="82"/>
      <c r="AF100" s="287"/>
      <c r="AG100" s="82"/>
      <c r="AH100" s="287"/>
      <c r="AI100" s="82"/>
      <c r="AJ100" s="287"/>
      <c r="AK100" s="82"/>
      <c r="AL100" s="292"/>
      <c r="AM100" s="82"/>
      <c r="AN100" s="287"/>
      <c r="AO100" s="82"/>
      <c r="AP100" s="287"/>
      <c r="AQ100" s="82"/>
      <c r="AR100" s="287"/>
      <c r="AS100" s="82"/>
      <c r="AT100" s="287"/>
      <c r="AU100" s="82"/>
      <c r="AV100" s="50">
        <f>IFERROR(VLOOKUP(A100,'Site check'!A:Q,14,0),0)</f>
        <v>0</v>
      </c>
    </row>
    <row r="101" spans="1:48">
      <c r="A101" s="38" t="s">
        <v>117</v>
      </c>
      <c r="B101" s="97"/>
      <c r="C101" s="30" t="s">
        <v>18</v>
      </c>
      <c r="D101" s="30" t="s">
        <v>19</v>
      </c>
      <c r="E101" s="4"/>
      <c r="F101" s="30" t="s">
        <v>319</v>
      </c>
      <c r="G101" s="257">
        <f>SUM(J101,L101,N101,P101,R101,T101,V101,X101,Z101,AB101,AD101,AF101,AH101,AJ101,AL101,AN101,AP101,AR101,AT101,AV101)</f>
        <v>22.55</v>
      </c>
      <c r="H101" s="140">
        <f t="shared" si="5"/>
        <v>413.76146788990826</v>
      </c>
      <c r="I101" s="88" t="s">
        <v>505</v>
      </c>
      <c r="J101" s="289">
        <v>1.4</v>
      </c>
      <c r="K101" s="82" t="s">
        <v>506</v>
      </c>
      <c r="L101" s="287">
        <v>0.6</v>
      </c>
      <c r="M101" s="82" t="s">
        <v>507</v>
      </c>
      <c r="N101" s="287">
        <v>1.3</v>
      </c>
      <c r="O101" s="82" t="s">
        <v>508</v>
      </c>
      <c r="P101" s="287">
        <v>1.5</v>
      </c>
      <c r="Q101" s="266" t="s">
        <v>490</v>
      </c>
      <c r="R101" s="291">
        <v>0.3</v>
      </c>
      <c r="S101" s="266" t="s">
        <v>509</v>
      </c>
      <c r="T101" s="291">
        <v>1.8</v>
      </c>
      <c r="U101" s="266" t="s">
        <v>510</v>
      </c>
      <c r="V101" s="287">
        <v>1.7</v>
      </c>
      <c r="W101" s="84" t="s">
        <v>511</v>
      </c>
      <c r="X101" s="292"/>
      <c r="Y101" s="86" t="s">
        <v>512</v>
      </c>
      <c r="Z101" s="288">
        <v>2.75</v>
      </c>
      <c r="AA101" s="86" t="s">
        <v>513</v>
      </c>
      <c r="AB101" s="288">
        <v>2.75</v>
      </c>
      <c r="AC101" s="86" t="s">
        <v>514</v>
      </c>
      <c r="AD101" s="288">
        <v>2.75</v>
      </c>
      <c r="AE101" s="86" t="s">
        <v>515</v>
      </c>
      <c r="AF101" s="288">
        <v>0.7</v>
      </c>
      <c r="AG101" s="86" t="s">
        <v>516</v>
      </c>
      <c r="AH101" s="288">
        <v>2</v>
      </c>
      <c r="AI101" s="86" t="s">
        <v>517</v>
      </c>
      <c r="AJ101" s="288">
        <v>2</v>
      </c>
      <c r="AK101" s="86" t="s">
        <v>518</v>
      </c>
      <c r="AL101" s="288">
        <v>1</v>
      </c>
      <c r="AM101" s="82"/>
      <c r="AN101" s="287"/>
      <c r="AO101" s="82"/>
      <c r="AP101" s="287"/>
      <c r="AQ101" s="82"/>
      <c r="AR101" s="287"/>
      <c r="AS101" s="82"/>
      <c r="AT101" s="287"/>
      <c r="AU101" s="82"/>
      <c r="AV101" s="50">
        <f>IFERROR(VLOOKUP(A101,'Site check'!A:Q,14,0),0)</f>
        <v>0</v>
      </c>
    </row>
    <row r="102" spans="1:48">
      <c r="A102" s="38" t="s">
        <v>118</v>
      </c>
      <c r="B102" s="97"/>
      <c r="C102" s="4"/>
      <c r="D102" s="4"/>
      <c r="E102" s="4"/>
      <c r="F102" s="4"/>
      <c r="G102" s="257">
        <f>SUM(J102,L102,N102,P102,R102,T102,V102,X102,Z102,AB102,AD102,AF102,AH102,AJ102,AL102,AN102,AP102,AR102,AT102,AV102)</f>
        <v>22.05</v>
      </c>
      <c r="H102" s="140">
        <f t="shared" si="5"/>
        <v>404.58715596330273</v>
      </c>
      <c r="I102" s="88" t="s">
        <v>505</v>
      </c>
      <c r="J102" s="289">
        <v>0.6</v>
      </c>
      <c r="K102" s="82" t="s">
        <v>506</v>
      </c>
      <c r="L102" s="287">
        <v>0.5</v>
      </c>
      <c r="M102" s="82" t="s">
        <v>507</v>
      </c>
      <c r="N102" s="287">
        <v>1.2</v>
      </c>
      <c r="O102" s="82" t="s">
        <v>508</v>
      </c>
      <c r="P102" s="287">
        <v>1.4</v>
      </c>
      <c r="Q102" s="266" t="s">
        <v>490</v>
      </c>
      <c r="R102" s="291">
        <v>0.3</v>
      </c>
      <c r="S102" s="269" t="s">
        <v>509</v>
      </c>
      <c r="T102" s="291">
        <v>1.8</v>
      </c>
      <c r="U102" s="266" t="s">
        <v>510</v>
      </c>
      <c r="V102" s="287">
        <v>1.8</v>
      </c>
      <c r="W102" s="84" t="s">
        <v>511</v>
      </c>
      <c r="X102" s="292"/>
      <c r="Y102" s="86" t="s">
        <v>512</v>
      </c>
      <c r="Z102" s="288">
        <v>2.75</v>
      </c>
      <c r="AA102" s="86" t="s">
        <v>513</v>
      </c>
      <c r="AB102" s="288">
        <v>2.75</v>
      </c>
      <c r="AC102" s="86" t="s">
        <v>514</v>
      </c>
      <c r="AD102" s="288">
        <v>2.75</v>
      </c>
      <c r="AE102" s="86" t="s">
        <v>515</v>
      </c>
      <c r="AF102" s="288">
        <v>1.2</v>
      </c>
      <c r="AG102" s="86" t="s">
        <v>516</v>
      </c>
      <c r="AH102" s="288">
        <v>2</v>
      </c>
      <c r="AI102" s="86" t="s">
        <v>517</v>
      </c>
      <c r="AJ102" s="288">
        <v>2</v>
      </c>
      <c r="AK102" s="86" t="s">
        <v>518</v>
      </c>
      <c r="AL102" s="288">
        <v>1</v>
      </c>
      <c r="AM102" s="82"/>
      <c r="AN102" s="287"/>
      <c r="AO102" s="82"/>
      <c r="AP102" s="287"/>
      <c r="AQ102" s="82"/>
      <c r="AR102" s="287"/>
      <c r="AS102" s="82"/>
      <c r="AT102" s="287"/>
      <c r="AU102" s="82"/>
      <c r="AV102" s="50">
        <f>IFERROR(VLOOKUP(A102,'Site check'!A:Q,14,0),0)</f>
        <v>0</v>
      </c>
    </row>
    <row r="103" spans="1:48">
      <c r="A103" s="37" t="s">
        <v>119</v>
      </c>
      <c r="B103" s="45" t="s">
        <v>17</v>
      </c>
      <c r="C103" s="4"/>
      <c r="D103" s="4"/>
      <c r="E103" s="4"/>
      <c r="F103" s="4"/>
      <c r="G103" s="257">
        <f t="shared" si="4"/>
        <v>8.7515000000000001</v>
      </c>
      <c r="H103" s="140">
        <f t="shared" si="5"/>
        <v>160.57798165137615</v>
      </c>
      <c r="I103" s="88" t="s">
        <v>519</v>
      </c>
      <c r="J103" s="289">
        <v>1</v>
      </c>
      <c r="K103" s="82" t="s">
        <v>520</v>
      </c>
      <c r="L103" s="287">
        <v>2.2999999999999998</v>
      </c>
      <c r="M103" s="88" t="s">
        <v>415</v>
      </c>
      <c r="N103" s="289">
        <v>0.9</v>
      </c>
      <c r="O103" s="88" t="s">
        <v>521</v>
      </c>
      <c r="P103" s="289">
        <v>1.5</v>
      </c>
      <c r="Q103" s="269" t="s">
        <v>522</v>
      </c>
      <c r="R103" s="291">
        <v>2</v>
      </c>
      <c r="S103" s="88" t="s">
        <v>523</v>
      </c>
      <c r="T103" s="289">
        <v>0.30149999999999999</v>
      </c>
      <c r="U103" s="88" t="s">
        <v>448</v>
      </c>
      <c r="V103" s="289">
        <v>0.25</v>
      </c>
      <c r="W103" s="82" t="s">
        <v>524</v>
      </c>
      <c r="X103" s="287">
        <v>0.5</v>
      </c>
      <c r="Y103" s="82"/>
      <c r="Z103" s="287"/>
      <c r="AA103" s="82"/>
      <c r="AB103" s="287"/>
      <c r="AC103" s="82"/>
      <c r="AD103" s="287"/>
      <c r="AE103" s="82"/>
      <c r="AF103" s="287"/>
      <c r="AG103" s="82"/>
      <c r="AH103" s="287"/>
      <c r="AI103" s="82"/>
      <c r="AJ103" s="287"/>
      <c r="AK103" s="82"/>
      <c r="AL103" s="287"/>
      <c r="AM103" s="82"/>
      <c r="AN103" s="287"/>
      <c r="AO103" s="82"/>
      <c r="AP103" s="287"/>
      <c r="AQ103" s="82"/>
      <c r="AR103" s="287"/>
      <c r="AS103" s="82"/>
      <c r="AT103" s="287"/>
      <c r="AU103" s="82"/>
      <c r="AV103" s="50">
        <f>IFERROR(VLOOKUP(A103,'Site check'!A:Q,14,0),0)</f>
        <v>0</v>
      </c>
    </row>
    <row r="104" spans="1:48">
      <c r="A104" s="37" t="s">
        <v>120</v>
      </c>
      <c r="B104" s="4"/>
      <c r="C104" s="4"/>
      <c r="D104" s="4"/>
      <c r="E104" s="4"/>
      <c r="F104" s="4"/>
      <c r="G104" s="257">
        <f t="shared" si="4"/>
        <v>6.7515000000000001</v>
      </c>
      <c r="H104" s="140">
        <f t="shared" si="5"/>
        <v>123.88073394495413</v>
      </c>
      <c r="I104" s="88" t="s">
        <v>525</v>
      </c>
      <c r="J104" s="289">
        <v>1</v>
      </c>
      <c r="K104" s="82" t="s">
        <v>520</v>
      </c>
      <c r="L104" s="287">
        <v>2.2999999999999998</v>
      </c>
      <c r="M104" s="88" t="s">
        <v>415</v>
      </c>
      <c r="N104" s="289">
        <v>0.9</v>
      </c>
      <c r="O104" s="88" t="s">
        <v>521</v>
      </c>
      <c r="P104" s="289">
        <v>1.5</v>
      </c>
      <c r="Q104" s="88"/>
      <c r="R104" s="289"/>
      <c r="S104" s="88" t="s">
        <v>523</v>
      </c>
      <c r="T104" s="289">
        <v>0.30149999999999999</v>
      </c>
      <c r="U104" s="88" t="s">
        <v>448</v>
      </c>
      <c r="V104" s="289">
        <v>0.25</v>
      </c>
      <c r="W104" s="82" t="s">
        <v>524</v>
      </c>
      <c r="X104" s="287">
        <v>0.5</v>
      </c>
      <c r="Y104" s="82"/>
      <c r="Z104" s="287"/>
      <c r="AA104" s="82"/>
      <c r="AB104" s="287"/>
      <c r="AC104" s="82"/>
      <c r="AD104" s="287"/>
      <c r="AE104" s="82"/>
      <c r="AF104" s="287"/>
      <c r="AG104" s="82"/>
      <c r="AH104" s="287"/>
      <c r="AI104" s="82"/>
      <c r="AJ104" s="287"/>
      <c r="AK104" s="82"/>
      <c r="AL104" s="287"/>
      <c r="AM104" s="82"/>
      <c r="AN104" s="287"/>
      <c r="AO104" s="82"/>
      <c r="AP104" s="287"/>
      <c r="AQ104" s="82"/>
      <c r="AR104" s="287"/>
      <c r="AS104" s="82"/>
      <c r="AT104" s="287"/>
      <c r="AU104" s="82"/>
      <c r="AV104" s="50">
        <f>IFERROR(VLOOKUP(A104,'Site check'!A:Q,14,0),0)</f>
        <v>0</v>
      </c>
    </row>
    <row r="105" spans="1:48">
      <c r="A105" s="35" t="s">
        <v>121</v>
      </c>
      <c r="B105" s="97"/>
      <c r="C105" s="4"/>
      <c r="D105" s="4"/>
      <c r="E105" s="4"/>
      <c r="F105" s="4"/>
      <c r="G105" s="257">
        <f t="shared" si="4"/>
        <v>1</v>
      </c>
      <c r="H105" s="140">
        <f t="shared" si="5"/>
        <v>18.348623853211009</v>
      </c>
      <c r="I105" s="88" t="s">
        <v>526</v>
      </c>
      <c r="J105" s="289">
        <v>1</v>
      </c>
      <c r="K105" s="82"/>
      <c r="L105" s="287"/>
      <c r="M105" s="82"/>
      <c r="N105" s="287"/>
      <c r="O105" s="82"/>
      <c r="P105" s="287"/>
      <c r="Q105" s="82"/>
      <c r="R105" s="287"/>
      <c r="S105" s="82"/>
      <c r="T105" s="287"/>
      <c r="U105" s="82"/>
      <c r="V105" s="287"/>
      <c r="W105" s="82"/>
      <c r="X105" s="287"/>
      <c r="Y105" s="82"/>
      <c r="Z105" s="287"/>
      <c r="AA105" s="82"/>
      <c r="AB105" s="287"/>
      <c r="AC105" s="82"/>
      <c r="AD105" s="287"/>
      <c r="AE105" s="82"/>
      <c r="AF105" s="287"/>
      <c r="AG105" s="82"/>
      <c r="AH105" s="287"/>
      <c r="AI105" s="82"/>
      <c r="AJ105" s="287"/>
      <c r="AK105" s="82"/>
      <c r="AL105" s="287"/>
      <c r="AM105" s="82"/>
      <c r="AN105" s="287"/>
      <c r="AO105" s="82"/>
      <c r="AP105" s="287"/>
      <c r="AQ105" s="82"/>
      <c r="AR105" s="287"/>
      <c r="AS105" s="82"/>
      <c r="AT105" s="287"/>
      <c r="AU105" s="82"/>
      <c r="AV105" s="50">
        <f>IFERROR(VLOOKUP(A105,'Site check'!A:Q,14,0),0)</f>
        <v>0</v>
      </c>
    </row>
    <row r="106" spans="1:48">
      <c r="A106" s="35" t="s">
        <v>122</v>
      </c>
      <c r="B106" s="97"/>
      <c r="C106" s="4"/>
      <c r="D106" s="4"/>
      <c r="E106" s="4"/>
      <c r="F106" s="4"/>
      <c r="G106" s="257">
        <f t="shared" si="4"/>
        <v>1</v>
      </c>
      <c r="H106" s="140">
        <f t="shared" si="5"/>
        <v>18.348623853211009</v>
      </c>
      <c r="I106" s="88" t="s">
        <v>527</v>
      </c>
      <c r="J106" s="289">
        <v>1</v>
      </c>
      <c r="K106" s="82"/>
      <c r="L106" s="287"/>
      <c r="M106" s="82"/>
      <c r="N106" s="287"/>
      <c r="O106" s="82"/>
      <c r="P106" s="287"/>
      <c r="Q106" s="82"/>
      <c r="R106" s="287"/>
      <c r="S106" s="82"/>
      <c r="T106" s="287"/>
      <c r="U106" s="82"/>
      <c r="V106" s="287"/>
      <c r="W106" s="82"/>
      <c r="X106" s="287"/>
      <c r="Y106" s="82"/>
      <c r="Z106" s="287"/>
      <c r="AA106" s="82"/>
      <c r="AB106" s="287"/>
      <c r="AC106" s="82"/>
      <c r="AD106" s="287"/>
      <c r="AE106" s="82"/>
      <c r="AF106" s="287"/>
      <c r="AG106" s="82"/>
      <c r="AH106" s="287"/>
      <c r="AI106" s="82"/>
      <c r="AJ106" s="287"/>
      <c r="AK106" s="82"/>
      <c r="AL106" s="287"/>
      <c r="AM106" s="82"/>
      <c r="AN106" s="287"/>
      <c r="AO106" s="82"/>
      <c r="AP106" s="287"/>
      <c r="AQ106" s="82"/>
      <c r="AR106" s="287"/>
      <c r="AS106" s="82"/>
      <c r="AT106" s="287"/>
      <c r="AU106" s="82"/>
      <c r="AV106" s="50">
        <f>IFERROR(VLOOKUP(A106,'Site check'!A:Q,14,0),0)</f>
        <v>0</v>
      </c>
    </row>
    <row r="107" spans="1:48">
      <c r="A107" s="35" t="s">
        <v>123</v>
      </c>
      <c r="B107" s="97"/>
      <c r="C107" s="4"/>
      <c r="D107" s="4"/>
      <c r="E107" s="4"/>
      <c r="F107" s="4"/>
      <c r="G107" s="257">
        <f t="shared" si="4"/>
        <v>3</v>
      </c>
      <c r="H107" s="140">
        <f t="shared" si="5"/>
        <v>55.045871559633028</v>
      </c>
      <c r="I107" s="86" t="s">
        <v>528</v>
      </c>
      <c r="J107" s="288">
        <v>2</v>
      </c>
      <c r="K107" s="82" t="s">
        <v>529</v>
      </c>
      <c r="L107" s="287">
        <v>1</v>
      </c>
      <c r="M107" s="82"/>
      <c r="N107" s="287"/>
      <c r="O107" s="82"/>
      <c r="P107" s="287"/>
      <c r="Q107" s="82"/>
      <c r="R107" s="287"/>
      <c r="S107" s="82"/>
      <c r="T107" s="287"/>
      <c r="U107" s="82"/>
      <c r="V107" s="287"/>
      <c r="W107" s="82"/>
      <c r="X107" s="287"/>
      <c r="Y107" s="82"/>
      <c r="Z107" s="287"/>
      <c r="AA107" s="82"/>
      <c r="AB107" s="287"/>
      <c r="AC107" s="82"/>
      <c r="AD107" s="287"/>
      <c r="AE107" s="82"/>
      <c r="AF107" s="287"/>
      <c r="AG107" s="82"/>
      <c r="AH107" s="287"/>
      <c r="AI107" s="82"/>
      <c r="AJ107" s="287"/>
      <c r="AK107" s="82"/>
      <c r="AL107" s="287"/>
      <c r="AM107" s="82"/>
      <c r="AN107" s="287"/>
      <c r="AO107" s="82"/>
      <c r="AP107" s="287"/>
      <c r="AQ107" s="82"/>
      <c r="AR107" s="287"/>
      <c r="AS107" s="82"/>
      <c r="AT107" s="287"/>
      <c r="AU107" s="82"/>
      <c r="AV107" s="50">
        <f>IFERROR(VLOOKUP(A107,'Site check'!A:Q,14,0),0)</f>
        <v>0</v>
      </c>
    </row>
    <row r="108" spans="1:48">
      <c r="A108" s="38" t="s">
        <v>124</v>
      </c>
      <c r="B108" s="97"/>
      <c r="C108" s="4"/>
      <c r="D108" s="4"/>
      <c r="E108" s="30" t="s">
        <v>438</v>
      </c>
      <c r="F108" s="4"/>
      <c r="G108" s="257">
        <f t="shared" ref="G108:G109" si="6">SUM(J108,L108,N108,P108,R108,T108,V108,X108,Z108,AB108,AD108,AF108,AH108,AJ108,AL108,AN108,AP108,AR108,AT108,AV108)</f>
        <v>5.9</v>
      </c>
      <c r="H108" s="140">
        <f t="shared" ref="H108:H109" si="7">SUM(G108*1000)/54.5</f>
        <v>108.25688073394495</v>
      </c>
      <c r="I108" s="82" t="s">
        <v>530</v>
      </c>
      <c r="J108" s="287">
        <v>5.9</v>
      </c>
      <c r="K108" s="82"/>
      <c r="L108" s="287"/>
      <c r="M108" s="82"/>
      <c r="N108" s="287"/>
      <c r="O108" s="82"/>
      <c r="P108" s="287"/>
      <c r="Q108" s="82"/>
      <c r="R108" s="287"/>
      <c r="S108" s="82"/>
      <c r="T108" s="287"/>
      <c r="U108" s="82"/>
      <c r="V108" s="287"/>
      <c r="W108" s="82"/>
      <c r="X108" s="287"/>
      <c r="Y108" s="82"/>
      <c r="Z108" s="287"/>
      <c r="AA108" s="82"/>
      <c r="AB108" s="287"/>
      <c r="AC108" s="82"/>
      <c r="AD108" s="287"/>
      <c r="AE108" s="82"/>
      <c r="AF108" s="287"/>
      <c r="AG108" s="82"/>
      <c r="AH108" s="287"/>
      <c r="AI108" s="82"/>
      <c r="AJ108" s="287"/>
      <c r="AK108" s="82"/>
      <c r="AL108" s="287"/>
      <c r="AM108" s="82"/>
      <c r="AN108" s="287"/>
      <c r="AO108" s="82"/>
      <c r="AP108" s="287"/>
      <c r="AQ108" s="82"/>
      <c r="AR108" s="287"/>
      <c r="AS108" s="82"/>
      <c r="AT108" s="287"/>
      <c r="AU108" s="82"/>
      <c r="AV108" s="50">
        <f>IFERROR(VLOOKUP(A108,'Site check'!A:Q,14,0),0)</f>
        <v>0</v>
      </c>
    </row>
    <row r="109" spans="1:48">
      <c r="A109" s="38" t="s">
        <v>125</v>
      </c>
      <c r="B109" s="97"/>
      <c r="C109" s="4"/>
      <c r="D109" s="4"/>
      <c r="E109" s="4"/>
      <c r="F109" s="4"/>
      <c r="G109" s="257">
        <f t="shared" si="6"/>
        <v>5.9</v>
      </c>
      <c r="H109" s="140">
        <f t="shared" si="7"/>
        <v>108.25688073394495</v>
      </c>
      <c r="I109" s="82" t="s">
        <v>530</v>
      </c>
      <c r="J109" s="287">
        <v>5.9</v>
      </c>
      <c r="K109" s="82"/>
      <c r="L109" s="287"/>
      <c r="M109" s="82"/>
      <c r="N109" s="287"/>
      <c r="O109" s="82"/>
      <c r="P109" s="287"/>
      <c r="Q109" s="82"/>
      <c r="R109" s="287"/>
      <c r="S109" s="82"/>
      <c r="T109" s="287"/>
      <c r="U109" s="82"/>
      <c r="V109" s="287"/>
      <c r="W109" s="82"/>
      <c r="X109" s="287"/>
      <c r="Y109" s="82"/>
      <c r="Z109" s="287"/>
      <c r="AA109" s="82"/>
      <c r="AB109" s="287"/>
      <c r="AC109" s="82"/>
      <c r="AD109" s="287"/>
      <c r="AE109" s="82"/>
      <c r="AF109" s="287"/>
      <c r="AG109" s="82"/>
      <c r="AH109" s="287"/>
      <c r="AI109" s="82"/>
      <c r="AJ109" s="287"/>
      <c r="AK109" s="82"/>
      <c r="AL109" s="287"/>
      <c r="AM109" s="82"/>
      <c r="AN109" s="287"/>
      <c r="AO109" s="82"/>
      <c r="AP109" s="287"/>
      <c r="AQ109" s="82"/>
      <c r="AR109" s="287"/>
      <c r="AS109" s="82"/>
      <c r="AT109" s="287"/>
      <c r="AU109" s="82"/>
      <c r="AV109" s="50">
        <f>IFERROR(VLOOKUP(A109,'Site check'!A:Q,14,0),0)</f>
        <v>0</v>
      </c>
    </row>
    <row r="110" spans="1:48">
      <c r="A110" s="35" t="s">
        <v>126</v>
      </c>
      <c r="B110" s="97"/>
      <c r="C110" s="4"/>
      <c r="D110" s="4"/>
      <c r="E110" s="4"/>
      <c r="F110" s="4"/>
      <c r="G110" s="257">
        <f t="shared" si="4"/>
        <v>0</v>
      </c>
      <c r="H110" s="140">
        <f t="shared" si="5"/>
        <v>0</v>
      </c>
      <c r="I110" s="82"/>
      <c r="J110" s="287"/>
      <c r="K110" s="82"/>
      <c r="L110" s="287"/>
      <c r="M110" s="82"/>
      <c r="N110" s="287"/>
      <c r="O110" s="82"/>
      <c r="P110" s="287"/>
      <c r="Q110" s="82"/>
      <c r="R110" s="287"/>
      <c r="S110" s="82"/>
      <c r="T110" s="287"/>
      <c r="U110" s="82"/>
      <c r="V110" s="287"/>
      <c r="W110" s="82"/>
      <c r="X110" s="287"/>
      <c r="Y110" s="82"/>
      <c r="Z110" s="287"/>
      <c r="AA110" s="82"/>
      <c r="AB110" s="287"/>
      <c r="AC110" s="82"/>
      <c r="AD110" s="287"/>
      <c r="AE110" s="82"/>
      <c r="AF110" s="287"/>
      <c r="AG110" s="82"/>
      <c r="AH110" s="287"/>
      <c r="AI110" s="82"/>
      <c r="AJ110" s="287"/>
      <c r="AK110" s="82"/>
      <c r="AL110" s="287"/>
      <c r="AM110" s="82"/>
      <c r="AN110" s="287"/>
      <c r="AO110" s="82"/>
      <c r="AP110" s="287"/>
      <c r="AQ110" s="82"/>
      <c r="AR110" s="287"/>
      <c r="AS110" s="82"/>
      <c r="AT110" s="287"/>
      <c r="AU110" s="82"/>
      <c r="AV110" s="50">
        <f>IFERROR(VLOOKUP(A110,'Site check'!A:Q,14,0),0)</f>
        <v>0</v>
      </c>
    </row>
    <row r="111" spans="1:48">
      <c r="A111" s="35" t="s">
        <v>127</v>
      </c>
      <c r="B111" s="97"/>
      <c r="C111" s="4"/>
      <c r="D111" s="4"/>
      <c r="E111" s="4"/>
      <c r="F111" s="4"/>
      <c r="G111" s="257">
        <f t="shared" si="4"/>
        <v>0</v>
      </c>
      <c r="H111" s="140">
        <f t="shared" si="5"/>
        <v>0</v>
      </c>
      <c r="I111" s="82"/>
      <c r="J111" s="287"/>
      <c r="K111" s="82"/>
      <c r="L111" s="287"/>
      <c r="M111" s="82"/>
      <c r="N111" s="287"/>
      <c r="O111" s="82"/>
      <c r="P111" s="287"/>
      <c r="Q111" s="82"/>
      <c r="R111" s="287"/>
      <c r="S111" s="82"/>
      <c r="T111" s="287"/>
      <c r="U111" s="82"/>
      <c r="V111" s="287"/>
      <c r="W111" s="82"/>
      <c r="X111" s="287"/>
      <c r="Y111" s="82"/>
      <c r="Z111" s="287"/>
      <c r="AA111" s="82"/>
      <c r="AB111" s="287"/>
      <c r="AC111" s="82"/>
      <c r="AD111" s="287"/>
      <c r="AE111" s="82"/>
      <c r="AF111" s="287"/>
      <c r="AG111" s="82"/>
      <c r="AH111" s="287"/>
      <c r="AI111" s="82"/>
      <c r="AJ111" s="287"/>
      <c r="AK111" s="82"/>
      <c r="AL111" s="287"/>
      <c r="AM111" s="82"/>
      <c r="AN111" s="287"/>
      <c r="AO111" s="82"/>
      <c r="AP111" s="287"/>
      <c r="AQ111" s="82"/>
      <c r="AR111" s="287"/>
      <c r="AS111" s="82"/>
      <c r="AT111" s="287"/>
      <c r="AU111" s="82"/>
      <c r="AV111" s="50">
        <f>IFERROR(VLOOKUP(A111,'Site check'!A:Q,14,0),0)</f>
        <v>0</v>
      </c>
    </row>
    <row r="112" spans="1:48">
      <c r="A112" s="35" t="s">
        <v>128</v>
      </c>
      <c r="B112" s="97"/>
      <c r="C112" s="4"/>
      <c r="D112" s="4"/>
      <c r="E112" s="4"/>
      <c r="F112" s="4"/>
      <c r="G112" s="257">
        <f t="shared" si="4"/>
        <v>0</v>
      </c>
      <c r="H112" s="140">
        <f t="shared" si="5"/>
        <v>0</v>
      </c>
      <c r="I112" s="82"/>
      <c r="J112" s="287"/>
      <c r="K112" s="82"/>
      <c r="L112" s="287"/>
      <c r="M112" s="82"/>
      <c r="N112" s="287"/>
      <c r="O112" s="82"/>
      <c r="P112" s="287"/>
      <c r="Q112" s="82"/>
      <c r="R112" s="287"/>
      <c r="S112" s="82"/>
      <c r="T112" s="287"/>
      <c r="U112" s="82"/>
      <c r="V112" s="287"/>
      <c r="W112" s="82"/>
      <c r="X112" s="287"/>
      <c r="Y112" s="82"/>
      <c r="Z112" s="287"/>
      <c r="AA112" s="82"/>
      <c r="AB112" s="287"/>
      <c r="AC112" s="82"/>
      <c r="AD112" s="287"/>
      <c r="AE112" s="82"/>
      <c r="AF112" s="287"/>
      <c r="AG112" s="82"/>
      <c r="AH112" s="287"/>
      <c r="AI112" s="82"/>
      <c r="AJ112" s="287"/>
      <c r="AK112" s="82"/>
      <c r="AL112" s="287"/>
      <c r="AM112" s="82"/>
      <c r="AN112" s="287"/>
      <c r="AO112" s="82"/>
      <c r="AP112" s="287"/>
      <c r="AQ112" s="82"/>
      <c r="AR112" s="287"/>
      <c r="AS112" s="82"/>
      <c r="AT112" s="287"/>
      <c r="AU112" s="82"/>
      <c r="AV112" s="50">
        <f>IFERROR(VLOOKUP(A112,'Site check'!A:Q,14,0),0)</f>
        <v>0</v>
      </c>
    </row>
    <row r="113" spans="1:48">
      <c r="A113" s="37" t="s">
        <v>129</v>
      </c>
      <c r="B113" s="97"/>
      <c r="C113" s="4"/>
      <c r="D113" s="4"/>
      <c r="E113" s="30" t="s">
        <v>438</v>
      </c>
      <c r="F113" s="4"/>
      <c r="G113" s="257">
        <f t="shared" si="4"/>
        <v>5.9</v>
      </c>
      <c r="H113" s="140">
        <f t="shared" si="5"/>
        <v>108.25688073394495</v>
      </c>
      <c r="I113" s="82" t="s">
        <v>531</v>
      </c>
      <c r="J113" s="287">
        <v>5.9</v>
      </c>
      <c r="K113" s="82"/>
      <c r="L113" s="287"/>
      <c r="M113" s="82"/>
      <c r="N113" s="287"/>
      <c r="O113" s="82"/>
      <c r="P113" s="287"/>
      <c r="Q113" s="82"/>
      <c r="R113" s="287"/>
      <c r="S113" s="82"/>
      <c r="T113" s="287"/>
      <c r="U113" s="82"/>
      <c r="V113" s="287"/>
      <c r="W113" s="82"/>
      <c r="X113" s="287"/>
      <c r="Y113" s="82"/>
      <c r="Z113" s="287"/>
      <c r="AA113" s="82"/>
      <c r="AB113" s="287"/>
      <c r="AC113" s="82"/>
      <c r="AD113" s="287"/>
      <c r="AE113" s="82"/>
      <c r="AF113" s="287"/>
      <c r="AG113" s="82"/>
      <c r="AH113" s="287"/>
      <c r="AI113" s="82"/>
      <c r="AJ113" s="287"/>
      <c r="AK113" s="82"/>
      <c r="AL113" s="287"/>
      <c r="AM113" s="82"/>
      <c r="AN113" s="287"/>
      <c r="AO113" s="82"/>
      <c r="AP113" s="287"/>
      <c r="AQ113" s="82"/>
      <c r="AR113" s="287"/>
      <c r="AS113" s="82"/>
      <c r="AT113" s="287"/>
      <c r="AU113" s="82"/>
      <c r="AV113" s="50">
        <f>IFERROR(VLOOKUP(A113,'Site check'!A:Q,14,0),0)</f>
        <v>0</v>
      </c>
    </row>
    <row r="114" spans="1:48">
      <c r="A114" s="37" t="s">
        <v>130</v>
      </c>
      <c r="B114" s="97"/>
      <c r="C114" s="4"/>
      <c r="D114" s="4"/>
      <c r="E114" s="4"/>
      <c r="F114" s="4"/>
      <c r="G114" s="257">
        <f t="shared" si="4"/>
        <v>5.8</v>
      </c>
      <c r="H114" s="140">
        <f t="shared" si="5"/>
        <v>106.42201834862385</v>
      </c>
      <c r="I114" s="82" t="s">
        <v>531</v>
      </c>
      <c r="J114" s="287">
        <v>5.8</v>
      </c>
      <c r="K114" s="82"/>
      <c r="L114" s="287"/>
      <c r="M114" s="82"/>
      <c r="N114" s="287"/>
      <c r="O114" s="82"/>
      <c r="P114" s="287"/>
      <c r="Q114" s="82"/>
      <c r="R114" s="287"/>
      <c r="S114" s="82"/>
      <c r="T114" s="287"/>
      <c r="U114" s="82"/>
      <c r="V114" s="287"/>
      <c r="W114" s="82"/>
      <c r="X114" s="287"/>
      <c r="Y114" s="82"/>
      <c r="Z114" s="287"/>
      <c r="AA114" s="82"/>
      <c r="AB114" s="287"/>
      <c r="AC114" s="82"/>
      <c r="AD114" s="287"/>
      <c r="AE114" s="82"/>
      <c r="AF114" s="287"/>
      <c r="AG114" s="82"/>
      <c r="AH114" s="287"/>
      <c r="AI114" s="82"/>
      <c r="AJ114" s="287"/>
      <c r="AK114" s="82"/>
      <c r="AL114" s="287"/>
      <c r="AM114" s="82"/>
      <c r="AN114" s="287"/>
      <c r="AO114" s="82"/>
      <c r="AP114" s="287"/>
      <c r="AQ114" s="82"/>
      <c r="AR114" s="287"/>
      <c r="AS114" s="82"/>
      <c r="AT114" s="287"/>
      <c r="AU114" s="82"/>
      <c r="AV114" s="50">
        <f>IFERROR(VLOOKUP(A114,'Site check'!A:Q,14,0),0)</f>
        <v>0</v>
      </c>
    </row>
    <row r="115" spans="1:48">
      <c r="A115" s="35" t="s">
        <v>131</v>
      </c>
      <c r="B115" s="97"/>
      <c r="C115" s="30" t="s">
        <v>18</v>
      </c>
      <c r="D115" s="4"/>
      <c r="E115" s="4"/>
      <c r="F115" s="4"/>
      <c r="G115" s="257">
        <f t="shared" si="4"/>
        <v>3.4</v>
      </c>
      <c r="H115" s="140">
        <f t="shared" si="5"/>
        <v>62.38532110091743</v>
      </c>
      <c r="I115" s="88" t="s">
        <v>532</v>
      </c>
      <c r="J115" s="289">
        <v>2.4</v>
      </c>
      <c r="K115" s="88" t="s">
        <v>533</v>
      </c>
      <c r="L115" s="289">
        <v>1</v>
      </c>
      <c r="M115" s="82"/>
      <c r="N115" s="287"/>
      <c r="O115" s="82"/>
      <c r="P115" s="287"/>
      <c r="Q115" s="82"/>
      <c r="R115" s="287"/>
      <c r="S115" s="82"/>
      <c r="T115" s="287"/>
      <c r="U115" s="82"/>
      <c r="V115" s="287"/>
      <c r="W115" s="82"/>
      <c r="X115" s="287"/>
      <c r="Y115" s="82"/>
      <c r="Z115" s="287"/>
      <c r="AA115" s="82"/>
      <c r="AB115" s="287"/>
      <c r="AC115" s="82"/>
      <c r="AD115" s="287"/>
      <c r="AE115" s="82"/>
      <c r="AF115" s="287"/>
      <c r="AG115" s="82"/>
      <c r="AH115" s="287"/>
      <c r="AI115" s="82"/>
      <c r="AJ115" s="287"/>
      <c r="AK115" s="82"/>
      <c r="AL115" s="287"/>
      <c r="AM115" s="82"/>
      <c r="AN115" s="287"/>
      <c r="AO115" s="82"/>
      <c r="AP115" s="287"/>
      <c r="AQ115" s="82"/>
      <c r="AR115" s="287"/>
      <c r="AS115" s="82"/>
      <c r="AT115" s="287"/>
      <c r="AU115" s="82"/>
      <c r="AV115" s="50">
        <f>IFERROR(VLOOKUP(A115,'Site check'!A:Q,14,0),0)</f>
        <v>0</v>
      </c>
    </row>
    <row r="116" spans="1:48">
      <c r="A116" s="263" t="s">
        <v>132</v>
      </c>
      <c r="B116" s="97"/>
      <c r="C116" s="30" t="s">
        <v>18</v>
      </c>
      <c r="D116" s="4"/>
      <c r="E116" s="4"/>
      <c r="F116" s="4"/>
      <c r="G116" s="257">
        <f t="shared" si="4"/>
        <v>7.1000000000000005</v>
      </c>
      <c r="H116" s="140">
        <f t="shared" si="5"/>
        <v>130.2752293577982</v>
      </c>
      <c r="I116" s="82" t="s">
        <v>534</v>
      </c>
      <c r="J116" s="287">
        <v>2.1</v>
      </c>
      <c r="K116" s="82" t="s">
        <v>535</v>
      </c>
      <c r="L116" s="287">
        <v>2.4</v>
      </c>
      <c r="M116" s="82" t="s">
        <v>536</v>
      </c>
      <c r="N116" s="287">
        <v>1.4</v>
      </c>
      <c r="O116" s="269" t="s">
        <v>537</v>
      </c>
      <c r="P116" s="299">
        <v>0.8</v>
      </c>
      <c r="Q116" s="317" t="s">
        <v>538</v>
      </c>
      <c r="R116" s="325">
        <v>0.4</v>
      </c>
      <c r="S116" s="84"/>
      <c r="T116" s="292"/>
      <c r="U116" s="82"/>
      <c r="V116" s="287"/>
      <c r="W116" s="82"/>
      <c r="X116" s="287"/>
      <c r="Y116" s="82"/>
      <c r="Z116" s="287"/>
      <c r="AA116" s="82"/>
      <c r="AB116" s="287"/>
      <c r="AC116" s="82"/>
      <c r="AD116" s="287"/>
      <c r="AE116" s="82"/>
      <c r="AF116" s="287"/>
      <c r="AG116" s="82"/>
      <c r="AH116" s="287"/>
      <c r="AI116" s="82"/>
      <c r="AJ116" s="287"/>
      <c r="AK116" s="82"/>
      <c r="AL116" s="287"/>
      <c r="AM116" s="82"/>
      <c r="AN116" s="287"/>
      <c r="AO116" s="82"/>
      <c r="AP116" s="287"/>
      <c r="AQ116" s="82"/>
      <c r="AR116" s="287"/>
      <c r="AS116" s="82"/>
      <c r="AT116" s="287"/>
      <c r="AU116" s="82"/>
      <c r="AV116" s="50">
        <f>IFERROR(VLOOKUP(A116,'Site check'!A:Q,14,0),0)</f>
        <v>0</v>
      </c>
    </row>
    <row r="117" spans="1:48">
      <c r="A117" s="263" t="s">
        <v>133</v>
      </c>
      <c r="B117" s="97"/>
      <c r="C117" s="30"/>
      <c r="D117" s="4"/>
      <c r="E117" s="4"/>
      <c r="F117" s="4"/>
      <c r="G117" s="257">
        <f t="shared" ref="G117" si="8">SUM(J117,L117,N117,P117,R117,T117,V117,X117,Z117,AB117,AD117,AF117,AH117,AJ117,AL117,AN117,AP117,AR117,AT117,AV117)</f>
        <v>7</v>
      </c>
      <c r="H117" s="140">
        <f t="shared" ref="H117" si="9">SUM(G117*1000)/54.5</f>
        <v>128.44036697247705</v>
      </c>
      <c r="I117" s="82" t="s">
        <v>534</v>
      </c>
      <c r="J117" s="287">
        <v>2.2000000000000002</v>
      </c>
      <c r="K117" s="82" t="s">
        <v>535</v>
      </c>
      <c r="L117" s="287">
        <v>2.2999999999999998</v>
      </c>
      <c r="M117" s="82" t="s">
        <v>536</v>
      </c>
      <c r="N117" s="287">
        <v>1.3</v>
      </c>
      <c r="O117" s="269" t="s">
        <v>537</v>
      </c>
      <c r="P117" s="299">
        <v>0.8</v>
      </c>
      <c r="Q117" s="317" t="s">
        <v>538</v>
      </c>
      <c r="R117" s="325">
        <v>0.4</v>
      </c>
      <c r="S117" s="84"/>
      <c r="T117" s="292"/>
      <c r="U117" s="82"/>
      <c r="V117" s="287"/>
      <c r="W117" s="82"/>
      <c r="X117" s="287"/>
      <c r="Y117" s="82"/>
      <c r="Z117" s="287"/>
      <c r="AA117" s="82"/>
      <c r="AB117" s="287"/>
      <c r="AC117" s="82"/>
      <c r="AD117" s="287"/>
      <c r="AE117" s="82"/>
      <c r="AF117" s="287"/>
      <c r="AG117" s="82"/>
      <c r="AH117" s="287"/>
      <c r="AI117" s="82"/>
      <c r="AJ117" s="287"/>
      <c r="AK117" s="82"/>
      <c r="AL117" s="287"/>
      <c r="AM117" s="82"/>
      <c r="AN117" s="287"/>
      <c r="AO117" s="82"/>
      <c r="AP117" s="287"/>
      <c r="AQ117" s="82"/>
      <c r="AR117" s="287"/>
      <c r="AS117" s="82"/>
      <c r="AT117" s="287"/>
      <c r="AU117" s="82"/>
      <c r="AV117" s="50">
        <f>IFERROR(VLOOKUP(A117,'Site check'!A:Q,14,0),0)</f>
        <v>0</v>
      </c>
    </row>
    <row r="118" spans="1:48">
      <c r="A118" s="37" t="s">
        <v>134</v>
      </c>
      <c r="B118" s="24" t="s">
        <v>17</v>
      </c>
      <c r="C118" s="30" t="s">
        <v>18</v>
      </c>
      <c r="D118" s="30" t="s">
        <v>19</v>
      </c>
      <c r="E118" s="4"/>
      <c r="F118" s="30" t="s">
        <v>319</v>
      </c>
      <c r="G118" s="257">
        <f t="shared" si="4"/>
        <v>9.5</v>
      </c>
      <c r="H118" s="140">
        <f t="shared" si="5"/>
        <v>174.3119266055046</v>
      </c>
      <c r="I118" s="82" t="s">
        <v>539</v>
      </c>
      <c r="J118" s="287">
        <v>0.75</v>
      </c>
      <c r="K118" s="90" t="s">
        <v>540</v>
      </c>
      <c r="L118" s="290">
        <v>1.3</v>
      </c>
      <c r="M118" s="82" t="s">
        <v>541</v>
      </c>
      <c r="N118" s="290">
        <v>1.4</v>
      </c>
      <c r="O118" s="88" t="s">
        <v>542</v>
      </c>
      <c r="P118" s="289">
        <v>0.5</v>
      </c>
      <c r="Q118" s="266" t="s">
        <v>543</v>
      </c>
      <c r="R118" s="291">
        <v>0.9</v>
      </c>
      <c r="S118" s="266" t="s">
        <v>544</v>
      </c>
      <c r="T118" s="291">
        <v>0.8</v>
      </c>
      <c r="U118" s="109" t="s">
        <v>545</v>
      </c>
      <c r="V118" s="298">
        <v>1.5</v>
      </c>
      <c r="W118" s="93" t="s">
        <v>546</v>
      </c>
      <c r="X118" s="298">
        <v>0.6</v>
      </c>
      <c r="Y118" s="86" t="s">
        <v>547</v>
      </c>
      <c r="Z118" s="288">
        <v>0.75</v>
      </c>
      <c r="AA118" s="86" t="s">
        <v>548</v>
      </c>
      <c r="AB118" s="288">
        <v>1</v>
      </c>
      <c r="AC118" s="82"/>
      <c r="AD118" s="287"/>
      <c r="AE118" s="82"/>
      <c r="AF118" s="287"/>
      <c r="AG118" s="82"/>
      <c r="AH118" s="287"/>
      <c r="AI118" s="82"/>
      <c r="AJ118" s="287"/>
      <c r="AK118" s="82"/>
      <c r="AL118" s="287"/>
      <c r="AM118" s="82"/>
      <c r="AN118" s="287"/>
      <c r="AO118" s="82"/>
      <c r="AP118" s="287"/>
      <c r="AQ118" s="82"/>
      <c r="AR118" s="287"/>
      <c r="AS118" s="82"/>
      <c r="AT118" s="287"/>
      <c r="AU118" s="82"/>
      <c r="AV118" s="50">
        <f>IFERROR(VLOOKUP(A118,'Site check'!A:Q,14,0),0)</f>
        <v>0</v>
      </c>
    </row>
    <row r="119" spans="1:48">
      <c r="A119" s="37" t="s">
        <v>549</v>
      </c>
      <c r="B119" s="4"/>
      <c r="C119" s="4"/>
      <c r="D119" s="4"/>
      <c r="E119" s="4"/>
      <c r="F119" s="4"/>
      <c r="G119" s="257">
        <f t="shared" si="4"/>
        <v>10.95</v>
      </c>
      <c r="H119" s="140">
        <f t="shared" si="5"/>
        <v>200.91743119266056</v>
      </c>
      <c r="I119" s="82" t="s">
        <v>539</v>
      </c>
      <c r="J119" s="287">
        <v>0.75</v>
      </c>
      <c r="K119" s="90" t="s">
        <v>540</v>
      </c>
      <c r="L119" s="290">
        <v>1.4</v>
      </c>
      <c r="M119" s="82" t="s">
        <v>541</v>
      </c>
      <c r="N119" s="290">
        <v>1.5</v>
      </c>
      <c r="O119" s="88" t="s">
        <v>542</v>
      </c>
      <c r="P119" s="289">
        <v>1.6</v>
      </c>
      <c r="Q119" s="266" t="s">
        <v>543</v>
      </c>
      <c r="R119" s="291">
        <v>0.9</v>
      </c>
      <c r="S119" s="266" t="s">
        <v>550</v>
      </c>
      <c r="T119" s="291">
        <v>0.8</v>
      </c>
      <c r="U119" s="109" t="s">
        <v>545</v>
      </c>
      <c r="V119" s="298">
        <v>1.5</v>
      </c>
      <c r="W119" s="93" t="s">
        <v>546</v>
      </c>
      <c r="X119" s="298">
        <v>0.75</v>
      </c>
      <c r="Y119" s="86" t="s">
        <v>547</v>
      </c>
      <c r="Z119" s="288">
        <v>0.75</v>
      </c>
      <c r="AA119" s="86" t="s">
        <v>548</v>
      </c>
      <c r="AB119" s="288">
        <v>1</v>
      </c>
      <c r="AC119" s="82"/>
      <c r="AD119" s="287"/>
      <c r="AE119" s="82"/>
      <c r="AF119" s="287"/>
      <c r="AG119" s="82"/>
      <c r="AH119" s="287"/>
      <c r="AI119" s="82"/>
      <c r="AJ119" s="287"/>
      <c r="AK119" s="82"/>
      <c r="AL119" s="287"/>
      <c r="AM119" s="82"/>
      <c r="AN119" s="287"/>
      <c r="AO119" s="82"/>
      <c r="AP119" s="287"/>
      <c r="AQ119" s="82"/>
      <c r="AR119" s="287"/>
      <c r="AS119" s="82"/>
      <c r="AT119" s="287"/>
      <c r="AU119" s="82"/>
      <c r="AV119" s="50">
        <f>IFERROR(VLOOKUP(A119,'Site check'!A:Q,14,0),0)</f>
        <v>0</v>
      </c>
    </row>
    <row r="120" spans="1:48">
      <c r="A120" s="35" t="s">
        <v>136</v>
      </c>
      <c r="B120" s="97"/>
      <c r="C120" s="30" t="s">
        <v>18</v>
      </c>
      <c r="D120" s="4"/>
      <c r="E120" s="4"/>
      <c r="F120" s="4"/>
      <c r="G120" s="257">
        <f t="shared" si="4"/>
        <v>4.4000000000000004</v>
      </c>
      <c r="H120" s="140">
        <f t="shared" si="5"/>
        <v>80.733944954128447</v>
      </c>
      <c r="I120" s="82" t="s">
        <v>551</v>
      </c>
      <c r="J120" s="287">
        <v>2.4</v>
      </c>
      <c r="K120" s="269" t="s">
        <v>552</v>
      </c>
      <c r="L120" s="291">
        <v>2</v>
      </c>
      <c r="M120" s="88"/>
      <c r="N120" s="289"/>
      <c r="O120" s="82"/>
      <c r="P120" s="287"/>
      <c r="Q120" s="82"/>
      <c r="R120" s="287"/>
      <c r="S120" s="82"/>
      <c r="T120" s="287"/>
      <c r="U120" s="82"/>
      <c r="V120" s="287"/>
      <c r="W120" s="82"/>
      <c r="X120" s="287"/>
      <c r="Y120" s="82"/>
      <c r="Z120" s="287"/>
      <c r="AA120" s="82"/>
      <c r="AB120" s="287"/>
      <c r="AC120" s="82"/>
      <c r="AD120" s="287"/>
      <c r="AE120" s="82"/>
      <c r="AF120" s="287"/>
      <c r="AG120" s="82"/>
      <c r="AH120" s="287"/>
      <c r="AI120" s="82"/>
      <c r="AJ120" s="287"/>
      <c r="AK120" s="82"/>
      <c r="AL120" s="287"/>
      <c r="AM120" s="82"/>
      <c r="AN120" s="287"/>
      <c r="AO120" s="82"/>
      <c r="AP120" s="287"/>
      <c r="AQ120" s="82"/>
      <c r="AR120" s="287"/>
      <c r="AS120" s="82"/>
      <c r="AT120" s="287"/>
      <c r="AU120" s="82"/>
      <c r="AV120" s="50">
        <f>IFERROR(VLOOKUP(A120,'Site check'!A:Q,14,0),0)</f>
        <v>0</v>
      </c>
    </row>
    <row r="121" spans="1:48">
      <c r="A121" s="35" t="s">
        <v>137</v>
      </c>
      <c r="B121" s="97"/>
      <c r="C121" s="4"/>
      <c r="D121" s="4"/>
      <c r="E121" s="4"/>
      <c r="F121" s="4"/>
      <c r="G121" s="257">
        <f t="shared" si="4"/>
        <v>3</v>
      </c>
      <c r="H121" s="140">
        <f t="shared" si="5"/>
        <v>55.045871559633028</v>
      </c>
      <c r="I121" s="266" t="s">
        <v>553</v>
      </c>
      <c r="J121" s="291">
        <v>2</v>
      </c>
      <c r="K121" s="84" t="s">
        <v>554</v>
      </c>
      <c r="L121" s="292">
        <v>1</v>
      </c>
      <c r="M121" s="88"/>
      <c r="N121" s="289"/>
      <c r="O121" s="82"/>
      <c r="P121" s="287"/>
      <c r="Q121" s="82"/>
      <c r="R121" s="287"/>
      <c r="S121" s="82"/>
      <c r="T121" s="287"/>
      <c r="U121" s="82"/>
      <c r="V121" s="287"/>
      <c r="W121" s="82"/>
      <c r="X121" s="287"/>
      <c r="Y121" s="82"/>
      <c r="Z121" s="287"/>
      <c r="AA121" s="82"/>
      <c r="AB121" s="287"/>
      <c r="AC121" s="82"/>
      <c r="AD121" s="287"/>
      <c r="AE121" s="82"/>
      <c r="AF121" s="287"/>
      <c r="AG121" s="82"/>
      <c r="AH121" s="287"/>
      <c r="AI121" s="82"/>
      <c r="AJ121" s="287"/>
      <c r="AK121" s="82"/>
      <c r="AL121" s="287"/>
      <c r="AM121" s="82"/>
      <c r="AN121" s="287"/>
      <c r="AO121" s="82"/>
      <c r="AP121" s="287"/>
      <c r="AQ121" s="82"/>
      <c r="AR121" s="287"/>
      <c r="AS121" s="82"/>
      <c r="AT121" s="287"/>
      <c r="AU121" s="82"/>
      <c r="AV121" s="50">
        <f>IFERROR(VLOOKUP(A121,'Site check'!A:Q,14,0),0)</f>
        <v>0</v>
      </c>
    </row>
    <row r="122" spans="1:48">
      <c r="A122" s="35" t="s">
        <v>138</v>
      </c>
      <c r="B122" s="97"/>
      <c r="C122" s="4"/>
      <c r="D122" s="4"/>
      <c r="E122" s="4"/>
      <c r="F122" s="4"/>
      <c r="G122" s="257">
        <f t="shared" si="4"/>
        <v>0.5</v>
      </c>
      <c r="H122" s="140">
        <f t="shared" si="5"/>
        <v>9.1743119266055047</v>
      </c>
      <c r="I122" s="88" t="s">
        <v>555</v>
      </c>
      <c r="J122" s="289">
        <v>0.5</v>
      </c>
      <c r="K122" s="82"/>
      <c r="L122" s="287"/>
      <c r="M122" s="82"/>
      <c r="N122" s="287"/>
      <c r="O122" s="82"/>
      <c r="P122" s="287"/>
      <c r="Q122" s="82"/>
      <c r="R122" s="287"/>
      <c r="S122" s="82"/>
      <c r="T122" s="287"/>
      <c r="U122" s="82"/>
      <c r="V122" s="287"/>
      <c r="W122" s="82"/>
      <c r="X122" s="287"/>
      <c r="Y122" s="82"/>
      <c r="Z122" s="287"/>
      <c r="AA122" s="82"/>
      <c r="AB122" s="287"/>
      <c r="AC122" s="82"/>
      <c r="AD122" s="287"/>
      <c r="AE122" s="82"/>
      <c r="AF122" s="287"/>
      <c r="AG122" s="82"/>
      <c r="AH122" s="287"/>
      <c r="AI122" s="82"/>
      <c r="AJ122" s="287"/>
      <c r="AK122" s="82"/>
      <c r="AL122" s="287"/>
      <c r="AM122" s="82"/>
      <c r="AN122" s="287"/>
      <c r="AO122" s="82"/>
      <c r="AP122" s="287"/>
      <c r="AQ122" s="82"/>
      <c r="AR122" s="287"/>
      <c r="AS122" s="82"/>
      <c r="AT122" s="287"/>
      <c r="AU122" s="82"/>
      <c r="AV122" s="50">
        <f>IFERROR(VLOOKUP(A122,'Site check'!A:Q,14,0),0)</f>
        <v>0</v>
      </c>
    </row>
    <row r="123" spans="1:48">
      <c r="A123" s="35" t="s">
        <v>139</v>
      </c>
      <c r="B123" s="97"/>
      <c r="C123" s="4"/>
      <c r="D123" s="4"/>
      <c r="E123" s="4"/>
      <c r="F123" s="4"/>
      <c r="G123" s="257">
        <f t="shared" si="4"/>
        <v>0.5</v>
      </c>
      <c r="H123" s="140">
        <f t="shared" si="5"/>
        <v>9.1743119266055047</v>
      </c>
      <c r="I123" s="88" t="s">
        <v>556</v>
      </c>
      <c r="J123" s="289">
        <v>0.5</v>
      </c>
      <c r="K123" s="82"/>
      <c r="L123" s="287"/>
      <c r="M123" s="82"/>
      <c r="N123" s="287"/>
      <c r="O123" s="82"/>
      <c r="P123" s="287"/>
      <c r="Q123" s="82"/>
      <c r="R123" s="287"/>
      <c r="S123" s="82"/>
      <c r="T123" s="287"/>
      <c r="U123" s="82"/>
      <c r="V123" s="287"/>
      <c r="W123" s="82"/>
      <c r="X123" s="287"/>
      <c r="Y123" s="82"/>
      <c r="Z123" s="287"/>
      <c r="AA123" s="82"/>
      <c r="AB123" s="287"/>
      <c r="AC123" s="82"/>
      <c r="AD123" s="287"/>
      <c r="AE123" s="82"/>
      <c r="AF123" s="287"/>
      <c r="AG123" s="82"/>
      <c r="AH123" s="287"/>
      <c r="AI123" s="82"/>
      <c r="AJ123" s="287"/>
      <c r="AK123" s="82"/>
      <c r="AL123" s="287"/>
      <c r="AM123" s="82"/>
      <c r="AN123" s="287"/>
      <c r="AO123" s="82"/>
      <c r="AP123" s="287"/>
      <c r="AQ123" s="82"/>
      <c r="AR123" s="287"/>
      <c r="AS123" s="82"/>
      <c r="AT123" s="287"/>
      <c r="AU123" s="82"/>
      <c r="AV123" s="50">
        <f>IFERROR(VLOOKUP(A123,'Site check'!A:Q,14,0),0)</f>
        <v>0</v>
      </c>
    </row>
    <row r="124" spans="1:48">
      <c r="A124" s="35" t="s">
        <v>140</v>
      </c>
      <c r="B124" s="97"/>
      <c r="C124" s="4"/>
      <c r="D124" s="4"/>
      <c r="E124" s="4"/>
      <c r="F124" s="4"/>
      <c r="G124" s="257">
        <f t="shared" si="4"/>
        <v>2</v>
      </c>
      <c r="H124" s="140">
        <f t="shared" si="5"/>
        <v>36.697247706422019</v>
      </c>
      <c r="I124" s="88" t="s">
        <v>557</v>
      </c>
      <c r="J124" s="289">
        <v>1</v>
      </c>
      <c r="K124" s="84" t="s">
        <v>558</v>
      </c>
      <c r="L124" s="292">
        <v>1</v>
      </c>
      <c r="M124" s="82"/>
      <c r="N124" s="287"/>
      <c r="O124" s="82"/>
      <c r="P124" s="287"/>
      <c r="Q124" s="82"/>
      <c r="R124" s="287"/>
      <c r="S124" s="82"/>
      <c r="T124" s="287"/>
      <c r="U124" s="82"/>
      <c r="V124" s="287"/>
      <c r="W124" s="82"/>
      <c r="X124" s="287"/>
      <c r="Y124" s="82"/>
      <c r="Z124" s="287"/>
      <c r="AA124" s="82"/>
      <c r="AB124" s="287"/>
      <c r="AC124" s="82"/>
      <c r="AD124" s="287"/>
      <c r="AE124" s="82"/>
      <c r="AF124" s="287"/>
      <c r="AG124" s="82"/>
      <c r="AH124" s="287"/>
      <c r="AI124" s="82"/>
      <c r="AJ124" s="287"/>
      <c r="AK124" s="82"/>
      <c r="AL124" s="287"/>
      <c r="AM124" s="82"/>
      <c r="AN124" s="287"/>
      <c r="AO124" s="82"/>
      <c r="AP124" s="287"/>
      <c r="AQ124" s="82"/>
      <c r="AR124" s="287"/>
      <c r="AS124" s="82"/>
      <c r="AT124" s="287"/>
      <c r="AU124" s="82"/>
      <c r="AV124" s="50">
        <f>IFERROR(VLOOKUP(A124,'Site check'!A:Q,14,0),0)</f>
        <v>0</v>
      </c>
    </row>
    <row r="125" spans="1:48">
      <c r="A125" s="35" t="s">
        <v>141</v>
      </c>
      <c r="B125" s="97"/>
      <c r="C125" s="4"/>
      <c r="D125" s="4"/>
      <c r="E125" s="4"/>
      <c r="F125" s="4"/>
      <c r="G125" s="257">
        <f t="shared" si="4"/>
        <v>0</v>
      </c>
      <c r="H125" s="140">
        <f t="shared" si="5"/>
        <v>0</v>
      </c>
      <c r="I125" s="88"/>
      <c r="J125" s="289"/>
      <c r="K125" s="82"/>
      <c r="L125" s="287"/>
      <c r="M125" s="82"/>
      <c r="N125" s="287"/>
      <c r="O125" s="82"/>
      <c r="P125" s="287"/>
      <c r="Q125" s="82"/>
      <c r="R125" s="287"/>
      <c r="S125" s="82"/>
      <c r="T125" s="287"/>
      <c r="U125" s="82"/>
      <c r="V125" s="287"/>
      <c r="W125" s="82"/>
      <c r="X125" s="287"/>
      <c r="Y125" s="82"/>
      <c r="Z125" s="287"/>
      <c r="AA125" s="82"/>
      <c r="AB125" s="287"/>
      <c r="AC125" s="82"/>
      <c r="AD125" s="287"/>
      <c r="AE125" s="82"/>
      <c r="AF125" s="287"/>
      <c r="AG125" s="82"/>
      <c r="AH125" s="287"/>
      <c r="AI125" s="82"/>
      <c r="AJ125" s="287"/>
      <c r="AK125" s="82"/>
      <c r="AL125" s="287"/>
      <c r="AM125" s="82"/>
      <c r="AN125" s="287"/>
      <c r="AO125" s="82"/>
      <c r="AP125" s="287"/>
      <c r="AQ125" s="82"/>
      <c r="AR125" s="287"/>
      <c r="AS125" s="82"/>
      <c r="AT125" s="287"/>
      <c r="AU125" s="82"/>
      <c r="AV125" s="50">
        <f>IFERROR(VLOOKUP(A125,'Site check'!A:Q,14,0),0)</f>
        <v>0</v>
      </c>
    </row>
    <row r="126" spans="1:48">
      <c r="A126" s="35" t="s">
        <v>142</v>
      </c>
      <c r="B126" s="97"/>
      <c r="C126" s="4"/>
      <c r="D126" s="4"/>
      <c r="E126" s="4"/>
      <c r="F126" s="4"/>
      <c r="G126" s="257">
        <f t="shared" si="4"/>
        <v>0</v>
      </c>
      <c r="H126" s="140">
        <f t="shared" si="5"/>
        <v>0</v>
      </c>
      <c r="I126" s="88"/>
      <c r="J126" s="289"/>
      <c r="K126" s="82"/>
      <c r="L126" s="287"/>
      <c r="M126" s="82"/>
      <c r="N126" s="287"/>
      <c r="O126" s="82"/>
      <c r="P126" s="287"/>
      <c r="Q126" s="82"/>
      <c r="R126" s="287"/>
      <c r="S126" s="82"/>
      <c r="T126" s="287"/>
      <c r="U126" s="82"/>
      <c r="V126" s="287"/>
      <c r="W126" s="82"/>
      <c r="X126" s="287"/>
      <c r="Y126" s="82"/>
      <c r="Z126" s="287"/>
      <c r="AA126" s="82"/>
      <c r="AB126" s="287"/>
      <c r="AC126" s="82"/>
      <c r="AD126" s="287"/>
      <c r="AE126" s="82"/>
      <c r="AF126" s="287"/>
      <c r="AG126" s="82"/>
      <c r="AH126" s="287"/>
      <c r="AI126" s="82"/>
      <c r="AJ126" s="287"/>
      <c r="AK126" s="82"/>
      <c r="AL126" s="287"/>
      <c r="AM126" s="82"/>
      <c r="AN126" s="287"/>
      <c r="AO126" s="82"/>
      <c r="AP126" s="287"/>
      <c r="AQ126" s="82"/>
      <c r="AR126" s="287"/>
      <c r="AS126" s="82"/>
      <c r="AT126" s="287"/>
      <c r="AU126" s="82"/>
      <c r="AV126" s="50">
        <f>IFERROR(VLOOKUP(A126,'Site check'!A:Q,14,0),0)</f>
        <v>0</v>
      </c>
    </row>
    <row r="127" spans="1:48">
      <c r="A127" s="35" t="s">
        <v>143</v>
      </c>
      <c r="B127" s="97"/>
      <c r="C127" s="4"/>
      <c r="D127" s="4"/>
      <c r="E127" s="4"/>
      <c r="F127" s="4"/>
      <c r="G127" s="257">
        <f t="shared" si="4"/>
        <v>1</v>
      </c>
      <c r="H127" s="140">
        <f t="shared" si="5"/>
        <v>18.348623853211009</v>
      </c>
      <c r="I127" s="266" t="s">
        <v>559</v>
      </c>
      <c r="J127" s="291">
        <v>1</v>
      </c>
      <c r="K127" s="82"/>
      <c r="L127" s="287"/>
      <c r="M127" s="82"/>
      <c r="N127" s="287"/>
      <c r="O127" s="82"/>
      <c r="P127" s="287"/>
      <c r="Q127" s="82"/>
      <c r="R127" s="287"/>
      <c r="S127" s="82"/>
      <c r="T127" s="287"/>
      <c r="U127" s="82"/>
      <c r="V127" s="287"/>
      <c r="W127" s="82"/>
      <c r="X127" s="287"/>
      <c r="Y127" s="82"/>
      <c r="Z127" s="287"/>
      <c r="AA127" s="82"/>
      <c r="AB127" s="287"/>
      <c r="AC127" s="82"/>
      <c r="AD127" s="287"/>
      <c r="AE127" s="82"/>
      <c r="AF127" s="287"/>
      <c r="AG127" s="82"/>
      <c r="AH127" s="287"/>
      <c r="AI127" s="82"/>
      <c r="AJ127" s="287"/>
      <c r="AK127" s="82"/>
      <c r="AL127" s="287"/>
      <c r="AM127" s="82"/>
      <c r="AN127" s="287"/>
      <c r="AO127" s="82"/>
      <c r="AP127" s="287"/>
      <c r="AQ127" s="82"/>
      <c r="AR127" s="287"/>
      <c r="AS127" s="82"/>
      <c r="AT127" s="287"/>
      <c r="AU127" s="82"/>
      <c r="AV127" s="50">
        <f>IFERROR(VLOOKUP(A127,'Site check'!A:Q,14,0),0)</f>
        <v>0</v>
      </c>
    </row>
    <row r="128" spans="1:48">
      <c r="A128" s="35" t="s">
        <v>144</v>
      </c>
      <c r="B128" s="97"/>
      <c r="C128" s="30" t="s">
        <v>18</v>
      </c>
      <c r="D128" s="4"/>
      <c r="E128" s="4"/>
      <c r="F128" s="4"/>
      <c r="G128" s="257">
        <f t="shared" si="4"/>
        <v>5.9</v>
      </c>
      <c r="H128" s="140">
        <f t="shared" si="5"/>
        <v>108.25688073394495</v>
      </c>
      <c r="I128" s="88" t="s">
        <v>560</v>
      </c>
      <c r="J128" s="289">
        <v>2.4</v>
      </c>
      <c r="K128" s="82" t="s">
        <v>561</v>
      </c>
      <c r="L128" s="287">
        <v>2</v>
      </c>
      <c r="M128" s="269" t="s">
        <v>562</v>
      </c>
      <c r="N128" s="291">
        <v>1</v>
      </c>
      <c r="O128" s="102" t="s">
        <v>563</v>
      </c>
      <c r="P128" s="297">
        <v>0.5</v>
      </c>
      <c r="Q128" s="82"/>
      <c r="R128" s="287"/>
      <c r="S128" s="102" t="s">
        <v>563</v>
      </c>
      <c r="T128" s="287"/>
      <c r="U128" s="82"/>
      <c r="V128" s="287"/>
      <c r="W128" s="82"/>
      <c r="X128" s="287"/>
      <c r="Y128" s="82"/>
      <c r="Z128" s="287"/>
      <c r="AA128" s="82"/>
      <c r="AB128" s="287"/>
      <c r="AC128" s="82"/>
      <c r="AD128" s="287"/>
      <c r="AE128" s="82"/>
      <c r="AF128" s="287"/>
      <c r="AG128" s="82"/>
      <c r="AH128" s="287"/>
      <c r="AI128" s="82"/>
      <c r="AJ128" s="287"/>
      <c r="AK128" s="82"/>
      <c r="AL128" s="287"/>
      <c r="AM128" s="82"/>
      <c r="AN128" s="287"/>
      <c r="AO128" s="82"/>
      <c r="AP128" s="287"/>
      <c r="AQ128" s="82"/>
      <c r="AR128" s="287"/>
      <c r="AS128" s="82"/>
      <c r="AT128" s="287"/>
      <c r="AU128" s="82"/>
      <c r="AV128" s="50">
        <f>IFERROR(VLOOKUP(A128,'Site check'!A:Q,14,0),0)</f>
        <v>0</v>
      </c>
    </row>
    <row r="129" spans="1:48">
      <c r="A129" s="35" t="s">
        <v>145</v>
      </c>
      <c r="B129" s="97"/>
      <c r="C129" s="4"/>
      <c r="D129" s="4"/>
      <c r="E129" s="4"/>
      <c r="F129" s="4"/>
      <c r="G129" s="257">
        <f t="shared" si="4"/>
        <v>1</v>
      </c>
      <c r="H129" s="140">
        <f t="shared" si="5"/>
        <v>18.348623853211009</v>
      </c>
      <c r="I129" s="88" t="s">
        <v>564</v>
      </c>
      <c r="J129" s="289">
        <v>1</v>
      </c>
      <c r="K129" s="82"/>
      <c r="L129" s="287"/>
      <c r="M129" s="88"/>
      <c r="N129" s="289"/>
      <c r="O129" s="82"/>
      <c r="P129" s="287"/>
      <c r="Q129" s="82"/>
      <c r="R129" s="287"/>
      <c r="S129" s="82"/>
      <c r="T129" s="287"/>
      <c r="U129" s="82"/>
      <c r="V129" s="287"/>
      <c r="W129" s="82"/>
      <c r="X129" s="287"/>
      <c r="Y129" s="82"/>
      <c r="Z129" s="287"/>
      <c r="AA129" s="82"/>
      <c r="AB129" s="287"/>
      <c r="AC129" s="82"/>
      <c r="AD129" s="287"/>
      <c r="AE129" s="82"/>
      <c r="AF129" s="287"/>
      <c r="AG129" s="82"/>
      <c r="AH129" s="287"/>
      <c r="AI129" s="82"/>
      <c r="AJ129" s="287"/>
      <c r="AK129" s="82"/>
      <c r="AL129" s="287"/>
      <c r="AM129" s="82"/>
      <c r="AN129" s="287"/>
      <c r="AO129" s="82"/>
      <c r="AP129" s="287"/>
      <c r="AQ129" s="82"/>
      <c r="AR129" s="287"/>
      <c r="AS129" s="82"/>
      <c r="AT129" s="287"/>
      <c r="AU129" s="82"/>
      <c r="AV129" s="50">
        <f>IFERROR(VLOOKUP(A129,'Site check'!A:Q,14,0),0)</f>
        <v>0</v>
      </c>
    </row>
    <row r="130" spans="1:48">
      <c r="A130" s="35" t="s">
        <v>146</v>
      </c>
      <c r="B130" s="97"/>
      <c r="C130" s="30" t="s">
        <v>18</v>
      </c>
      <c r="D130" s="4"/>
      <c r="E130" s="4"/>
      <c r="F130" s="4"/>
      <c r="G130" s="257">
        <f t="shared" si="4"/>
        <v>4.4000000000000004</v>
      </c>
      <c r="H130" s="140">
        <f t="shared" si="5"/>
        <v>80.733944954128447</v>
      </c>
      <c r="I130" s="88" t="s">
        <v>565</v>
      </c>
      <c r="J130" s="289">
        <v>2.4</v>
      </c>
      <c r="K130" s="82" t="s">
        <v>566</v>
      </c>
      <c r="L130" s="287">
        <v>1</v>
      </c>
      <c r="M130" s="269" t="s">
        <v>567</v>
      </c>
      <c r="N130" s="291">
        <v>1</v>
      </c>
      <c r="O130" s="82"/>
      <c r="P130" s="287"/>
      <c r="Q130" s="82"/>
      <c r="R130" s="287"/>
      <c r="S130" s="82"/>
      <c r="T130" s="287"/>
      <c r="U130" s="82"/>
      <c r="V130" s="287"/>
      <c r="W130" s="82"/>
      <c r="X130" s="287"/>
      <c r="Y130" s="82"/>
      <c r="Z130" s="287"/>
      <c r="AA130" s="82"/>
      <c r="AB130" s="287"/>
      <c r="AC130" s="82"/>
      <c r="AD130" s="287"/>
      <c r="AE130" s="82"/>
      <c r="AF130" s="287"/>
      <c r="AG130" s="82"/>
      <c r="AH130" s="287"/>
      <c r="AI130" s="82"/>
      <c r="AJ130" s="287"/>
      <c r="AK130" s="82"/>
      <c r="AL130" s="287"/>
      <c r="AM130" s="82"/>
      <c r="AN130" s="287"/>
      <c r="AO130" s="82"/>
      <c r="AP130" s="287"/>
      <c r="AQ130" s="82"/>
      <c r="AR130" s="287"/>
      <c r="AS130" s="82"/>
      <c r="AT130" s="287"/>
      <c r="AU130" s="82"/>
      <c r="AV130" s="50">
        <f>IFERROR(VLOOKUP(A130,'Site check'!A:Q,14,0),0)</f>
        <v>0</v>
      </c>
    </row>
    <row r="131" spans="1:48">
      <c r="A131" s="35" t="s">
        <v>147</v>
      </c>
      <c r="B131" s="97"/>
      <c r="C131" s="30" t="s">
        <v>18</v>
      </c>
      <c r="D131" s="4"/>
      <c r="E131" s="4"/>
      <c r="F131" s="4"/>
      <c r="G131" s="257">
        <f t="shared" si="4"/>
        <v>6.4</v>
      </c>
      <c r="H131" s="140">
        <f t="shared" si="5"/>
        <v>117.43119266055047</v>
      </c>
      <c r="I131" s="88" t="s">
        <v>568</v>
      </c>
      <c r="J131" s="289">
        <v>2.4</v>
      </c>
      <c r="K131" s="86" t="s">
        <v>569</v>
      </c>
      <c r="L131" s="288">
        <v>4</v>
      </c>
      <c r="M131" s="82"/>
      <c r="N131" s="287"/>
      <c r="O131" s="82"/>
      <c r="P131" s="287"/>
      <c r="Q131" s="82"/>
      <c r="R131" s="287"/>
      <c r="S131" s="82"/>
      <c r="T131" s="287"/>
      <c r="U131" s="82"/>
      <c r="V131" s="287"/>
      <c r="W131" s="82"/>
      <c r="X131" s="287"/>
      <c r="Y131" s="82"/>
      <c r="Z131" s="287"/>
      <c r="AA131" s="82"/>
      <c r="AB131" s="287"/>
      <c r="AC131" s="82"/>
      <c r="AD131" s="287"/>
      <c r="AE131" s="82"/>
      <c r="AF131" s="287"/>
      <c r="AG131" s="82"/>
      <c r="AH131" s="287"/>
      <c r="AI131" s="82"/>
      <c r="AJ131" s="287"/>
      <c r="AK131" s="82"/>
      <c r="AL131" s="287"/>
      <c r="AM131" s="82"/>
      <c r="AN131" s="287"/>
      <c r="AO131" s="82"/>
      <c r="AP131" s="287"/>
      <c r="AQ131" s="82"/>
      <c r="AR131" s="287"/>
      <c r="AS131" s="82"/>
      <c r="AT131" s="287"/>
      <c r="AU131" s="82"/>
      <c r="AV131" s="50">
        <f>IFERROR(VLOOKUP(A131,'Site check'!A:Q,14,0),0)</f>
        <v>0</v>
      </c>
    </row>
    <row r="132" spans="1:48">
      <c r="A132" s="35" t="s">
        <v>148</v>
      </c>
      <c r="B132" s="97"/>
      <c r="C132" s="4"/>
      <c r="D132" s="4"/>
      <c r="E132" s="4"/>
      <c r="F132" s="4"/>
      <c r="G132" s="257">
        <f t="shared" si="4"/>
        <v>4</v>
      </c>
      <c r="H132" s="140">
        <f t="shared" si="5"/>
        <v>73.394495412844037</v>
      </c>
      <c r="I132" s="84" t="s">
        <v>570</v>
      </c>
      <c r="J132" s="292">
        <v>4</v>
      </c>
      <c r="K132" s="82"/>
      <c r="L132" s="287"/>
      <c r="M132" s="82"/>
      <c r="N132" s="287"/>
      <c r="O132" s="82"/>
      <c r="P132" s="287"/>
      <c r="Q132" s="82"/>
      <c r="R132" s="287"/>
      <c r="S132" s="82"/>
      <c r="T132" s="287"/>
      <c r="U132" s="82"/>
      <c r="V132" s="287"/>
      <c r="W132" s="82"/>
      <c r="X132" s="287"/>
      <c r="Y132" s="82"/>
      <c r="Z132" s="287"/>
      <c r="AA132" s="82"/>
      <c r="AB132" s="287"/>
      <c r="AC132" s="82"/>
      <c r="AD132" s="287"/>
      <c r="AE132" s="82"/>
      <c r="AF132" s="287"/>
      <c r="AG132" s="82"/>
      <c r="AH132" s="287"/>
      <c r="AI132" s="82"/>
      <c r="AJ132" s="287"/>
      <c r="AK132" s="82"/>
      <c r="AL132" s="287"/>
      <c r="AM132" s="82"/>
      <c r="AN132" s="287"/>
      <c r="AO132" s="82"/>
      <c r="AP132" s="287"/>
      <c r="AQ132" s="82"/>
      <c r="AR132" s="287"/>
      <c r="AS132" s="82"/>
      <c r="AT132" s="287"/>
      <c r="AU132" s="82"/>
      <c r="AV132" s="50">
        <f>IFERROR(VLOOKUP(A132,'Site check'!A:Q,14,0),0)</f>
        <v>0</v>
      </c>
    </row>
    <row r="133" spans="1:48">
      <c r="A133" s="35" t="s">
        <v>149</v>
      </c>
      <c r="B133" s="97"/>
      <c r="C133" s="30" t="s">
        <v>18</v>
      </c>
      <c r="D133" s="4"/>
      <c r="E133" s="4"/>
      <c r="F133" s="30" t="s">
        <v>319</v>
      </c>
      <c r="G133" s="257">
        <f t="shared" si="4"/>
        <v>10.4</v>
      </c>
      <c r="H133" s="140">
        <f t="shared" si="5"/>
        <v>190.8256880733945</v>
      </c>
      <c r="I133" s="88" t="s">
        <v>571</v>
      </c>
      <c r="J133" s="289">
        <v>2.4</v>
      </c>
      <c r="K133" s="88" t="s">
        <v>572</v>
      </c>
      <c r="L133" s="289">
        <v>2</v>
      </c>
      <c r="M133" s="88" t="s">
        <v>573</v>
      </c>
      <c r="N133" s="289">
        <v>1</v>
      </c>
      <c r="O133" s="90" t="s">
        <v>574</v>
      </c>
      <c r="P133" s="290">
        <v>5</v>
      </c>
      <c r="Q133" s="82"/>
      <c r="R133" s="287"/>
      <c r="S133" s="82"/>
      <c r="T133" s="287"/>
      <c r="U133" s="82"/>
      <c r="V133" s="287"/>
      <c r="W133" s="82"/>
      <c r="X133" s="287"/>
      <c r="Y133" s="82"/>
      <c r="Z133" s="287"/>
      <c r="AA133" s="82"/>
      <c r="AB133" s="287"/>
      <c r="AC133" s="82"/>
      <c r="AD133" s="287"/>
      <c r="AE133" s="82"/>
      <c r="AF133" s="287"/>
      <c r="AG133" s="82"/>
      <c r="AH133" s="287"/>
      <c r="AI133" s="82"/>
      <c r="AJ133" s="287"/>
      <c r="AK133" s="82"/>
      <c r="AL133" s="287"/>
      <c r="AM133" s="82"/>
      <c r="AN133" s="287"/>
      <c r="AO133" s="82"/>
      <c r="AP133" s="287"/>
      <c r="AQ133" s="82"/>
      <c r="AR133" s="287"/>
      <c r="AS133" s="82"/>
      <c r="AT133" s="287"/>
      <c r="AU133" s="82"/>
      <c r="AV133" s="50">
        <f>IFERROR(VLOOKUP(A133,'Site check'!A:Q,14,0),0)</f>
        <v>0</v>
      </c>
    </row>
    <row r="134" spans="1:48">
      <c r="A134" s="35" t="s">
        <v>150</v>
      </c>
      <c r="B134" s="97"/>
      <c r="C134" s="4"/>
      <c r="D134" s="4"/>
      <c r="E134" s="4"/>
      <c r="F134" s="30" t="s">
        <v>319</v>
      </c>
      <c r="G134" s="257">
        <f>SUM(J134,L134,N134,P134,R134,T134,V134,X134,Z134,AB134,AD134,AF134,AH134,AJ134,AL134,AN134,AP134,AR134,AT134,AV134)</f>
        <v>1</v>
      </c>
      <c r="H134" s="140">
        <f>SUM(G134*1000)/54.5</f>
        <v>18.348623853211009</v>
      </c>
      <c r="I134" s="84" t="s">
        <v>575</v>
      </c>
      <c r="J134" s="292">
        <v>1</v>
      </c>
      <c r="K134" s="88"/>
      <c r="L134" s="289"/>
      <c r="M134" s="88"/>
      <c r="N134" s="289"/>
      <c r="O134" s="82"/>
      <c r="P134" s="287"/>
      <c r="Q134" s="82"/>
      <c r="R134" s="287"/>
      <c r="S134" s="82"/>
      <c r="T134" s="287"/>
      <c r="U134" s="82"/>
      <c r="V134" s="287"/>
      <c r="W134" s="82"/>
      <c r="X134" s="287"/>
      <c r="Y134" s="82"/>
      <c r="Z134" s="287"/>
      <c r="AA134" s="82"/>
      <c r="AB134" s="287"/>
      <c r="AC134" s="82"/>
      <c r="AD134" s="287"/>
      <c r="AE134" s="82"/>
      <c r="AF134" s="287"/>
      <c r="AG134" s="82"/>
      <c r="AH134" s="287"/>
      <c r="AI134" s="82"/>
      <c r="AJ134" s="287"/>
      <c r="AK134" s="82"/>
      <c r="AL134" s="287"/>
      <c r="AM134" s="82"/>
      <c r="AN134" s="287"/>
      <c r="AO134" s="82"/>
      <c r="AP134" s="287"/>
      <c r="AQ134" s="82"/>
      <c r="AR134" s="287"/>
      <c r="AS134" s="82"/>
      <c r="AT134" s="287"/>
      <c r="AU134" s="82"/>
      <c r="AV134" s="50">
        <f>IFERROR(VLOOKUP(A134,'Site check'!A:Q,14,0),0)</f>
        <v>0</v>
      </c>
    </row>
    <row r="135" spans="1:48">
      <c r="A135" s="35" t="s">
        <v>151</v>
      </c>
      <c r="B135" s="97"/>
      <c r="C135" s="30" t="s">
        <v>18</v>
      </c>
      <c r="D135" s="4"/>
      <c r="E135" s="4"/>
      <c r="F135" s="4"/>
      <c r="G135" s="257">
        <f t="shared" si="4"/>
        <v>6.7</v>
      </c>
      <c r="H135" s="140">
        <f t="shared" si="5"/>
        <v>122.93577981651376</v>
      </c>
      <c r="I135" s="88" t="s">
        <v>576</v>
      </c>
      <c r="J135" s="289">
        <v>1.7</v>
      </c>
      <c r="K135" s="271" t="s">
        <v>577</v>
      </c>
      <c r="L135" s="289">
        <v>1</v>
      </c>
      <c r="M135" s="88" t="s">
        <v>578</v>
      </c>
      <c r="N135" s="289">
        <v>4</v>
      </c>
      <c r="O135" s="82"/>
      <c r="P135" s="287"/>
      <c r="Q135" s="82"/>
      <c r="R135" s="287"/>
      <c r="S135" s="82"/>
      <c r="T135" s="287"/>
      <c r="U135" s="82"/>
      <c r="V135" s="287"/>
      <c r="W135" s="82"/>
      <c r="X135" s="287"/>
      <c r="Y135" s="82"/>
      <c r="Z135" s="287"/>
      <c r="AA135" s="82"/>
      <c r="AB135" s="287"/>
      <c r="AC135" s="82"/>
      <c r="AD135" s="287"/>
      <c r="AE135" s="82"/>
      <c r="AF135" s="287"/>
      <c r="AG135" s="82"/>
      <c r="AH135" s="287"/>
      <c r="AI135" s="82"/>
      <c r="AJ135" s="287"/>
      <c r="AK135" s="82"/>
      <c r="AL135" s="287"/>
      <c r="AM135" s="82"/>
      <c r="AN135" s="287"/>
      <c r="AO135" s="82"/>
      <c r="AP135" s="287"/>
      <c r="AQ135" s="82"/>
      <c r="AR135" s="287"/>
      <c r="AS135" s="82"/>
      <c r="AT135" s="287"/>
      <c r="AU135" s="82"/>
      <c r="AV135" s="50">
        <f>IFERROR(VLOOKUP(A135,'Site check'!A:Q,14,0),0)</f>
        <v>0</v>
      </c>
    </row>
    <row r="136" spans="1:48">
      <c r="A136" s="35" t="s">
        <v>152</v>
      </c>
      <c r="B136" s="97"/>
      <c r="C136" s="4"/>
      <c r="D136" s="4"/>
      <c r="E136" s="4"/>
      <c r="F136" s="4"/>
      <c r="G136" s="257">
        <f t="shared" si="4"/>
        <v>0</v>
      </c>
      <c r="H136" s="140">
        <f t="shared" si="5"/>
        <v>0</v>
      </c>
      <c r="I136" s="88"/>
      <c r="J136" s="289"/>
      <c r="K136" s="82"/>
      <c r="L136" s="287"/>
      <c r="M136" s="82"/>
      <c r="N136" s="287"/>
      <c r="O136" s="82"/>
      <c r="P136" s="287"/>
      <c r="Q136" s="82"/>
      <c r="R136" s="287"/>
      <c r="S136" s="82"/>
      <c r="T136" s="287"/>
      <c r="U136" s="82"/>
      <c r="V136" s="287"/>
      <c r="W136" s="82"/>
      <c r="X136" s="287"/>
      <c r="Y136" s="82"/>
      <c r="Z136" s="287"/>
      <c r="AA136" s="82"/>
      <c r="AB136" s="287"/>
      <c r="AC136" s="82"/>
      <c r="AD136" s="287"/>
      <c r="AE136" s="82"/>
      <c r="AF136" s="287"/>
      <c r="AG136" s="82"/>
      <c r="AH136" s="287"/>
      <c r="AI136" s="82"/>
      <c r="AJ136" s="287"/>
      <c r="AK136" s="82"/>
      <c r="AL136" s="287"/>
      <c r="AM136" s="82"/>
      <c r="AN136" s="287"/>
      <c r="AO136" s="82"/>
      <c r="AP136" s="287"/>
      <c r="AQ136" s="82"/>
      <c r="AR136" s="287"/>
      <c r="AS136" s="82"/>
      <c r="AT136" s="287"/>
      <c r="AU136" s="82"/>
      <c r="AV136" s="50">
        <f>IFERROR(VLOOKUP(A136,'Site check'!A:Q,14,0),0)</f>
        <v>0</v>
      </c>
    </row>
    <row r="137" spans="1:48">
      <c r="A137" s="35" t="s">
        <v>153</v>
      </c>
      <c r="B137" s="97"/>
      <c r="C137" s="4"/>
      <c r="D137" s="4"/>
      <c r="E137" s="4"/>
      <c r="F137" s="4"/>
      <c r="G137" s="257">
        <f t="shared" si="4"/>
        <v>0</v>
      </c>
      <c r="H137" s="140">
        <f t="shared" si="5"/>
        <v>0</v>
      </c>
      <c r="I137" s="88"/>
      <c r="J137" s="289"/>
      <c r="K137" s="82"/>
      <c r="L137" s="287"/>
      <c r="M137" s="82"/>
      <c r="N137" s="287"/>
      <c r="O137" s="82"/>
      <c r="P137" s="287"/>
      <c r="Q137" s="82"/>
      <c r="R137" s="287"/>
      <c r="S137" s="82"/>
      <c r="T137" s="287"/>
      <c r="U137" s="82"/>
      <c r="V137" s="287"/>
      <c r="W137" s="82"/>
      <c r="X137" s="287"/>
      <c r="Y137" s="82"/>
      <c r="Z137" s="287"/>
      <c r="AA137" s="82"/>
      <c r="AB137" s="287"/>
      <c r="AC137" s="82"/>
      <c r="AD137" s="287"/>
      <c r="AE137" s="82"/>
      <c r="AF137" s="287"/>
      <c r="AG137" s="82"/>
      <c r="AH137" s="287"/>
      <c r="AI137" s="82"/>
      <c r="AJ137" s="287"/>
      <c r="AK137" s="82"/>
      <c r="AL137" s="287"/>
      <c r="AM137" s="82"/>
      <c r="AN137" s="287"/>
      <c r="AO137" s="82"/>
      <c r="AP137" s="287"/>
      <c r="AQ137" s="82"/>
      <c r="AR137" s="287"/>
      <c r="AS137" s="82"/>
      <c r="AT137" s="287"/>
      <c r="AU137" s="82"/>
      <c r="AV137" s="50">
        <f>IFERROR(VLOOKUP(A137,'Site check'!A:Q,14,0),0)</f>
        <v>0</v>
      </c>
    </row>
    <row r="138" spans="1:48">
      <c r="A138" s="35" t="s">
        <v>154</v>
      </c>
      <c r="B138" s="97"/>
      <c r="C138" s="4"/>
      <c r="D138" s="4"/>
      <c r="E138" s="4"/>
      <c r="F138" s="4"/>
      <c r="G138" s="257">
        <f t="shared" si="4"/>
        <v>1</v>
      </c>
      <c r="H138" s="140">
        <f t="shared" si="5"/>
        <v>18.348623853211009</v>
      </c>
      <c r="I138" s="273" t="s">
        <v>579</v>
      </c>
      <c r="J138" s="289">
        <v>1</v>
      </c>
      <c r="K138" s="82"/>
      <c r="L138" s="287"/>
      <c r="M138" s="82"/>
      <c r="N138" s="287"/>
      <c r="O138" s="82"/>
      <c r="P138" s="287"/>
      <c r="Q138" s="82"/>
      <c r="R138" s="287"/>
      <c r="S138" s="82"/>
      <c r="T138" s="287"/>
      <c r="U138" s="82"/>
      <c r="V138" s="287"/>
      <c r="W138" s="82"/>
      <c r="X138" s="287"/>
      <c r="Y138" s="82"/>
      <c r="Z138" s="287"/>
      <c r="AA138" s="82"/>
      <c r="AB138" s="287"/>
      <c r="AC138" s="82"/>
      <c r="AD138" s="287"/>
      <c r="AE138" s="82"/>
      <c r="AF138" s="287"/>
      <c r="AG138" s="82"/>
      <c r="AH138" s="287"/>
      <c r="AI138" s="82"/>
      <c r="AJ138" s="287"/>
      <c r="AK138" s="82"/>
      <c r="AL138" s="287"/>
      <c r="AM138" s="82"/>
      <c r="AN138" s="287"/>
      <c r="AO138" s="82"/>
      <c r="AP138" s="287"/>
      <c r="AQ138" s="82"/>
      <c r="AR138" s="287"/>
      <c r="AS138" s="82"/>
      <c r="AT138" s="287"/>
      <c r="AU138" s="82"/>
      <c r="AV138" s="50">
        <f>IFERROR(VLOOKUP(A138,'Site check'!A:Q,14,0),0)</f>
        <v>0</v>
      </c>
    </row>
    <row r="139" spans="1:48">
      <c r="A139" s="35" t="s">
        <v>155</v>
      </c>
      <c r="B139" s="97"/>
      <c r="C139" s="30" t="s">
        <v>18</v>
      </c>
      <c r="D139" s="4"/>
      <c r="E139" s="4"/>
      <c r="F139" s="4"/>
      <c r="G139" s="257">
        <f t="shared" si="4"/>
        <v>14.1</v>
      </c>
      <c r="H139" s="140">
        <f t="shared" si="5"/>
        <v>258.71559633027522</v>
      </c>
      <c r="I139" s="82" t="s">
        <v>505</v>
      </c>
      <c r="J139" s="287">
        <v>1.6</v>
      </c>
      <c r="K139" s="82" t="s">
        <v>580</v>
      </c>
      <c r="L139" s="287">
        <v>5</v>
      </c>
      <c r="M139" s="266" t="s">
        <v>581</v>
      </c>
      <c r="N139" s="291">
        <v>1</v>
      </c>
      <c r="O139" s="104" t="s">
        <v>582</v>
      </c>
      <c r="P139" s="297">
        <v>1</v>
      </c>
      <c r="Q139" s="104" t="s">
        <v>583</v>
      </c>
      <c r="R139" s="297">
        <v>5.5</v>
      </c>
      <c r="S139" s="82"/>
      <c r="T139" s="287"/>
      <c r="U139" s="82"/>
      <c r="V139" s="287"/>
      <c r="W139" s="82"/>
      <c r="X139" s="287"/>
      <c r="Y139" s="82"/>
      <c r="Z139" s="287"/>
      <c r="AA139" s="82"/>
      <c r="AB139" s="287"/>
      <c r="AC139" s="82"/>
      <c r="AD139" s="287"/>
      <c r="AE139" s="82"/>
      <c r="AF139" s="287"/>
      <c r="AG139" s="82"/>
      <c r="AH139" s="287"/>
      <c r="AI139" s="82"/>
      <c r="AJ139" s="287"/>
      <c r="AK139" s="82"/>
      <c r="AL139" s="287"/>
      <c r="AM139" s="82"/>
      <c r="AN139" s="287"/>
      <c r="AO139" s="82"/>
      <c r="AP139" s="287"/>
      <c r="AQ139" s="82"/>
      <c r="AR139" s="287"/>
      <c r="AS139" s="82"/>
      <c r="AT139" s="287"/>
      <c r="AU139" s="82"/>
      <c r="AV139" s="50">
        <f>IFERROR(VLOOKUP(A139,'Site check'!A:Q,14,0),0)</f>
        <v>0</v>
      </c>
    </row>
    <row r="140" spans="1:48">
      <c r="A140" s="37" t="s">
        <v>156</v>
      </c>
      <c r="B140" s="97"/>
      <c r="C140" s="4"/>
      <c r="D140" s="4"/>
      <c r="E140" s="4"/>
      <c r="F140" s="4"/>
      <c r="G140" s="257">
        <f t="shared" si="4"/>
        <v>0</v>
      </c>
      <c r="H140" s="140">
        <f t="shared" si="5"/>
        <v>0</v>
      </c>
      <c r="I140" s="82"/>
      <c r="J140" s="287"/>
      <c r="K140" s="82"/>
      <c r="L140" s="287"/>
      <c r="M140" s="82"/>
      <c r="N140" s="287"/>
      <c r="O140" s="82"/>
      <c r="P140" s="287"/>
      <c r="Q140" s="82"/>
      <c r="R140" s="287"/>
      <c r="S140" s="82"/>
      <c r="T140" s="287"/>
      <c r="U140" s="82"/>
      <c r="V140" s="287"/>
      <c r="W140" s="82"/>
      <c r="X140" s="287"/>
      <c r="Y140" s="82"/>
      <c r="Z140" s="287"/>
      <c r="AA140" s="82"/>
      <c r="AB140" s="287"/>
      <c r="AC140" s="82"/>
      <c r="AD140" s="287"/>
      <c r="AE140" s="82"/>
      <c r="AF140" s="287"/>
      <c r="AG140" s="82"/>
      <c r="AH140" s="287"/>
      <c r="AI140" s="82"/>
      <c r="AJ140" s="287"/>
      <c r="AK140" s="82"/>
      <c r="AL140" s="287"/>
      <c r="AM140" s="82"/>
      <c r="AN140" s="287"/>
      <c r="AO140" s="82"/>
      <c r="AP140" s="287"/>
      <c r="AQ140" s="82"/>
      <c r="AR140" s="287"/>
      <c r="AS140" s="82"/>
      <c r="AT140" s="287"/>
      <c r="AU140" s="82"/>
      <c r="AV140" s="50">
        <f>IFERROR(VLOOKUP(A140,'Site check'!A:Q,14,0),0)</f>
        <v>0</v>
      </c>
    </row>
    <row r="141" spans="1:48">
      <c r="A141" s="37" t="s">
        <v>157</v>
      </c>
      <c r="B141" s="97"/>
      <c r="C141" s="4"/>
      <c r="D141" s="4"/>
      <c r="E141" s="4"/>
      <c r="F141" s="4"/>
      <c r="G141" s="257">
        <f t="shared" ref="G141:G205" si="10">SUM(J141,L141,N141,P141,R141,T141,V141,X141,Z141,AB141,AD141,AF141,AH141,AJ141,AL141,AN141,AP141,AR141,AT141,AV141)</f>
        <v>0</v>
      </c>
      <c r="H141" s="140">
        <f t="shared" si="5"/>
        <v>0</v>
      </c>
      <c r="I141" s="82"/>
      <c r="J141" s="287"/>
      <c r="K141" s="82"/>
      <c r="L141" s="287"/>
      <c r="M141" s="82"/>
      <c r="N141" s="287"/>
      <c r="O141" s="82"/>
      <c r="P141" s="287"/>
      <c r="Q141" s="82"/>
      <c r="R141" s="287"/>
      <c r="S141" s="82"/>
      <c r="T141" s="287"/>
      <c r="U141" s="82"/>
      <c r="V141" s="287"/>
      <c r="W141" s="82"/>
      <c r="X141" s="287"/>
      <c r="Y141" s="82"/>
      <c r="Z141" s="287"/>
      <c r="AA141" s="82"/>
      <c r="AB141" s="287"/>
      <c r="AC141" s="82"/>
      <c r="AD141" s="287"/>
      <c r="AE141" s="82"/>
      <c r="AF141" s="287"/>
      <c r="AG141" s="82"/>
      <c r="AH141" s="287"/>
      <c r="AI141" s="82"/>
      <c r="AJ141" s="287"/>
      <c r="AK141" s="82"/>
      <c r="AL141" s="287"/>
      <c r="AM141" s="82"/>
      <c r="AN141" s="287"/>
      <c r="AO141" s="82"/>
      <c r="AP141" s="287"/>
      <c r="AQ141" s="82"/>
      <c r="AR141" s="287"/>
      <c r="AS141" s="82"/>
      <c r="AT141" s="287"/>
      <c r="AU141" s="82"/>
      <c r="AV141" s="50">
        <f>IFERROR(VLOOKUP(A141,'Site check'!A:Q,14,0),0)</f>
        <v>0</v>
      </c>
    </row>
    <row r="142" spans="1:48">
      <c r="A142" s="38" t="s">
        <v>158</v>
      </c>
      <c r="B142" s="24" t="s">
        <v>17</v>
      </c>
      <c r="C142" s="30" t="s">
        <v>18</v>
      </c>
      <c r="D142" s="30" t="s">
        <v>19</v>
      </c>
      <c r="E142" s="4"/>
      <c r="F142" s="30" t="s">
        <v>319</v>
      </c>
      <c r="G142" s="257">
        <f t="shared" si="10"/>
        <v>14.899999999999999</v>
      </c>
      <c r="H142" s="140">
        <f t="shared" ref="H142:H206" si="11">SUM(G142*1000)/54.5</f>
        <v>273.39449541284398</v>
      </c>
      <c r="I142" s="82" t="s">
        <v>584</v>
      </c>
      <c r="J142" s="287">
        <v>0.1</v>
      </c>
      <c r="K142" s="82" t="s">
        <v>585</v>
      </c>
      <c r="L142" s="287">
        <v>0.2</v>
      </c>
      <c r="M142" s="82" t="s">
        <v>586</v>
      </c>
      <c r="N142" s="287">
        <v>0.8</v>
      </c>
      <c r="O142" s="90" t="s">
        <v>587</v>
      </c>
      <c r="P142" s="287">
        <v>1.45</v>
      </c>
      <c r="Q142" s="82" t="s">
        <v>588</v>
      </c>
      <c r="R142" s="287">
        <v>0.9</v>
      </c>
      <c r="S142" s="82" t="s">
        <v>589</v>
      </c>
      <c r="T142" s="287">
        <v>1.5</v>
      </c>
      <c r="U142" s="86" t="s">
        <v>590</v>
      </c>
      <c r="V142" s="288">
        <v>1.8</v>
      </c>
      <c r="W142" s="266" t="s">
        <v>591</v>
      </c>
      <c r="X142" s="293">
        <v>0.5</v>
      </c>
      <c r="Y142" s="269" t="s">
        <v>592</v>
      </c>
      <c r="Z142" s="293">
        <v>0.5</v>
      </c>
      <c r="AA142" s="84" t="s">
        <v>523</v>
      </c>
      <c r="AB142" s="292">
        <v>1.8</v>
      </c>
      <c r="AC142" s="88" t="s">
        <v>448</v>
      </c>
      <c r="AD142" s="289">
        <v>0.25</v>
      </c>
      <c r="AE142" s="266" t="s">
        <v>593</v>
      </c>
      <c r="AF142" s="299">
        <v>0.5</v>
      </c>
      <c r="AG142" s="322" t="s">
        <v>594</v>
      </c>
      <c r="AH142" s="324">
        <v>3</v>
      </c>
      <c r="AI142" s="104" t="s">
        <v>595</v>
      </c>
      <c r="AJ142" s="292">
        <v>1.6</v>
      </c>
      <c r="AK142" s="266"/>
      <c r="AL142" s="299"/>
      <c r="AM142" s="88"/>
      <c r="AN142" s="289"/>
      <c r="AO142" s="266"/>
      <c r="AP142" s="299"/>
      <c r="AQ142" s="82"/>
      <c r="AR142" s="287"/>
      <c r="AS142" s="82"/>
      <c r="AT142" s="287"/>
      <c r="AU142" s="82"/>
      <c r="AV142" s="50">
        <f>IFERROR(VLOOKUP(A142,'Site check'!A:Q,14,0),0)</f>
        <v>0</v>
      </c>
    </row>
    <row r="143" spans="1:48">
      <c r="A143" s="38" t="s">
        <v>159</v>
      </c>
      <c r="B143" s="4"/>
      <c r="C143" s="4"/>
      <c r="D143" s="4"/>
      <c r="E143" s="4"/>
      <c r="F143" s="4"/>
      <c r="G143" s="257">
        <f t="shared" si="10"/>
        <v>18.300000000000004</v>
      </c>
      <c r="H143" s="140">
        <f t="shared" si="11"/>
        <v>335.77981651376155</v>
      </c>
      <c r="I143" s="82" t="s">
        <v>584</v>
      </c>
      <c r="J143" s="287">
        <v>2.2000000000000002</v>
      </c>
      <c r="K143" s="82" t="s">
        <v>585</v>
      </c>
      <c r="L143" s="287">
        <v>0.5</v>
      </c>
      <c r="M143" s="82" t="s">
        <v>586</v>
      </c>
      <c r="N143" s="287">
        <v>1.3</v>
      </c>
      <c r="O143" s="90" t="s">
        <v>587</v>
      </c>
      <c r="P143" s="287">
        <v>1.45</v>
      </c>
      <c r="Q143" s="82" t="s">
        <v>588</v>
      </c>
      <c r="R143" s="287">
        <v>0.9</v>
      </c>
      <c r="S143" s="82" t="s">
        <v>589</v>
      </c>
      <c r="T143" s="287">
        <v>1.5</v>
      </c>
      <c r="U143" s="86" t="s">
        <v>590</v>
      </c>
      <c r="V143" s="288">
        <v>2.1</v>
      </c>
      <c r="W143" s="266" t="s">
        <v>591</v>
      </c>
      <c r="X143" s="289">
        <v>0.5</v>
      </c>
      <c r="Y143" s="269" t="s">
        <v>592</v>
      </c>
      <c r="Z143" s="289">
        <v>0.5</v>
      </c>
      <c r="AA143" s="84" t="s">
        <v>523</v>
      </c>
      <c r="AB143" s="292">
        <v>2</v>
      </c>
      <c r="AC143" s="88" t="s">
        <v>448</v>
      </c>
      <c r="AD143" s="289">
        <v>0.25</v>
      </c>
      <c r="AE143" s="266" t="s">
        <v>593</v>
      </c>
      <c r="AF143" s="289">
        <v>0.5</v>
      </c>
      <c r="AG143" s="322" t="s">
        <v>594</v>
      </c>
      <c r="AH143" s="324">
        <v>3</v>
      </c>
      <c r="AI143" s="104" t="s">
        <v>595</v>
      </c>
      <c r="AJ143" s="292">
        <v>1.6</v>
      </c>
      <c r="AK143" s="266"/>
      <c r="AL143" s="289"/>
      <c r="AM143" s="88"/>
      <c r="AN143" s="289"/>
      <c r="AO143" s="266"/>
      <c r="AP143" s="289"/>
      <c r="AQ143" s="82"/>
      <c r="AR143" s="287"/>
      <c r="AS143" s="82"/>
      <c r="AT143" s="287"/>
      <c r="AU143" s="82"/>
      <c r="AV143" s="50">
        <f>IFERROR(VLOOKUP(A143,'Site check'!A:Q,14,0),0)</f>
        <v>0</v>
      </c>
    </row>
    <row r="144" spans="1:48">
      <c r="A144" s="35" t="s">
        <v>160</v>
      </c>
      <c r="B144" s="97"/>
      <c r="C144" s="4"/>
      <c r="D144" s="4"/>
      <c r="E144" s="4"/>
      <c r="F144" s="4"/>
      <c r="G144" s="257">
        <f t="shared" si="10"/>
        <v>0.1</v>
      </c>
      <c r="H144" s="140">
        <f t="shared" si="11"/>
        <v>1.834862385321101</v>
      </c>
      <c r="I144" s="84" t="s">
        <v>596</v>
      </c>
      <c r="J144" s="292">
        <v>0.1</v>
      </c>
      <c r="K144" s="84"/>
      <c r="L144" s="292"/>
      <c r="M144" s="82"/>
      <c r="N144" s="287"/>
      <c r="O144" s="82"/>
      <c r="P144" s="287"/>
      <c r="Q144" s="82"/>
      <c r="R144" s="287"/>
      <c r="S144" s="82"/>
      <c r="T144" s="287"/>
      <c r="U144" s="82"/>
      <c r="V144" s="287"/>
      <c r="W144" s="82"/>
      <c r="X144" s="287"/>
      <c r="Y144" s="82"/>
      <c r="Z144" s="287"/>
      <c r="AA144" s="82"/>
      <c r="AB144" s="287"/>
      <c r="AC144" s="82"/>
      <c r="AD144" s="287"/>
      <c r="AE144" s="82"/>
      <c r="AF144" s="287"/>
      <c r="AG144" s="82"/>
      <c r="AH144" s="287"/>
      <c r="AI144" s="82"/>
      <c r="AJ144" s="287"/>
      <c r="AK144" s="82"/>
      <c r="AL144" s="287"/>
      <c r="AM144" s="82"/>
      <c r="AN144" s="287"/>
      <c r="AO144" s="82"/>
      <c r="AP144" s="287"/>
      <c r="AQ144" s="82"/>
      <c r="AR144" s="287"/>
      <c r="AS144" s="82"/>
      <c r="AT144" s="287"/>
      <c r="AU144" s="82"/>
      <c r="AV144" s="50">
        <f>IFERROR(VLOOKUP(A144,'Site check'!A:Q,14,0),0)</f>
        <v>0</v>
      </c>
    </row>
    <row r="145" spans="1:48">
      <c r="A145" s="35" t="s">
        <v>161</v>
      </c>
      <c r="B145" s="97"/>
      <c r="C145" s="30" t="s">
        <v>18</v>
      </c>
      <c r="D145" s="4"/>
      <c r="E145" s="4"/>
      <c r="F145" s="4"/>
      <c r="G145" s="257">
        <f t="shared" si="10"/>
        <v>8.1</v>
      </c>
      <c r="H145" s="140">
        <f t="shared" si="11"/>
        <v>148.62385321100916</v>
      </c>
      <c r="I145" s="82" t="s">
        <v>597</v>
      </c>
      <c r="J145" s="287">
        <v>2.4</v>
      </c>
      <c r="K145" s="82" t="s">
        <v>598</v>
      </c>
      <c r="L145" s="287">
        <v>1.5</v>
      </c>
      <c r="M145" s="84" t="s">
        <v>599</v>
      </c>
      <c r="N145" s="292">
        <v>3.2</v>
      </c>
      <c r="O145" s="269" t="s">
        <v>600</v>
      </c>
      <c r="P145" s="291">
        <v>1</v>
      </c>
      <c r="Q145" s="84"/>
      <c r="R145" s="292"/>
      <c r="S145" s="82"/>
      <c r="T145" s="287"/>
      <c r="U145" s="82"/>
      <c r="V145" s="287"/>
      <c r="W145" s="82"/>
      <c r="X145" s="287"/>
      <c r="Y145" s="82"/>
      <c r="Z145" s="287"/>
      <c r="AA145" s="82"/>
      <c r="AB145" s="287"/>
      <c r="AC145" s="82"/>
      <c r="AD145" s="287"/>
      <c r="AE145" s="82"/>
      <c r="AF145" s="287"/>
      <c r="AG145" s="82"/>
      <c r="AH145" s="287"/>
      <c r="AI145" s="82"/>
      <c r="AJ145" s="287"/>
      <c r="AK145" s="82"/>
      <c r="AL145" s="287"/>
      <c r="AM145" s="82"/>
      <c r="AN145" s="287"/>
      <c r="AO145" s="82"/>
      <c r="AP145" s="287"/>
      <c r="AQ145" s="82"/>
      <c r="AR145" s="287"/>
      <c r="AS145" s="82"/>
      <c r="AT145" s="287"/>
      <c r="AU145" s="82"/>
      <c r="AV145" s="50">
        <f>IFERROR(VLOOKUP(A145,'Site check'!A:Q,14,0),0)</f>
        <v>0</v>
      </c>
    </row>
    <row r="146" spans="1:48">
      <c r="A146" s="35" t="s">
        <v>162</v>
      </c>
      <c r="B146" s="97"/>
      <c r="C146" s="4"/>
      <c r="D146" s="4"/>
      <c r="E146" s="4"/>
      <c r="F146" s="4"/>
      <c r="G146" s="257">
        <f t="shared" si="10"/>
        <v>2</v>
      </c>
      <c r="H146" s="140">
        <f t="shared" si="11"/>
        <v>36.697247706422019</v>
      </c>
      <c r="I146" s="266" t="s">
        <v>601</v>
      </c>
      <c r="J146" s="291">
        <v>2</v>
      </c>
      <c r="K146" s="104"/>
      <c r="L146" s="297"/>
      <c r="M146" s="82"/>
      <c r="N146" s="287"/>
      <c r="O146" s="82"/>
      <c r="P146" s="287"/>
      <c r="Q146" s="82"/>
      <c r="R146" s="287"/>
      <c r="S146" s="82"/>
      <c r="T146" s="287"/>
      <c r="U146" s="82"/>
      <c r="V146" s="287"/>
      <c r="W146" s="82"/>
      <c r="X146" s="287"/>
      <c r="Y146" s="82"/>
      <c r="Z146" s="287"/>
      <c r="AA146" s="82"/>
      <c r="AB146" s="287"/>
      <c r="AC146" s="82"/>
      <c r="AD146" s="287"/>
      <c r="AE146" s="82"/>
      <c r="AF146" s="287"/>
      <c r="AG146" s="82"/>
      <c r="AH146" s="287"/>
      <c r="AI146" s="82"/>
      <c r="AJ146" s="287"/>
      <c r="AK146" s="82"/>
      <c r="AL146" s="287"/>
      <c r="AM146" s="82"/>
      <c r="AN146" s="287"/>
      <c r="AO146" s="82"/>
      <c r="AP146" s="287"/>
      <c r="AQ146" s="82"/>
      <c r="AR146" s="287"/>
      <c r="AS146" s="82"/>
      <c r="AT146" s="287"/>
      <c r="AU146" s="82"/>
      <c r="AV146" s="50">
        <f>IFERROR(VLOOKUP(A146,'Site check'!A:Q,14,0),0)</f>
        <v>0</v>
      </c>
    </row>
    <row r="147" spans="1:48">
      <c r="A147" s="35" t="s">
        <v>163</v>
      </c>
      <c r="B147" s="97"/>
      <c r="C147" s="30" t="s">
        <v>18</v>
      </c>
      <c r="D147" s="4"/>
      <c r="E147" s="4"/>
      <c r="F147" s="4"/>
      <c r="G147" s="257">
        <f t="shared" si="10"/>
        <v>5.9</v>
      </c>
      <c r="H147" s="140">
        <f t="shared" si="11"/>
        <v>108.25688073394495</v>
      </c>
      <c r="I147" s="82" t="s">
        <v>602</v>
      </c>
      <c r="J147" s="287">
        <v>2.4</v>
      </c>
      <c r="K147" s="82" t="s">
        <v>603</v>
      </c>
      <c r="L147" s="287">
        <v>3.5</v>
      </c>
      <c r="M147" s="82"/>
      <c r="N147" s="287"/>
      <c r="O147" s="82"/>
      <c r="P147" s="287"/>
      <c r="Q147" s="82"/>
      <c r="R147" s="287"/>
      <c r="S147" s="82"/>
      <c r="T147" s="287"/>
      <c r="U147" s="82"/>
      <c r="V147" s="287"/>
      <c r="W147" s="82"/>
      <c r="X147" s="287"/>
      <c r="Y147" s="82"/>
      <c r="Z147" s="287"/>
      <c r="AA147" s="82"/>
      <c r="AB147" s="287"/>
      <c r="AC147" s="82"/>
      <c r="AD147" s="287"/>
      <c r="AE147" s="82"/>
      <c r="AF147" s="287"/>
      <c r="AG147" s="82"/>
      <c r="AH147" s="287"/>
      <c r="AI147" s="82"/>
      <c r="AJ147" s="287"/>
      <c r="AK147" s="82"/>
      <c r="AL147" s="287"/>
      <c r="AM147" s="82"/>
      <c r="AN147" s="287"/>
      <c r="AO147" s="82"/>
      <c r="AP147" s="287"/>
      <c r="AQ147" s="82"/>
      <c r="AR147" s="287"/>
      <c r="AS147" s="82"/>
      <c r="AT147" s="287"/>
      <c r="AU147" s="82"/>
      <c r="AV147" s="50">
        <f>IFERROR(VLOOKUP(A147,'Site check'!A:Q,14,0),0)</f>
        <v>0</v>
      </c>
    </row>
    <row r="148" spans="1:48">
      <c r="A148" s="35" t="s">
        <v>164</v>
      </c>
      <c r="B148" s="97"/>
      <c r="C148" s="4"/>
      <c r="D148" s="4"/>
      <c r="E148" s="4"/>
      <c r="F148" s="4"/>
      <c r="G148" s="257">
        <f t="shared" si="10"/>
        <v>0</v>
      </c>
      <c r="H148" s="140">
        <f t="shared" si="11"/>
        <v>0</v>
      </c>
      <c r="I148" s="82"/>
      <c r="J148" s="287"/>
      <c r="K148" s="82"/>
      <c r="L148" s="287"/>
      <c r="M148" s="82"/>
      <c r="N148" s="287"/>
      <c r="O148" s="82"/>
      <c r="P148" s="287"/>
      <c r="Q148" s="82"/>
      <c r="R148" s="287"/>
      <c r="S148" s="82"/>
      <c r="T148" s="287"/>
      <c r="U148" s="82"/>
      <c r="V148" s="287"/>
      <c r="W148" s="82"/>
      <c r="X148" s="287"/>
      <c r="Y148" s="82"/>
      <c r="Z148" s="287"/>
      <c r="AA148" s="82"/>
      <c r="AB148" s="287"/>
      <c r="AC148" s="82"/>
      <c r="AD148" s="287"/>
      <c r="AE148" s="82"/>
      <c r="AF148" s="287"/>
      <c r="AG148" s="82"/>
      <c r="AH148" s="287"/>
      <c r="AI148" s="82"/>
      <c r="AJ148" s="287"/>
      <c r="AK148" s="82"/>
      <c r="AL148" s="287"/>
      <c r="AM148" s="82"/>
      <c r="AN148" s="287"/>
      <c r="AO148" s="82"/>
      <c r="AP148" s="287"/>
      <c r="AQ148" s="82"/>
      <c r="AR148" s="287"/>
      <c r="AS148" s="82"/>
      <c r="AT148" s="287"/>
      <c r="AU148" s="82"/>
      <c r="AV148" s="50">
        <f>IFERROR(VLOOKUP(A148,'Site check'!A:Q,14,0),0)</f>
        <v>0</v>
      </c>
    </row>
    <row r="149" spans="1:48">
      <c r="A149" s="35" t="s">
        <v>165</v>
      </c>
      <c r="B149" s="97"/>
      <c r="C149" s="4"/>
      <c r="D149" s="4"/>
      <c r="E149" s="4"/>
      <c r="F149" s="4"/>
      <c r="G149" s="257">
        <f t="shared" si="10"/>
        <v>0</v>
      </c>
      <c r="H149" s="140">
        <f t="shared" si="11"/>
        <v>0</v>
      </c>
      <c r="I149" s="82"/>
      <c r="J149" s="287"/>
      <c r="K149" s="82"/>
      <c r="L149" s="287"/>
      <c r="M149" s="82"/>
      <c r="N149" s="287"/>
      <c r="O149" s="82"/>
      <c r="P149" s="287"/>
      <c r="Q149" s="82"/>
      <c r="R149" s="287"/>
      <c r="S149" s="82"/>
      <c r="T149" s="287"/>
      <c r="U149" s="82"/>
      <c r="V149" s="287"/>
      <c r="W149" s="82"/>
      <c r="X149" s="287"/>
      <c r="Y149" s="82"/>
      <c r="Z149" s="287"/>
      <c r="AA149" s="82"/>
      <c r="AB149" s="287"/>
      <c r="AC149" s="82"/>
      <c r="AD149" s="287"/>
      <c r="AE149" s="82"/>
      <c r="AF149" s="287"/>
      <c r="AG149" s="82"/>
      <c r="AH149" s="287"/>
      <c r="AI149" s="82"/>
      <c r="AJ149" s="287"/>
      <c r="AK149" s="82"/>
      <c r="AL149" s="287"/>
      <c r="AM149" s="82"/>
      <c r="AN149" s="287"/>
      <c r="AO149" s="82"/>
      <c r="AP149" s="287"/>
      <c r="AQ149" s="82"/>
      <c r="AR149" s="287"/>
      <c r="AS149" s="82"/>
      <c r="AT149" s="287"/>
      <c r="AU149" s="82"/>
      <c r="AV149" s="50">
        <f>IFERROR(VLOOKUP(A149,'Site check'!A:Q,14,0),0)</f>
        <v>0</v>
      </c>
    </row>
    <row r="150" spans="1:48">
      <c r="A150" s="35" t="s">
        <v>166</v>
      </c>
      <c r="B150" s="97"/>
      <c r="C150" s="30" t="s">
        <v>18</v>
      </c>
      <c r="D150" s="4"/>
      <c r="E150" s="4"/>
      <c r="F150" s="4"/>
      <c r="G150" s="257">
        <f>SUM(J150,L150,N150,P150,R150,T150,V150,X150,Z150,AB150,AD150,AF150,AH150,AJ150,AL150,AN150,AP150,AR150,AT150,AV150)</f>
        <v>1.7</v>
      </c>
      <c r="H150" s="140">
        <f t="shared" si="11"/>
        <v>31.192660550458715</v>
      </c>
      <c r="I150" s="82" t="s">
        <v>604</v>
      </c>
      <c r="J150" s="287">
        <v>1.7</v>
      </c>
      <c r="K150" s="82"/>
      <c r="L150" s="287"/>
      <c r="M150" s="82"/>
      <c r="N150" s="287"/>
      <c r="O150" s="82"/>
      <c r="P150" s="287"/>
      <c r="Q150" s="82"/>
      <c r="R150" s="287"/>
      <c r="S150" s="82"/>
      <c r="T150" s="287"/>
      <c r="U150" s="82"/>
      <c r="V150" s="287"/>
      <c r="W150" s="82"/>
      <c r="X150" s="287"/>
      <c r="Y150" s="82"/>
      <c r="Z150" s="287"/>
      <c r="AA150" s="82"/>
      <c r="AB150" s="287"/>
      <c r="AC150" s="82"/>
      <c r="AD150" s="287"/>
      <c r="AE150" s="82"/>
      <c r="AF150" s="287"/>
      <c r="AG150" s="82"/>
      <c r="AH150" s="287"/>
      <c r="AI150" s="82"/>
      <c r="AJ150" s="287"/>
      <c r="AK150" s="82"/>
      <c r="AL150" s="287"/>
      <c r="AM150" s="82"/>
      <c r="AN150" s="287"/>
      <c r="AO150" s="82"/>
      <c r="AP150" s="287"/>
      <c r="AQ150" s="82"/>
      <c r="AR150" s="287"/>
      <c r="AS150" s="82"/>
      <c r="AT150" s="287"/>
      <c r="AU150" s="82"/>
      <c r="AV150" s="50">
        <f>IFERROR(VLOOKUP(A150,'Site check'!A:Q,14,0),0)</f>
        <v>0</v>
      </c>
    </row>
    <row r="151" spans="1:48">
      <c r="A151" s="35" t="s">
        <v>167</v>
      </c>
      <c r="B151" s="97"/>
      <c r="C151" s="4"/>
      <c r="D151" s="4"/>
      <c r="E151" s="4"/>
      <c r="F151" s="4"/>
      <c r="G151" s="257">
        <f>SUM(J151,L151,N151,P151,R151,T151,V151,X151,Z151,AB151,AD151,AF151,AH151,AJ151,AL151,AN151,AP151,AR151,AT151,AV151)</f>
        <v>11.5</v>
      </c>
      <c r="H151" s="140">
        <f t="shared" si="11"/>
        <v>211.00917431192661</v>
      </c>
      <c r="I151" s="84" t="s">
        <v>605</v>
      </c>
      <c r="J151" s="292">
        <v>2</v>
      </c>
      <c r="K151" s="84" t="s">
        <v>606</v>
      </c>
      <c r="L151" s="292">
        <v>2</v>
      </c>
      <c r="M151" s="88" t="s">
        <v>607</v>
      </c>
      <c r="N151" s="289">
        <v>1</v>
      </c>
      <c r="O151" s="266" t="s">
        <v>608</v>
      </c>
      <c r="P151" s="291">
        <v>1</v>
      </c>
      <c r="Q151" s="109" t="s">
        <v>609</v>
      </c>
      <c r="R151" s="298"/>
      <c r="S151" s="84" t="s">
        <v>610</v>
      </c>
      <c r="T151" s="292">
        <v>5.5</v>
      </c>
      <c r="U151" s="82"/>
      <c r="V151" s="287"/>
      <c r="W151" s="82"/>
      <c r="X151" s="287"/>
      <c r="Y151" s="82"/>
      <c r="Z151" s="287"/>
      <c r="AA151" s="82"/>
      <c r="AB151" s="287"/>
      <c r="AC151" s="82"/>
      <c r="AD151" s="287"/>
      <c r="AE151" s="82"/>
      <c r="AF151" s="287"/>
      <c r="AG151" s="82"/>
      <c r="AH151" s="287"/>
      <c r="AI151" s="82"/>
      <c r="AJ151" s="287"/>
      <c r="AK151" s="82"/>
      <c r="AL151" s="287"/>
      <c r="AM151" s="82"/>
      <c r="AN151" s="287"/>
      <c r="AO151" s="82"/>
      <c r="AP151" s="287"/>
      <c r="AQ151" s="82"/>
      <c r="AR151" s="287"/>
      <c r="AS151" s="82"/>
      <c r="AT151" s="287"/>
      <c r="AU151" s="82"/>
      <c r="AV151" s="50">
        <f>IFERROR(VLOOKUP(A151,'Site check'!A:Q,14,0),0)</f>
        <v>0</v>
      </c>
    </row>
    <row r="152" spans="1:48">
      <c r="A152" s="35" t="s">
        <v>168</v>
      </c>
      <c r="B152" s="97"/>
      <c r="C152" s="4"/>
      <c r="D152" s="4"/>
      <c r="E152" s="4"/>
      <c r="F152" s="4"/>
      <c r="G152" s="257">
        <f t="shared" si="10"/>
        <v>1</v>
      </c>
      <c r="H152" s="140">
        <f t="shared" si="11"/>
        <v>18.348623853211009</v>
      </c>
      <c r="I152" s="269" t="s">
        <v>611</v>
      </c>
      <c r="J152" s="291">
        <v>1</v>
      </c>
      <c r="K152" s="82"/>
      <c r="L152" s="287"/>
      <c r="M152" s="82"/>
      <c r="N152" s="287"/>
      <c r="O152" s="82"/>
      <c r="P152" s="287"/>
      <c r="Q152" s="82"/>
      <c r="R152" s="287"/>
      <c r="S152" s="84"/>
      <c r="T152" s="292"/>
      <c r="U152" s="82"/>
      <c r="V152" s="287"/>
      <c r="W152" s="82"/>
      <c r="X152" s="287"/>
      <c r="Y152" s="82"/>
      <c r="Z152" s="287"/>
      <c r="AA152" s="82"/>
      <c r="AB152" s="287"/>
      <c r="AC152" s="82"/>
      <c r="AD152" s="287"/>
      <c r="AE152" s="82"/>
      <c r="AF152" s="287"/>
      <c r="AG152" s="82"/>
      <c r="AH152" s="287"/>
      <c r="AI152" s="82"/>
      <c r="AJ152" s="287"/>
      <c r="AK152" s="82"/>
      <c r="AL152" s="287"/>
      <c r="AM152" s="82"/>
      <c r="AN152" s="287"/>
      <c r="AO152" s="82"/>
      <c r="AP152" s="287"/>
      <c r="AQ152" s="82"/>
      <c r="AR152" s="287"/>
      <c r="AS152" s="82"/>
      <c r="AT152" s="287"/>
      <c r="AU152" s="82"/>
      <c r="AV152" s="50">
        <f>IFERROR(VLOOKUP(A152,'Site check'!A:Q,14,0),0)</f>
        <v>0</v>
      </c>
    </row>
    <row r="153" spans="1:48">
      <c r="A153" s="35" t="s">
        <v>169</v>
      </c>
      <c r="B153" s="97"/>
      <c r="C153" s="4"/>
      <c r="D153" s="4"/>
      <c r="E153" s="4"/>
      <c r="F153" s="4"/>
      <c r="G153" s="257">
        <f t="shared" si="10"/>
        <v>2</v>
      </c>
      <c r="H153" s="140">
        <f t="shared" si="11"/>
        <v>36.697247706422019</v>
      </c>
      <c r="I153" s="88" t="s">
        <v>612</v>
      </c>
      <c r="J153" s="289">
        <v>2</v>
      </c>
      <c r="K153" s="82"/>
      <c r="L153" s="287"/>
      <c r="M153" s="82"/>
      <c r="N153" s="287"/>
      <c r="O153" s="82"/>
      <c r="P153" s="287"/>
      <c r="Q153" s="82"/>
      <c r="R153" s="287"/>
      <c r="S153" s="108"/>
      <c r="T153" s="294"/>
      <c r="U153" s="82"/>
      <c r="V153" s="287"/>
      <c r="W153" s="82"/>
      <c r="X153" s="287"/>
      <c r="Y153" s="82"/>
      <c r="Z153" s="287"/>
      <c r="AA153" s="82"/>
      <c r="AB153" s="287"/>
      <c r="AC153" s="82"/>
      <c r="AD153" s="287"/>
      <c r="AE153" s="82"/>
      <c r="AF153" s="287"/>
      <c r="AG153" s="82"/>
      <c r="AH153" s="287"/>
      <c r="AI153" s="82"/>
      <c r="AJ153" s="287"/>
      <c r="AK153" s="82"/>
      <c r="AL153" s="287"/>
      <c r="AM153" s="82"/>
      <c r="AN153" s="287"/>
      <c r="AO153" s="82"/>
      <c r="AP153" s="287"/>
      <c r="AQ153" s="82"/>
      <c r="AR153" s="287"/>
      <c r="AS153" s="82"/>
      <c r="AT153" s="287"/>
      <c r="AU153" s="82"/>
      <c r="AV153" s="50">
        <f>IFERROR(VLOOKUP(A153,'Site check'!A:Q,14,0),0)</f>
        <v>0</v>
      </c>
    </row>
    <row r="154" spans="1:48">
      <c r="A154" s="35" t="s">
        <v>170</v>
      </c>
      <c r="B154" s="97"/>
      <c r="C154" s="30" t="s">
        <v>18</v>
      </c>
      <c r="D154" s="30" t="s">
        <v>19</v>
      </c>
      <c r="E154" s="4"/>
      <c r="F154" s="30" t="s">
        <v>319</v>
      </c>
      <c r="G154" s="257">
        <f t="shared" si="10"/>
        <v>21.099999999999998</v>
      </c>
      <c r="H154" s="140">
        <f t="shared" si="11"/>
        <v>387.15596330275224</v>
      </c>
      <c r="I154" s="86" t="s">
        <v>613</v>
      </c>
      <c r="J154" s="288">
        <v>3.8</v>
      </c>
      <c r="K154" s="82" t="s">
        <v>614</v>
      </c>
      <c r="L154" s="287">
        <v>1.9</v>
      </c>
      <c r="M154" s="82"/>
      <c r="N154" s="287"/>
      <c r="O154" s="82" t="s">
        <v>615</v>
      </c>
      <c r="P154" s="287">
        <v>2.6</v>
      </c>
      <c r="Q154" s="82" t="s">
        <v>616</v>
      </c>
      <c r="R154" s="287">
        <v>2</v>
      </c>
      <c r="S154" s="82" t="s">
        <v>617</v>
      </c>
      <c r="T154" s="287">
        <v>2.4</v>
      </c>
      <c r="U154" s="82" t="s">
        <v>618</v>
      </c>
      <c r="V154" s="287">
        <v>2.6</v>
      </c>
      <c r="W154" s="82" t="s">
        <v>619</v>
      </c>
      <c r="X154" s="287">
        <v>0.8</v>
      </c>
      <c r="Y154" s="84" t="s">
        <v>620</v>
      </c>
      <c r="Z154" s="292">
        <v>5</v>
      </c>
      <c r="AA154" s="82"/>
      <c r="AB154" s="287"/>
      <c r="AC154" s="82"/>
      <c r="AD154" s="287"/>
      <c r="AE154" s="82"/>
      <c r="AF154" s="287"/>
      <c r="AG154" s="82"/>
      <c r="AH154" s="287"/>
      <c r="AI154" s="82"/>
      <c r="AJ154" s="287"/>
      <c r="AK154" s="82"/>
      <c r="AL154" s="287"/>
      <c r="AM154" s="82"/>
      <c r="AN154" s="287"/>
      <c r="AO154" s="82"/>
      <c r="AP154" s="287"/>
      <c r="AQ154" s="82"/>
      <c r="AR154" s="287"/>
      <c r="AS154" s="82"/>
      <c r="AT154" s="287"/>
      <c r="AU154" s="82"/>
      <c r="AV154" s="50">
        <f>IFERROR(VLOOKUP(A154,'Site check'!A:Q,14,0),0)</f>
        <v>0</v>
      </c>
    </row>
    <row r="155" spans="1:48">
      <c r="A155" s="35" t="s">
        <v>171</v>
      </c>
      <c r="B155" s="97"/>
      <c r="C155" s="4"/>
      <c r="D155" s="4"/>
      <c r="E155" s="4"/>
      <c r="F155" s="4"/>
      <c r="G155" s="257">
        <f t="shared" si="10"/>
        <v>0</v>
      </c>
      <c r="H155" s="140">
        <f t="shared" si="11"/>
        <v>0</v>
      </c>
      <c r="I155" s="82"/>
      <c r="J155" s="287"/>
      <c r="K155" s="82"/>
      <c r="L155" s="287"/>
      <c r="M155" s="82"/>
      <c r="N155" s="287"/>
      <c r="O155" s="82"/>
      <c r="P155" s="287"/>
      <c r="Q155" s="82"/>
      <c r="R155" s="287"/>
      <c r="S155" s="82"/>
      <c r="T155" s="287"/>
      <c r="U155" s="82"/>
      <c r="V155" s="287"/>
      <c r="W155" s="82"/>
      <c r="X155" s="287"/>
      <c r="Y155" s="82"/>
      <c r="Z155" s="287"/>
      <c r="AA155" s="82"/>
      <c r="AB155" s="287"/>
      <c r="AC155" s="82"/>
      <c r="AD155" s="287"/>
      <c r="AE155" s="82"/>
      <c r="AF155" s="287"/>
      <c r="AG155" s="82"/>
      <c r="AH155" s="287"/>
      <c r="AI155" s="82"/>
      <c r="AJ155" s="287"/>
      <c r="AK155" s="82"/>
      <c r="AL155" s="287"/>
      <c r="AM155" s="82"/>
      <c r="AN155" s="287"/>
      <c r="AO155" s="82"/>
      <c r="AP155" s="287"/>
      <c r="AQ155" s="82"/>
      <c r="AR155" s="287"/>
      <c r="AS155" s="82"/>
      <c r="AT155" s="287"/>
      <c r="AU155" s="82"/>
      <c r="AV155" s="50">
        <f>IFERROR(VLOOKUP(A155,'Site check'!A:Q,14,0),0)</f>
        <v>0</v>
      </c>
    </row>
    <row r="156" spans="1:48">
      <c r="A156" s="38" t="s">
        <v>172</v>
      </c>
      <c r="B156" s="24" t="s">
        <v>17</v>
      </c>
      <c r="C156" s="4"/>
      <c r="D156" s="4"/>
      <c r="E156" s="4"/>
      <c r="F156" s="4"/>
      <c r="G156" s="257">
        <f t="shared" si="10"/>
        <v>4</v>
      </c>
      <c r="H156" s="140">
        <f t="shared" si="11"/>
        <v>73.394495412844037</v>
      </c>
      <c r="I156" s="266" t="s">
        <v>621</v>
      </c>
      <c r="J156" s="291">
        <v>2</v>
      </c>
      <c r="K156" s="266" t="s">
        <v>622</v>
      </c>
      <c r="L156" s="291">
        <v>2</v>
      </c>
      <c r="M156" s="82"/>
      <c r="N156" s="287"/>
      <c r="O156" s="82"/>
      <c r="P156" s="287"/>
      <c r="Q156" s="82"/>
      <c r="R156" s="287"/>
      <c r="S156" s="82"/>
      <c r="T156" s="287"/>
      <c r="U156" s="82"/>
      <c r="V156" s="287"/>
      <c r="W156" s="82"/>
      <c r="X156" s="287"/>
      <c r="Y156" s="82"/>
      <c r="Z156" s="287"/>
      <c r="AA156" s="82"/>
      <c r="AB156" s="287"/>
      <c r="AC156" s="82"/>
      <c r="AD156" s="287"/>
      <c r="AE156" s="82"/>
      <c r="AF156" s="287"/>
      <c r="AG156" s="82"/>
      <c r="AH156" s="287"/>
      <c r="AI156" s="82"/>
      <c r="AJ156" s="287"/>
      <c r="AK156" s="82"/>
      <c r="AL156" s="287"/>
      <c r="AM156" s="82"/>
      <c r="AN156" s="287"/>
      <c r="AO156" s="82"/>
      <c r="AP156" s="287"/>
      <c r="AQ156" s="82"/>
      <c r="AR156" s="287"/>
      <c r="AS156" s="82"/>
      <c r="AT156" s="287"/>
      <c r="AU156" s="82"/>
      <c r="AV156" s="50">
        <f>IFERROR(VLOOKUP(A156,'Site check'!A:Q,14,0),0)</f>
        <v>0</v>
      </c>
    </row>
    <row r="157" spans="1:48">
      <c r="A157" s="38" t="s">
        <v>173</v>
      </c>
      <c r="B157" s="4"/>
      <c r="C157" s="4"/>
      <c r="D157" s="4"/>
      <c r="E157" s="4"/>
      <c r="F157" s="4"/>
      <c r="G157" s="257">
        <f>SUM(J157,L157,N157,P157,R157,T157,V157,X157,Z157,AB157,AD157,AF157,AH157,AJ157,AL157,AN157,AP157,AR157,AT157,AV157)</f>
        <v>0</v>
      </c>
      <c r="H157" s="140">
        <f t="shared" si="11"/>
        <v>0</v>
      </c>
      <c r="I157" s="82"/>
      <c r="J157" s="287"/>
      <c r="K157" s="82"/>
      <c r="L157" s="287"/>
      <c r="M157" s="82"/>
      <c r="N157" s="287"/>
      <c r="O157" s="82"/>
      <c r="P157" s="287"/>
      <c r="Q157" s="82"/>
      <c r="R157" s="287"/>
      <c r="S157" s="82"/>
      <c r="T157" s="287"/>
      <c r="U157" s="82"/>
      <c r="V157" s="287"/>
      <c r="W157" s="82"/>
      <c r="X157" s="287"/>
      <c r="Y157" s="82"/>
      <c r="Z157" s="287"/>
      <c r="AA157" s="82"/>
      <c r="AB157" s="287"/>
      <c r="AC157" s="82"/>
      <c r="AD157" s="287"/>
      <c r="AE157" s="82"/>
      <c r="AF157" s="287"/>
      <c r="AG157" s="82"/>
      <c r="AH157" s="287"/>
      <c r="AI157" s="82"/>
      <c r="AJ157" s="287"/>
      <c r="AK157" s="82"/>
      <c r="AL157" s="287"/>
      <c r="AM157" s="82"/>
      <c r="AN157" s="287"/>
      <c r="AO157" s="82"/>
      <c r="AP157" s="287"/>
      <c r="AQ157" s="82"/>
      <c r="AR157" s="287"/>
      <c r="AS157" s="82"/>
      <c r="AT157" s="287"/>
      <c r="AU157" s="82"/>
      <c r="AV157" s="50">
        <f>IFERROR(VLOOKUP(A157,'Site check'!A:Q,14,0),0)</f>
        <v>0</v>
      </c>
    </row>
    <row r="158" spans="1:48">
      <c r="A158" s="37" t="s">
        <v>174</v>
      </c>
      <c r="B158" s="24" t="s">
        <v>17</v>
      </c>
      <c r="C158" s="30" t="s">
        <v>18</v>
      </c>
      <c r="D158" s="30" t="s">
        <v>19</v>
      </c>
      <c r="E158" s="4"/>
      <c r="F158" s="30" t="s">
        <v>319</v>
      </c>
      <c r="G158" s="257">
        <f>SUM(J158,L158,N158,P158,R158,T158,V158,X158,Z158,AB158,AD158,AF158,AH158,AJ158,AL158,AN158,AP158,AR158,AT158,AV158)</f>
        <v>17.375000000000004</v>
      </c>
      <c r="H158" s="140">
        <f t="shared" si="11"/>
        <v>318.80733944954136</v>
      </c>
      <c r="I158" s="86" t="s">
        <v>623</v>
      </c>
      <c r="J158" s="288">
        <v>2.8</v>
      </c>
      <c r="K158" s="82" t="s">
        <v>624</v>
      </c>
      <c r="L158" s="287">
        <v>1.1000000000000001</v>
      </c>
      <c r="M158" s="82"/>
      <c r="N158" s="287"/>
      <c r="O158" s="82" t="s">
        <v>625</v>
      </c>
      <c r="P158" s="287">
        <v>0.125</v>
      </c>
      <c r="Q158" s="90" t="s">
        <v>626</v>
      </c>
      <c r="R158" s="290">
        <v>0.9</v>
      </c>
      <c r="S158" s="90" t="s">
        <v>627</v>
      </c>
      <c r="T158" s="290">
        <v>0.85</v>
      </c>
      <c r="U158" s="90" t="s">
        <v>628</v>
      </c>
      <c r="V158" s="290">
        <v>0.85</v>
      </c>
      <c r="W158" s="90" t="s">
        <v>629</v>
      </c>
      <c r="X158" s="290">
        <v>0.75</v>
      </c>
      <c r="Y158" s="90" t="s">
        <v>630</v>
      </c>
      <c r="Z158" s="290">
        <v>0.5</v>
      </c>
      <c r="AA158" s="90" t="s">
        <v>631</v>
      </c>
      <c r="AB158" s="290">
        <v>0.35</v>
      </c>
      <c r="AC158" s="90" t="s">
        <v>632</v>
      </c>
      <c r="AD158" s="290">
        <v>1.4</v>
      </c>
      <c r="AE158" s="90" t="s">
        <v>633</v>
      </c>
      <c r="AF158" s="290">
        <v>1.8</v>
      </c>
      <c r="AG158" s="88"/>
      <c r="AH158" s="289"/>
      <c r="AI158" s="88" t="s">
        <v>634</v>
      </c>
      <c r="AJ158" s="289">
        <v>1.1000000000000001</v>
      </c>
      <c r="AK158" s="82" t="s">
        <v>635</v>
      </c>
      <c r="AL158" s="287">
        <v>0.8</v>
      </c>
      <c r="AM158" s="82" t="s">
        <v>636</v>
      </c>
      <c r="AN158" s="287">
        <v>0.8</v>
      </c>
      <c r="AO158" s="82" t="s">
        <v>637</v>
      </c>
      <c r="AP158" s="287">
        <v>0.8</v>
      </c>
      <c r="AQ158" s="82" t="s">
        <v>638</v>
      </c>
      <c r="AR158" s="287">
        <v>1.5</v>
      </c>
      <c r="AS158" s="90" t="s">
        <v>639</v>
      </c>
      <c r="AT158" s="287">
        <v>0.95</v>
      </c>
      <c r="AU158" s="82"/>
      <c r="AV158" s="50">
        <f>IFERROR(VLOOKUP(A158,'Site check'!A:Q,14,0),0)</f>
        <v>0</v>
      </c>
    </row>
    <row r="159" spans="1:48">
      <c r="A159" s="37" t="s">
        <v>175</v>
      </c>
      <c r="B159" s="4"/>
      <c r="C159" s="4"/>
      <c r="D159" s="4"/>
      <c r="E159" s="4"/>
      <c r="F159" s="4"/>
      <c r="G159" s="257">
        <f t="shared" si="10"/>
        <v>17.175000000000001</v>
      </c>
      <c r="H159" s="140">
        <f t="shared" si="11"/>
        <v>315.13761467889907</v>
      </c>
      <c r="I159" s="86" t="s">
        <v>623</v>
      </c>
      <c r="J159" s="288">
        <v>2.8</v>
      </c>
      <c r="K159" s="82" t="s">
        <v>624</v>
      </c>
      <c r="L159" s="287">
        <v>0.7</v>
      </c>
      <c r="M159" s="82"/>
      <c r="N159" s="287"/>
      <c r="O159" s="82" t="s">
        <v>625</v>
      </c>
      <c r="P159" s="287">
        <v>0.125</v>
      </c>
      <c r="Q159" s="90" t="s">
        <v>626</v>
      </c>
      <c r="R159" s="290">
        <v>0.8</v>
      </c>
      <c r="S159" s="90" t="s">
        <v>627</v>
      </c>
      <c r="T159" s="290">
        <v>0.85</v>
      </c>
      <c r="U159" s="90" t="s">
        <v>628</v>
      </c>
      <c r="V159" s="290">
        <v>0.85</v>
      </c>
      <c r="W159" s="90" t="s">
        <v>629</v>
      </c>
      <c r="X159" s="290">
        <v>0.95</v>
      </c>
      <c r="Y159" s="90" t="s">
        <v>630</v>
      </c>
      <c r="Z159" s="290">
        <v>0.4</v>
      </c>
      <c r="AA159" s="90" t="s">
        <v>631</v>
      </c>
      <c r="AB159" s="290">
        <v>0.45</v>
      </c>
      <c r="AC159" s="90" t="s">
        <v>632</v>
      </c>
      <c r="AD159" s="290">
        <v>1.4</v>
      </c>
      <c r="AE159" s="90" t="s">
        <v>633</v>
      </c>
      <c r="AF159" s="290">
        <v>1.8</v>
      </c>
      <c r="AG159" s="88"/>
      <c r="AH159" s="289"/>
      <c r="AI159" s="88" t="s">
        <v>640</v>
      </c>
      <c r="AJ159" s="289">
        <v>1.2</v>
      </c>
      <c r="AK159" s="82" t="s">
        <v>635</v>
      </c>
      <c r="AL159" s="287">
        <v>0.8</v>
      </c>
      <c r="AM159" s="82" t="s">
        <v>636</v>
      </c>
      <c r="AN159" s="287">
        <v>0.8</v>
      </c>
      <c r="AO159" s="82" t="s">
        <v>637</v>
      </c>
      <c r="AP159" s="287">
        <v>0.8</v>
      </c>
      <c r="AQ159" s="82" t="s">
        <v>638</v>
      </c>
      <c r="AR159" s="287">
        <v>1.5</v>
      </c>
      <c r="AS159" s="90" t="s">
        <v>639</v>
      </c>
      <c r="AT159" s="287">
        <v>0.95</v>
      </c>
      <c r="AU159" s="82"/>
      <c r="AV159" s="50">
        <f>IFERROR(VLOOKUP(A159,'Site check'!A:Q,14,0),0)</f>
        <v>0</v>
      </c>
    </row>
    <row r="160" spans="1:48">
      <c r="A160" s="35" t="s">
        <v>176</v>
      </c>
      <c r="B160" s="97"/>
      <c r="C160" s="4"/>
      <c r="D160" s="4"/>
      <c r="E160" s="4"/>
      <c r="F160" s="4"/>
      <c r="G160" s="257">
        <f t="shared" si="10"/>
        <v>0</v>
      </c>
      <c r="H160" s="140">
        <f t="shared" si="11"/>
        <v>0</v>
      </c>
      <c r="I160" s="82"/>
      <c r="J160" s="287"/>
      <c r="K160" s="82"/>
      <c r="L160" s="287"/>
      <c r="M160" s="82"/>
      <c r="N160" s="287"/>
      <c r="O160" s="82"/>
      <c r="P160" s="287"/>
      <c r="Q160" s="82"/>
      <c r="R160" s="287"/>
      <c r="S160" s="90"/>
      <c r="T160" s="287"/>
      <c r="U160" s="82"/>
      <c r="V160" s="287"/>
      <c r="W160" s="82"/>
      <c r="X160" s="287"/>
      <c r="Y160" s="82"/>
      <c r="Z160" s="287"/>
      <c r="AA160" s="82"/>
      <c r="AB160" s="287"/>
      <c r="AC160" s="82"/>
      <c r="AD160" s="287"/>
      <c r="AE160" s="82"/>
      <c r="AF160" s="287"/>
      <c r="AG160" s="82"/>
      <c r="AH160" s="287"/>
      <c r="AI160" s="82"/>
      <c r="AJ160" s="287"/>
      <c r="AK160" s="82"/>
      <c r="AL160" s="287"/>
      <c r="AM160" s="82"/>
      <c r="AN160" s="287"/>
      <c r="AO160" s="82"/>
      <c r="AP160" s="287"/>
      <c r="AQ160" s="82"/>
      <c r="AR160" s="287"/>
      <c r="AS160" s="82"/>
      <c r="AT160" s="287"/>
      <c r="AU160" s="82"/>
      <c r="AV160" s="50">
        <f>IFERROR(VLOOKUP(A160,'Site check'!A:Q,14,0),0)</f>
        <v>0</v>
      </c>
    </row>
    <row r="161" spans="1:48">
      <c r="A161" s="35" t="s">
        <v>177</v>
      </c>
      <c r="B161" s="97"/>
      <c r="C161" s="4"/>
      <c r="D161" s="4"/>
      <c r="E161" s="4"/>
      <c r="F161" s="4"/>
      <c r="G161" s="257">
        <f t="shared" si="10"/>
        <v>0</v>
      </c>
      <c r="H161" s="140">
        <f t="shared" si="11"/>
        <v>0</v>
      </c>
      <c r="I161" s="82"/>
      <c r="J161" s="287"/>
      <c r="K161" s="82"/>
      <c r="L161" s="287"/>
      <c r="M161" s="82"/>
      <c r="N161" s="287"/>
      <c r="O161" s="82"/>
      <c r="P161" s="287"/>
      <c r="Q161" s="82"/>
      <c r="R161" s="287"/>
      <c r="S161" s="82"/>
      <c r="T161" s="287"/>
      <c r="U161" s="82"/>
      <c r="V161" s="287"/>
      <c r="W161" s="82"/>
      <c r="X161" s="287"/>
      <c r="Y161" s="82"/>
      <c r="Z161" s="287"/>
      <c r="AA161" s="82"/>
      <c r="AB161" s="287"/>
      <c r="AC161" s="82"/>
      <c r="AD161" s="287"/>
      <c r="AE161" s="82"/>
      <c r="AF161" s="287"/>
      <c r="AG161" s="82"/>
      <c r="AH161" s="287"/>
      <c r="AI161" s="82"/>
      <c r="AJ161" s="287"/>
      <c r="AK161" s="82"/>
      <c r="AL161" s="287"/>
      <c r="AM161" s="82"/>
      <c r="AN161" s="287"/>
      <c r="AO161" s="82"/>
      <c r="AP161" s="287"/>
      <c r="AQ161" s="82"/>
      <c r="AR161" s="287"/>
      <c r="AS161" s="82"/>
      <c r="AT161" s="287"/>
      <c r="AU161" s="82"/>
      <c r="AV161" s="50">
        <f>IFERROR(VLOOKUP(A161,'Site check'!A:Q,14,0),0)</f>
        <v>0</v>
      </c>
    </row>
    <row r="162" spans="1:48">
      <c r="A162" s="35" t="s">
        <v>178</v>
      </c>
      <c r="B162" s="97"/>
      <c r="C162" s="4"/>
      <c r="D162" s="4"/>
      <c r="E162" s="4"/>
      <c r="F162" s="4"/>
      <c r="G162" s="257">
        <f t="shared" si="10"/>
        <v>4</v>
      </c>
      <c r="H162" s="140">
        <f t="shared" si="11"/>
        <v>73.394495412844037</v>
      </c>
      <c r="I162" s="90" t="s">
        <v>641</v>
      </c>
      <c r="J162" s="290">
        <v>4</v>
      </c>
      <c r="K162" s="82"/>
      <c r="L162" s="287"/>
      <c r="M162" s="82"/>
      <c r="N162" s="287"/>
      <c r="O162" s="82"/>
      <c r="P162" s="287"/>
      <c r="Q162" s="82"/>
      <c r="R162" s="287"/>
      <c r="S162" s="82"/>
      <c r="T162" s="287"/>
      <c r="U162" s="82"/>
      <c r="V162" s="287"/>
      <c r="W162" s="82"/>
      <c r="X162" s="287"/>
      <c r="Y162" s="82"/>
      <c r="Z162" s="287"/>
      <c r="AA162" s="82"/>
      <c r="AB162" s="287"/>
      <c r="AC162" s="82"/>
      <c r="AD162" s="287"/>
      <c r="AE162" s="82"/>
      <c r="AF162" s="287"/>
      <c r="AG162" s="82"/>
      <c r="AH162" s="287"/>
      <c r="AI162" s="82"/>
      <c r="AJ162" s="287"/>
      <c r="AK162" s="82"/>
      <c r="AL162" s="287"/>
      <c r="AM162" s="82"/>
      <c r="AN162" s="287"/>
      <c r="AO162" s="82"/>
      <c r="AP162" s="287"/>
      <c r="AQ162" s="82"/>
      <c r="AR162" s="287"/>
      <c r="AS162" s="82"/>
      <c r="AT162" s="287"/>
      <c r="AU162" s="82"/>
      <c r="AV162" s="50">
        <f>IFERROR(VLOOKUP(A162,'Site check'!A:Q,14,0),0)</f>
        <v>0</v>
      </c>
    </row>
    <row r="163" spans="1:48">
      <c r="A163" s="35" t="s">
        <v>179</v>
      </c>
      <c r="B163" s="97"/>
      <c r="C163" s="4"/>
      <c r="D163" s="4"/>
      <c r="E163" s="4"/>
      <c r="F163" s="4"/>
      <c r="G163" s="257">
        <f t="shared" si="10"/>
        <v>1</v>
      </c>
      <c r="H163" s="140">
        <f t="shared" si="11"/>
        <v>18.348623853211009</v>
      </c>
      <c r="I163" s="266" t="s">
        <v>642</v>
      </c>
      <c r="J163" s="291">
        <v>1</v>
      </c>
      <c r="K163" s="82"/>
      <c r="L163" s="287"/>
      <c r="M163" s="82"/>
      <c r="N163" s="287"/>
      <c r="O163" s="82"/>
      <c r="P163" s="287"/>
      <c r="Q163" s="82"/>
      <c r="R163" s="287"/>
      <c r="S163" s="82"/>
      <c r="T163" s="287"/>
      <c r="U163" s="82"/>
      <c r="V163" s="287"/>
      <c r="W163" s="82"/>
      <c r="X163" s="287"/>
      <c r="Y163" s="82"/>
      <c r="Z163" s="287"/>
      <c r="AA163" s="82"/>
      <c r="AB163" s="287"/>
      <c r="AC163" s="82"/>
      <c r="AD163" s="287"/>
      <c r="AE163" s="82"/>
      <c r="AF163" s="287"/>
      <c r="AG163" s="82"/>
      <c r="AH163" s="287"/>
      <c r="AI163" s="82"/>
      <c r="AJ163" s="287"/>
      <c r="AK163" s="82"/>
      <c r="AL163" s="287"/>
      <c r="AM163" s="82"/>
      <c r="AN163" s="287"/>
      <c r="AO163" s="82"/>
      <c r="AP163" s="287"/>
      <c r="AQ163" s="82"/>
      <c r="AR163" s="287"/>
      <c r="AS163" s="82"/>
      <c r="AT163" s="287"/>
      <c r="AU163" s="82"/>
      <c r="AV163" s="50">
        <f>IFERROR(VLOOKUP(A163,'Site check'!A:Q,14,0),0)</f>
        <v>0</v>
      </c>
    </row>
    <row r="164" spans="1:48">
      <c r="A164" s="35" t="s">
        <v>180</v>
      </c>
      <c r="B164" s="97"/>
      <c r="C164" s="4"/>
      <c r="D164" s="4"/>
      <c r="E164" s="4"/>
      <c r="F164" s="4"/>
      <c r="G164" s="257">
        <f t="shared" si="10"/>
        <v>0.5</v>
      </c>
      <c r="H164" s="140">
        <f t="shared" si="11"/>
        <v>9.1743119266055047</v>
      </c>
      <c r="I164" s="88" t="s">
        <v>643</v>
      </c>
      <c r="J164" s="289">
        <v>0.5</v>
      </c>
      <c r="K164" s="82"/>
      <c r="L164" s="287"/>
      <c r="M164" s="82"/>
      <c r="N164" s="287"/>
      <c r="O164" s="82"/>
      <c r="P164" s="287"/>
      <c r="Q164" s="82"/>
      <c r="R164" s="287"/>
      <c r="S164" s="82"/>
      <c r="T164" s="287"/>
      <c r="U164" s="82"/>
      <c r="V164" s="287"/>
      <c r="W164" s="82"/>
      <c r="X164" s="287"/>
      <c r="Y164" s="82"/>
      <c r="Z164" s="287"/>
      <c r="AA164" s="82"/>
      <c r="AB164" s="287"/>
      <c r="AC164" s="82"/>
      <c r="AD164" s="287"/>
      <c r="AE164" s="82"/>
      <c r="AF164" s="287"/>
      <c r="AG164" s="82"/>
      <c r="AH164" s="287"/>
      <c r="AI164" s="82"/>
      <c r="AJ164" s="287"/>
      <c r="AK164" s="82"/>
      <c r="AL164" s="287"/>
      <c r="AM164" s="82"/>
      <c r="AN164" s="287"/>
      <c r="AO164" s="82"/>
      <c r="AP164" s="287"/>
      <c r="AQ164" s="82"/>
      <c r="AR164" s="287"/>
      <c r="AS164" s="82"/>
      <c r="AT164" s="287"/>
      <c r="AU164" s="82"/>
      <c r="AV164" s="50">
        <f>IFERROR(VLOOKUP(A164,'Site check'!A:Q,14,0),0)</f>
        <v>0</v>
      </c>
    </row>
    <row r="165" spans="1:48">
      <c r="A165" s="35" t="s">
        <v>181</v>
      </c>
      <c r="B165" s="97"/>
      <c r="C165" s="4"/>
      <c r="D165" s="4"/>
      <c r="E165" s="4"/>
      <c r="F165" s="4"/>
      <c r="G165" s="257">
        <f t="shared" si="10"/>
        <v>0</v>
      </c>
      <c r="H165" s="140">
        <f t="shared" si="11"/>
        <v>0</v>
      </c>
      <c r="I165" s="88"/>
      <c r="J165" s="289"/>
      <c r="K165" s="82"/>
      <c r="L165" s="287"/>
      <c r="M165" s="82"/>
      <c r="N165" s="287"/>
      <c r="O165" s="82"/>
      <c r="P165" s="287"/>
      <c r="Q165" s="82"/>
      <c r="R165" s="287"/>
      <c r="S165" s="82"/>
      <c r="T165" s="287"/>
      <c r="U165" s="82"/>
      <c r="V165" s="287"/>
      <c r="W165" s="82"/>
      <c r="X165" s="287"/>
      <c r="Y165" s="82"/>
      <c r="Z165" s="287"/>
      <c r="AA165" s="82"/>
      <c r="AB165" s="287"/>
      <c r="AC165" s="82"/>
      <c r="AD165" s="287"/>
      <c r="AE165" s="82"/>
      <c r="AF165" s="287"/>
      <c r="AG165" s="82"/>
      <c r="AH165" s="287"/>
      <c r="AI165" s="82"/>
      <c r="AJ165" s="287"/>
      <c r="AK165" s="82"/>
      <c r="AL165" s="287"/>
      <c r="AM165" s="82"/>
      <c r="AN165" s="287"/>
      <c r="AO165" s="82"/>
      <c r="AP165" s="287"/>
      <c r="AQ165" s="82"/>
      <c r="AR165" s="287"/>
      <c r="AS165" s="82"/>
      <c r="AT165" s="287"/>
      <c r="AU165" s="82"/>
      <c r="AV165" s="50">
        <f>IFERROR(VLOOKUP(A165,'Site check'!A:Q,14,0),0)</f>
        <v>0</v>
      </c>
    </row>
    <row r="166" spans="1:48">
      <c r="A166" s="35" t="s">
        <v>182</v>
      </c>
      <c r="B166" s="97"/>
      <c r="C166" s="4"/>
      <c r="D166" s="4"/>
      <c r="E166" s="4"/>
      <c r="F166" s="4"/>
      <c r="G166" s="257">
        <f t="shared" si="10"/>
        <v>1</v>
      </c>
      <c r="H166" s="140">
        <f t="shared" si="11"/>
        <v>18.348623853211009</v>
      </c>
      <c r="I166" s="266" t="s">
        <v>644</v>
      </c>
      <c r="J166" s="291">
        <v>1</v>
      </c>
      <c r="K166" s="82"/>
      <c r="L166" s="287"/>
      <c r="M166" s="82"/>
      <c r="N166" s="287"/>
      <c r="O166" s="82"/>
      <c r="P166" s="287"/>
      <c r="Q166" s="82"/>
      <c r="R166" s="287"/>
      <c r="S166" s="82"/>
      <c r="T166" s="287"/>
      <c r="U166" s="82"/>
      <c r="V166" s="287"/>
      <c r="W166" s="82"/>
      <c r="X166" s="287"/>
      <c r="Y166" s="82"/>
      <c r="Z166" s="287"/>
      <c r="AA166" s="82"/>
      <c r="AB166" s="287"/>
      <c r="AC166" s="82"/>
      <c r="AD166" s="287"/>
      <c r="AE166" s="82"/>
      <c r="AF166" s="287"/>
      <c r="AG166" s="82"/>
      <c r="AH166" s="287"/>
      <c r="AI166" s="82"/>
      <c r="AJ166" s="287"/>
      <c r="AK166" s="82"/>
      <c r="AL166" s="287"/>
      <c r="AM166" s="82"/>
      <c r="AN166" s="287"/>
      <c r="AO166" s="82"/>
      <c r="AP166" s="287"/>
      <c r="AQ166" s="82"/>
      <c r="AR166" s="287"/>
      <c r="AS166" s="82"/>
      <c r="AT166" s="287"/>
      <c r="AU166" s="82"/>
      <c r="AV166" s="50">
        <f>IFERROR(VLOOKUP(A166,'Site check'!A:Q,14,0),0)</f>
        <v>0</v>
      </c>
    </row>
    <row r="167" spans="1:48">
      <c r="A167" s="35" t="s">
        <v>183</v>
      </c>
      <c r="B167" s="97"/>
      <c r="C167" s="4"/>
      <c r="D167" s="4"/>
      <c r="E167" s="4"/>
      <c r="F167" s="4"/>
      <c r="G167" s="257">
        <f t="shared" si="10"/>
        <v>0</v>
      </c>
      <c r="H167" s="140">
        <f t="shared" si="11"/>
        <v>0</v>
      </c>
      <c r="I167" s="82"/>
      <c r="J167" s="287"/>
      <c r="K167" s="82"/>
      <c r="L167" s="287"/>
      <c r="M167" s="82"/>
      <c r="N167" s="287"/>
      <c r="O167" s="82"/>
      <c r="P167" s="287"/>
      <c r="Q167" s="82"/>
      <c r="R167" s="287"/>
      <c r="S167" s="82"/>
      <c r="T167" s="287"/>
      <c r="U167" s="82"/>
      <c r="V167" s="287"/>
      <c r="W167" s="82"/>
      <c r="X167" s="287"/>
      <c r="Y167" s="82"/>
      <c r="Z167" s="287"/>
      <c r="AA167" s="82"/>
      <c r="AB167" s="287"/>
      <c r="AC167" s="82"/>
      <c r="AD167" s="287"/>
      <c r="AE167" s="82"/>
      <c r="AF167" s="287"/>
      <c r="AG167" s="82"/>
      <c r="AH167" s="287"/>
      <c r="AI167" s="82"/>
      <c r="AJ167" s="287"/>
      <c r="AK167" s="82"/>
      <c r="AL167" s="287"/>
      <c r="AM167" s="82"/>
      <c r="AN167" s="287"/>
      <c r="AO167" s="82"/>
      <c r="AP167" s="287"/>
      <c r="AQ167" s="82"/>
      <c r="AR167" s="287"/>
      <c r="AS167" s="82"/>
      <c r="AT167" s="287"/>
      <c r="AU167" s="82"/>
      <c r="AV167" s="50">
        <f>IFERROR(VLOOKUP(A167,'Site check'!A:Q,14,0),0)</f>
        <v>0</v>
      </c>
    </row>
    <row r="168" spans="1:48">
      <c r="A168" s="35" t="s">
        <v>184</v>
      </c>
      <c r="B168" s="97"/>
      <c r="C168" s="30" t="s">
        <v>18</v>
      </c>
      <c r="D168" s="4"/>
      <c r="E168" s="4"/>
      <c r="F168" s="4"/>
      <c r="G168" s="257">
        <f t="shared" si="10"/>
        <v>2.4</v>
      </c>
      <c r="H168" s="140">
        <f t="shared" si="11"/>
        <v>44.036697247706421</v>
      </c>
      <c r="I168" s="82" t="s">
        <v>645</v>
      </c>
      <c r="J168" s="287">
        <v>2.4</v>
      </c>
      <c r="K168" s="82"/>
      <c r="L168" s="287"/>
      <c r="M168" s="82"/>
      <c r="N168" s="287"/>
      <c r="O168" s="82"/>
      <c r="P168" s="287"/>
      <c r="Q168" s="82"/>
      <c r="R168" s="287"/>
      <c r="S168" s="82"/>
      <c r="T168" s="287"/>
      <c r="U168" s="82"/>
      <c r="V168" s="287"/>
      <c r="W168" s="82"/>
      <c r="X168" s="287"/>
      <c r="Y168" s="82"/>
      <c r="Z168" s="287"/>
      <c r="AA168" s="82"/>
      <c r="AB168" s="287"/>
      <c r="AC168" s="82"/>
      <c r="AD168" s="287"/>
      <c r="AE168" s="82"/>
      <c r="AF168" s="287"/>
      <c r="AG168" s="82"/>
      <c r="AH168" s="287"/>
      <c r="AI168" s="82"/>
      <c r="AJ168" s="287"/>
      <c r="AK168" s="82"/>
      <c r="AL168" s="287"/>
      <c r="AM168" s="82"/>
      <c r="AN168" s="287"/>
      <c r="AO168" s="82"/>
      <c r="AP168" s="287"/>
      <c r="AQ168" s="82"/>
      <c r="AR168" s="287"/>
      <c r="AS168" s="82"/>
      <c r="AT168" s="287"/>
      <c r="AU168" s="82"/>
      <c r="AV168" s="50">
        <f>IFERROR(VLOOKUP(A168,'Site check'!A:Q,14,0),0)</f>
        <v>0</v>
      </c>
    </row>
    <row r="169" spans="1:48">
      <c r="A169" s="35" t="s">
        <v>185</v>
      </c>
      <c r="B169" s="97"/>
      <c r="C169" s="4"/>
      <c r="D169" s="4"/>
      <c r="E169" s="4"/>
      <c r="F169" s="4"/>
      <c r="G169" s="257">
        <f t="shared" si="10"/>
        <v>1</v>
      </c>
      <c r="H169" s="140">
        <f t="shared" si="11"/>
        <v>18.348623853211009</v>
      </c>
      <c r="I169" s="109" t="s">
        <v>646</v>
      </c>
      <c r="J169" s="288">
        <v>1</v>
      </c>
      <c r="K169" s="82"/>
      <c r="L169" s="287"/>
      <c r="M169" s="82"/>
      <c r="N169" s="287"/>
      <c r="O169" s="82"/>
      <c r="P169" s="287"/>
      <c r="Q169" s="82"/>
      <c r="R169" s="287"/>
      <c r="S169" s="82"/>
      <c r="T169" s="287"/>
      <c r="U169" s="82"/>
      <c r="V169" s="287"/>
      <c r="W169" s="82"/>
      <c r="X169" s="287"/>
      <c r="Y169" s="82"/>
      <c r="Z169" s="287"/>
      <c r="AA169" s="82"/>
      <c r="AB169" s="287"/>
      <c r="AC169" s="82"/>
      <c r="AD169" s="287"/>
      <c r="AE169" s="82"/>
      <c r="AF169" s="287"/>
      <c r="AG169" s="82"/>
      <c r="AH169" s="287"/>
      <c r="AI169" s="82"/>
      <c r="AJ169" s="287"/>
      <c r="AK169" s="82"/>
      <c r="AL169" s="287"/>
      <c r="AM169" s="82"/>
      <c r="AN169" s="287"/>
      <c r="AO169" s="82"/>
      <c r="AP169" s="287"/>
      <c r="AQ169" s="82"/>
      <c r="AR169" s="287"/>
      <c r="AS169" s="82"/>
      <c r="AT169" s="287"/>
      <c r="AU169" s="82"/>
      <c r="AV169" s="50">
        <f>IFERROR(VLOOKUP(A169,'Site check'!A:Q,14,0),0)</f>
        <v>0</v>
      </c>
    </row>
    <row r="170" spans="1:48">
      <c r="A170" s="35" t="s">
        <v>186</v>
      </c>
      <c r="B170" s="97"/>
      <c r="C170" s="30" t="s">
        <v>18</v>
      </c>
      <c r="D170" s="4"/>
      <c r="E170" s="4"/>
      <c r="F170" s="4"/>
      <c r="G170" s="257">
        <f t="shared" si="10"/>
        <v>1.7</v>
      </c>
      <c r="H170" s="140">
        <f t="shared" si="11"/>
        <v>31.192660550458715</v>
      </c>
      <c r="I170" s="82" t="s">
        <v>647</v>
      </c>
      <c r="J170" s="287">
        <v>1.7</v>
      </c>
      <c r="K170" s="82"/>
      <c r="L170" s="287"/>
      <c r="M170" s="82"/>
      <c r="N170" s="287"/>
      <c r="O170" s="82"/>
      <c r="P170" s="287"/>
      <c r="Q170" s="82"/>
      <c r="R170" s="287"/>
      <c r="S170" s="82"/>
      <c r="T170" s="287"/>
      <c r="U170" s="82"/>
      <c r="V170" s="287"/>
      <c r="W170" s="82"/>
      <c r="X170" s="287"/>
      <c r="Y170" s="82"/>
      <c r="Z170" s="287"/>
      <c r="AA170" s="82"/>
      <c r="AB170" s="287"/>
      <c r="AC170" s="82"/>
      <c r="AD170" s="287"/>
      <c r="AE170" s="82"/>
      <c r="AF170" s="287"/>
      <c r="AG170" s="82"/>
      <c r="AH170" s="287"/>
      <c r="AI170" s="82"/>
      <c r="AJ170" s="287"/>
      <c r="AK170" s="82"/>
      <c r="AL170" s="287"/>
      <c r="AM170" s="82"/>
      <c r="AN170" s="287"/>
      <c r="AO170" s="82"/>
      <c r="AP170" s="287"/>
      <c r="AQ170" s="82"/>
      <c r="AR170" s="287"/>
      <c r="AS170" s="82"/>
      <c r="AT170" s="287"/>
      <c r="AU170" s="82"/>
      <c r="AV170" s="50">
        <f>IFERROR(VLOOKUP(A170,'Site check'!A:Q,14,0),0)</f>
        <v>0</v>
      </c>
    </row>
    <row r="171" spans="1:48">
      <c r="A171" s="35" t="s">
        <v>187</v>
      </c>
      <c r="B171" s="97"/>
      <c r="C171" s="30" t="s">
        <v>18</v>
      </c>
      <c r="D171" s="4"/>
      <c r="E171" s="4"/>
      <c r="F171" s="30" t="s">
        <v>319</v>
      </c>
      <c r="G171" s="257">
        <f t="shared" si="10"/>
        <v>20.2</v>
      </c>
      <c r="H171" s="140">
        <f t="shared" si="11"/>
        <v>370.64220183486236</v>
      </c>
      <c r="I171" s="82" t="s">
        <v>648</v>
      </c>
      <c r="J171" s="287">
        <v>1.7</v>
      </c>
      <c r="K171" s="82" t="s">
        <v>649</v>
      </c>
      <c r="L171" s="287">
        <v>10.3</v>
      </c>
      <c r="M171" s="266" t="s">
        <v>650</v>
      </c>
      <c r="N171" s="299">
        <v>1.7</v>
      </c>
      <c r="O171" s="84" t="s">
        <v>651</v>
      </c>
      <c r="P171" s="292">
        <v>5.5</v>
      </c>
      <c r="Q171" s="109" t="s">
        <v>652</v>
      </c>
      <c r="R171" s="298">
        <v>1</v>
      </c>
      <c r="S171" s="82"/>
      <c r="T171" s="287"/>
      <c r="U171" s="82"/>
      <c r="V171" s="287"/>
      <c r="W171" s="82"/>
      <c r="X171" s="287"/>
      <c r="Y171" s="82"/>
      <c r="Z171" s="287"/>
      <c r="AA171" s="82"/>
      <c r="AB171" s="287"/>
      <c r="AC171" s="82"/>
      <c r="AD171" s="287"/>
      <c r="AE171" s="82"/>
      <c r="AF171" s="287"/>
      <c r="AG171" s="82"/>
      <c r="AH171" s="287"/>
      <c r="AI171" s="82"/>
      <c r="AJ171" s="287"/>
      <c r="AK171" s="82"/>
      <c r="AL171" s="287"/>
      <c r="AM171" s="82"/>
      <c r="AN171" s="287"/>
      <c r="AO171" s="82"/>
      <c r="AP171" s="287"/>
      <c r="AQ171" s="82"/>
      <c r="AR171" s="287"/>
      <c r="AS171" s="82"/>
      <c r="AT171" s="287"/>
      <c r="AU171" s="82"/>
      <c r="AV171" s="50">
        <f>IFERROR(VLOOKUP(A171,'Site check'!A:Q,14,0),0)</f>
        <v>0</v>
      </c>
    </row>
    <row r="172" spans="1:48">
      <c r="A172" s="35" t="s">
        <v>188</v>
      </c>
      <c r="B172" s="97"/>
      <c r="C172" s="4"/>
      <c r="D172" s="4"/>
      <c r="E172" s="4"/>
      <c r="F172" s="4"/>
      <c r="G172" s="257">
        <f t="shared" si="10"/>
        <v>0</v>
      </c>
      <c r="H172" s="140">
        <f t="shared" si="11"/>
        <v>0</v>
      </c>
      <c r="I172" s="82"/>
      <c r="J172" s="287"/>
      <c r="K172" s="82"/>
      <c r="L172" s="287"/>
      <c r="M172" s="82"/>
      <c r="N172" s="287"/>
      <c r="O172" s="82"/>
      <c r="P172" s="287"/>
      <c r="Q172" s="82"/>
      <c r="R172" s="287"/>
      <c r="S172" s="82"/>
      <c r="T172" s="287"/>
      <c r="U172" s="82"/>
      <c r="V172" s="287"/>
      <c r="W172" s="82"/>
      <c r="X172" s="287"/>
      <c r="Y172" s="82"/>
      <c r="Z172" s="287"/>
      <c r="AA172" s="82"/>
      <c r="AB172" s="287"/>
      <c r="AC172" s="82"/>
      <c r="AD172" s="287"/>
      <c r="AE172" s="82"/>
      <c r="AF172" s="287"/>
      <c r="AG172" s="82"/>
      <c r="AH172" s="287"/>
      <c r="AI172" s="82"/>
      <c r="AJ172" s="287"/>
      <c r="AK172" s="82"/>
      <c r="AL172" s="287"/>
      <c r="AM172" s="82"/>
      <c r="AN172" s="287"/>
      <c r="AO172" s="82"/>
      <c r="AP172" s="287"/>
      <c r="AQ172" s="82"/>
      <c r="AR172" s="287"/>
      <c r="AS172" s="82"/>
      <c r="AT172" s="287"/>
      <c r="AU172" s="82"/>
      <c r="AV172" s="50">
        <f>IFERROR(VLOOKUP(A172,'Site check'!A:Q,14,0),0)</f>
        <v>0</v>
      </c>
    </row>
    <row r="173" spans="1:48">
      <c r="A173" s="35" t="s">
        <v>189</v>
      </c>
      <c r="B173" s="97"/>
      <c r="C173" s="4"/>
      <c r="D173" s="4"/>
      <c r="E173" s="4"/>
      <c r="F173" s="4"/>
      <c r="G173" s="257">
        <f t="shared" si="10"/>
        <v>0</v>
      </c>
      <c r="H173" s="140">
        <f t="shared" si="11"/>
        <v>0</v>
      </c>
      <c r="I173" s="82"/>
      <c r="J173" s="287"/>
      <c r="K173" s="82"/>
      <c r="L173" s="287"/>
      <c r="M173" s="82"/>
      <c r="N173" s="287"/>
      <c r="O173" s="82"/>
      <c r="P173" s="287"/>
      <c r="Q173" s="82"/>
      <c r="R173" s="287"/>
      <c r="S173" s="82"/>
      <c r="T173" s="287"/>
      <c r="U173" s="82"/>
      <c r="V173" s="287"/>
      <c r="W173" s="82"/>
      <c r="X173" s="287"/>
      <c r="Y173" s="82"/>
      <c r="Z173" s="287"/>
      <c r="AA173" s="82"/>
      <c r="AB173" s="287"/>
      <c r="AC173" s="82"/>
      <c r="AD173" s="287"/>
      <c r="AE173" s="82"/>
      <c r="AF173" s="287"/>
      <c r="AG173" s="82"/>
      <c r="AH173" s="287"/>
      <c r="AI173" s="82"/>
      <c r="AJ173" s="287"/>
      <c r="AK173" s="82"/>
      <c r="AL173" s="287"/>
      <c r="AM173" s="82"/>
      <c r="AN173" s="287"/>
      <c r="AO173" s="82"/>
      <c r="AP173" s="287"/>
      <c r="AQ173" s="82"/>
      <c r="AR173" s="287"/>
      <c r="AS173" s="82"/>
      <c r="AT173" s="287"/>
      <c r="AU173" s="82"/>
      <c r="AV173" s="50">
        <f>IFERROR(VLOOKUP(A173,'Site check'!A:Q,14,0),0)</f>
        <v>0</v>
      </c>
    </row>
    <row r="174" spans="1:48">
      <c r="A174" s="40" t="s">
        <v>190</v>
      </c>
      <c r="B174" s="97"/>
      <c r="C174" s="4"/>
      <c r="D174" s="4"/>
      <c r="E174" s="4"/>
      <c r="F174" s="4"/>
      <c r="G174" s="257">
        <f t="shared" si="10"/>
        <v>2</v>
      </c>
      <c r="H174" s="140">
        <f t="shared" si="11"/>
        <v>36.697247706422019</v>
      </c>
      <c r="I174" s="82" t="s">
        <v>653</v>
      </c>
      <c r="J174" s="287">
        <v>2</v>
      </c>
      <c r="K174" s="82"/>
      <c r="L174" s="287"/>
      <c r="M174" s="82"/>
      <c r="N174" s="287"/>
      <c r="O174" s="82"/>
      <c r="P174" s="287"/>
      <c r="Q174" s="82"/>
      <c r="R174" s="287"/>
      <c r="S174" s="82"/>
      <c r="T174" s="287"/>
      <c r="U174" s="82"/>
      <c r="V174" s="287"/>
      <c r="W174" s="82"/>
      <c r="X174" s="287"/>
      <c r="Y174" s="82"/>
      <c r="Z174" s="287"/>
      <c r="AA174" s="82"/>
      <c r="AB174" s="287"/>
      <c r="AC174" s="82"/>
      <c r="AD174" s="287"/>
      <c r="AE174" s="82"/>
      <c r="AF174" s="287"/>
      <c r="AG174" s="82"/>
      <c r="AH174" s="287"/>
      <c r="AI174" s="82"/>
      <c r="AJ174" s="287"/>
      <c r="AK174" s="82"/>
      <c r="AL174" s="287"/>
      <c r="AM174" s="82"/>
      <c r="AN174" s="287"/>
      <c r="AO174" s="82"/>
      <c r="AP174" s="287"/>
      <c r="AQ174" s="82"/>
      <c r="AR174" s="287"/>
      <c r="AS174" s="82"/>
      <c r="AT174" s="287"/>
      <c r="AU174" s="82"/>
      <c r="AV174" s="50">
        <f>IFERROR(VLOOKUP(A174,'Site check'!A:Q,14,0),0)</f>
        <v>0</v>
      </c>
    </row>
    <row r="175" spans="1:48">
      <c r="A175" s="40" t="s">
        <v>191</v>
      </c>
      <c r="B175" s="97"/>
      <c r="C175" s="4"/>
      <c r="D175" s="4"/>
      <c r="E175" s="4"/>
      <c r="F175" s="4"/>
      <c r="G175" s="257">
        <f t="shared" si="10"/>
        <v>0</v>
      </c>
      <c r="H175" s="140">
        <f t="shared" si="11"/>
        <v>0</v>
      </c>
      <c r="I175" s="82"/>
      <c r="J175" s="287"/>
      <c r="K175" s="82"/>
      <c r="L175" s="287"/>
      <c r="M175" s="82"/>
      <c r="N175" s="287"/>
      <c r="O175" s="82"/>
      <c r="P175" s="287"/>
      <c r="Q175" s="82"/>
      <c r="R175" s="287"/>
      <c r="S175" s="82"/>
      <c r="T175" s="287"/>
      <c r="U175" s="82"/>
      <c r="V175" s="287"/>
      <c r="W175" s="82"/>
      <c r="X175" s="287"/>
      <c r="Y175" s="82"/>
      <c r="Z175" s="287"/>
      <c r="AA175" s="82"/>
      <c r="AB175" s="287"/>
      <c r="AC175" s="82"/>
      <c r="AD175" s="287"/>
      <c r="AE175" s="82"/>
      <c r="AF175" s="287"/>
      <c r="AG175" s="82"/>
      <c r="AH175" s="287"/>
      <c r="AI175" s="82"/>
      <c r="AJ175" s="287"/>
      <c r="AK175" s="82"/>
      <c r="AL175" s="287"/>
      <c r="AM175" s="82"/>
      <c r="AN175" s="287"/>
      <c r="AO175" s="82"/>
      <c r="AP175" s="287"/>
      <c r="AQ175" s="82"/>
      <c r="AR175" s="287"/>
      <c r="AS175" s="82"/>
      <c r="AT175" s="287"/>
      <c r="AU175" s="82"/>
      <c r="AV175" s="50">
        <f>IFERROR(VLOOKUP(A175,'Site check'!A:Q,14,0),0)</f>
        <v>0</v>
      </c>
    </row>
    <row r="176" spans="1:48">
      <c r="A176" s="80" t="s">
        <v>192</v>
      </c>
      <c r="B176" s="97"/>
      <c r="C176" s="30" t="s">
        <v>18</v>
      </c>
      <c r="D176" s="4"/>
      <c r="E176" s="30" t="s">
        <v>438</v>
      </c>
      <c r="F176" s="4"/>
      <c r="G176" s="257">
        <f t="shared" si="10"/>
        <v>7.2</v>
      </c>
      <c r="H176" s="140">
        <f t="shared" si="11"/>
        <v>132.11009174311926</v>
      </c>
      <c r="I176" s="82" t="s">
        <v>654</v>
      </c>
      <c r="J176" s="287">
        <v>1.2</v>
      </c>
      <c r="K176" s="82" t="s">
        <v>530</v>
      </c>
      <c r="L176" s="287">
        <v>6</v>
      </c>
      <c r="M176" s="82"/>
      <c r="N176" s="287"/>
      <c r="O176" s="82"/>
      <c r="P176" s="287"/>
      <c r="Q176" s="82"/>
      <c r="R176" s="287"/>
      <c r="S176" s="82"/>
      <c r="T176" s="287"/>
      <c r="U176" s="82"/>
      <c r="V176" s="287"/>
      <c r="W176" s="82"/>
      <c r="X176" s="287"/>
      <c r="Y176" s="82"/>
      <c r="Z176" s="287"/>
      <c r="AA176" s="82"/>
      <c r="AB176" s="287"/>
      <c r="AC176" s="82"/>
      <c r="AD176" s="287"/>
      <c r="AE176" s="82"/>
      <c r="AF176" s="287"/>
      <c r="AG176" s="82"/>
      <c r="AH176" s="287"/>
      <c r="AI176" s="82"/>
      <c r="AJ176" s="287"/>
      <c r="AK176" s="82"/>
      <c r="AL176" s="287"/>
      <c r="AM176" s="82"/>
      <c r="AN176" s="287"/>
      <c r="AO176" s="82"/>
      <c r="AP176" s="287"/>
      <c r="AQ176" s="82"/>
      <c r="AR176" s="287"/>
      <c r="AS176" s="82"/>
      <c r="AT176" s="287"/>
      <c r="AU176" s="82"/>
      <c r="AV176" s="50">
        <f>IFERROR(VLOOKUP(A176,'Site check'!A:Q,14,0),0)</f>
        <v>0</v>
      </c>
    </row>
    <row r="177" spans="1:48">
      <c r="A177" s="80" t="s">
        <v>193</v>
      </c>
      <c r="B177" s="97"/>
      <c r="C177" s="30"/>
      <c r="D177" s="4"/>
      <c r="E177" s="4"/>
      <c r="F177" s="4"/>
      <c r="G177" s="257">
        <f t="shared" si="10"/>
        <v>7.3000000000000007</v>
      </c>
      <c r="H177" s="140">
        <f t="shared" si="11"/>
        <v>133.94495412844037</v>
      </c>
      <c r="I177" s="82" t="s">
        <v>654</v>
      </c>
      <c r="J177" s="287">
        <v>1.4</v>
      </c>
      <c r="K177" s="82" t="s">
        <v>530</v>
      </c>
      <c r="L177" s="287">
        <v>5.9</v>
      </c>
      <c r="M177" s="82"/>
      <c r="N177" s="287"/>
      <c r="O177" s="82"/>
      <c r="P177" s="287"/>
      <c r="Q177" s="82"/>
      <c r="R177" s="287"/>
      <c r="S177" s="82"/>
      <c r="T177" s="287"/>
      <c r="U177" s="82"/>
      <c r="V177" s="287"/>
      <c r="W177" s="82"/>
      <c r="X177" s="287"/>
      <c r="Y177" s="82"/>
      <c r="Z177" s="287"/>
      <c r="AA177" s="82"/>
      <c r="AB177" s="287"/>
      <c r="AC177" s="82"/>
      <c r="AD177" s="287"/>
      <c r="AE177" s="82"/>
      <c r="AF177" s="287"/>
      <c r="AG177" s="82"/>
      <c r="AH177" s="287"/>
      <c r="AI177" s="82"/>
      <c r="AJ177" s="287"/>
      <c r="AK177" s="82"/>
      <c r="AL177" s="287"/>
      <c r="AM177" s="82"/>
      <c r="AN177" s="287"/>
      <c r="AO177" s="82"/>
      <c r="AP177" s="287"/>
      <c r="AQ177" s="82"/>
      <c r="AR177" s="287"/>
      <c r="AS177" s="82"/>
      <c r="AT177" s="287"/>
      <c r="AU177" s="82"/>
      <c r="AV177" s="50">
        <f>IFERROR(VLOOKUP(A177,'Site check'!A:Q,14,0),0)</f>
        <v>0</v>
      </c>
    </row>
    <row r="178" spans="1:48">
      <c r="A178" s="37" t="s">
        <v>194</v>
      </c>
      <c r="B178" s="97"/>
      <c r="C178" s="4"/>
      <c r="D178" s="4"/>
      <c r="E178" s="4"/>
      <c r="F178" s="4"/>
      <c r="G178" s="257">
        <f t="shared" si="10"/>
        <v>2</v>
      </c>
      <c r="H178" s="140">
        <f t="shared" si="11"/>
        <v>36.697247706422019</v>
      </c>
      <c r="I178" s="82" t="s">
        <v>655</v>
      </c>
      <c r="J178" s="287">
        <v>2</v>
      </c>
      <c r="K178" s="82"/>
      <c r="L178" s="287"/>
      <c r="M178" s="82"/>
      <c r="N178" s="287"/>
      <c r="O178" s="82"/>
      <c r="P178" s="287"/>
      <c r="Q178" s="82"/>
      <c r="R178" s="287"/>
      <c r="S178" s="82"/>
      <c r="T178" s="287"/>
      <c r="U178" s="82"/>
      <c r="V178" s="287"/>
      <c r="W178" s="82"/>
      <c r="X178" s="287"/>
      <c r="Y178" s="82"/>
      <c r="Z178" s="287"/>
      <c r="AA178" s="82"/>
      <c r="AB178" s="287"/>
      <c r="AC178" s="82"/>
      <c r="AD178" s="287"/>
      <c r="AE178" s="82"/>
      <c r="AF178" s="287"/>
      <c r="AG178" s="82"/>
      <c r="AH178" s="287"/>
      <c r="AI178" s="82"/>
      <c r="AJ178" s="287"/>
      <c r="AK178" s="82"/>
      <c r="AL178" s="287"/>
      <c r="AM178" s="82"/>
      <c r="AN178" s="287"/>
      <c r="AO178" s="82"/>
      <c r="AP178" s="287"/>
      <c r="AQ178" s="82"/>
      <c r="AR178" s="287"/>
      <c r="AS178" s="82"/>
      <c r="AT178" s="287"/>
      <c r="AU178" s="82"/>
      <c r="AV178" s="50">
        <f>IFERROR(VLOOKUP(A178,'Site check'!A:Q,14,0),0)</f>
        <v>0</v>
      </c>
    </row>
    <row r="179" spans="1:48">
      <c r="A179" s="37" t="s">
        <v>195</v>
      </c>
      <c r="B179" s="97"/>
      <c r="C179" s="4"/>
      <c r="D179" s="4"/>
      <c r="E179" s="4"/>
      <c r="F179" s="4"/>
      <c r="G179" s="257">
        <f t="shared" si="10"/>
        <v>2</v>
      </c>
      <c r="H179" s="140">
        <f t="shared" si="11"/>
        <v>36.697247706422019</v>
      </c>
      <c r="I179" s="88" t="s">
        <v>656</v>
      </c>
      <c r="J179" s="289">
        <v>2</v>
      </c>
      <c r="K179" s="82"/>
      <c r="L179" s="287"/>
      <c r="M179" s="82"/>
      <c r="N179" s="287"/>
      <c r="O179" s="82"/>
      <c r="P179" s="287"/>
      <c r="Q179" s="82"/>
      <c r="R179" s="287"/>
      <c r="S179" s="82"/>
      <c r="T179" s="287"/>
      <c r="U179" s="82"/>
      <c r="V179" s="287"/>
      <c r="W179" s="82"/>
      <c r="X179" s="287"/>
      <c r="Y179" s="82"/>
      <c r="Z179" s="287"/>
      <c r="AA179" s="82"/>
      <c r="AB179" s="287"/>
      <c r="AC179" s="82"/>
      <c r="AD179" s="287"/>
      <c r="AE179" s="82"/>
      <c r="AF179" s="287"/>
      <c r="AG179" s="82"/>
      <c r="AH179" s="287"/>
      <c r="AI179" s="82"/>
      <c r="AJ179" s="287"/>
      <c r="AK179" s="82"/>
      <c r="AL179" s="287"/>
      <c r="AM179" s="82"/>
      <c r="AN179" s="287"/>
      <c r="AO179" s="82"/>
      <c r="AP179" s="287"/>
      <c r="AQ179" s="82"/>
      <c r="AR179" s="287"/>
      <c r="AS179" s="82"/>
      <c r="AT179" s="287"/>
      <c r="AU179" s="82"/>
      <c r="AV179" s="50">
        <f>IFERROR(VLOOKUP(A179,'Site check'!A:Q,14,0),0)</f>
        <v>0</v>
      </c>
    </row>
    <row r="180" spans="1:48">
      <c r="A180" s="38" t="s">
        <v>196</v>
      </c>
      <c r="B180" s="97"/>
      <c r="C180" s="4"/>
      <c r="D180" s="4"/>
      <c r="E180" s="4"/>
      <c r="F180" s="4"/>
      <c r="G180" s="257">
        <f t="shared" si="10"/>
        <v>0</v>
      </c>
      <c r="H180" s="140">
        <f t="shared" si="11"/>
        <v>0</v>
      </c>
      <c r="I180" s="82"/>
      <c r="J180" s="287"/>
      <c r="K180" s="82"/>
      <c r="L180" s="287"/>
      <c r="M180" s="82"/>
      <c r="N180" s="287"/>
      <c r="O180" s="82"/>
      <c r="P180" s="287"/>
      <c r="Q180" s="82"/>
      <c r="R180" s="287"/>
      <c r="S180" s="82"/>
      <c r="T180" s="287"/>
      <c r="U180" s="82"/>
      <c r="V180" s="287"/>
      <c r="W180" s="82"/>
      <c r="X180" s="287"/>
      <c r="Y180" s="82"/>
      <c r="Z180" s="287"/>
      <c r="AA180" s="82"/>
      <c r="AB180" s="287"/>
      <c r="AC180" s="82"/>
      <c r="AD180" s="287"/>
      <c r="AE180" s="82"/>
      <c r="AF180" s="287"/>
      <c r="AG180" s="82"/>
      <c r="AH180" s="287"/>
      <c r="AI180" s="82"/>
      <c r="AJ180" s="287"/>
      <c r="AK180" s="82"/>
      <c r="AL180" s="287"/>
      <c r="AM180" s="82"/>
      <c r="AN180" s="287"/>
      <c r="AO180" s="82"/>
      <c r="AP180" s="287"/>
      <c r="AQ180" s="82"/>
      <c r="AR180" s="287"/>
      <c r="AS180" s="82"/>
      <c r="AT180" s="287"/>
      <c r="AU180" s="82"/>
      <c r="AV180" s="50">
        <f>IFERROR(VLOOKUP(A180,'Site check'!A:Q,14,0),0)</f>
        <v>0</v>
      </c>
    </row>
    <row r="181" spans="1:48">
      <c r="A181" s="38" t="s">
        <v>197</v>
      </c>
      <c r="B181" s="97"/>
      <c r="C181" s="4"/>
      <c r="D181" s="4"/>
      <c r="E181" s="4"/>
      <c r="F181" s="4"/>
      <c r="G181" s="257">
        <f t="shared" si="10"/>
        <v>0</v>
      </c>
      <c r="H181" s="140">
        <f t="shared" si="11"/>
        <v>0</v>
      </c>
      <c r="I181" s="82"/>
      <c r="J181" s="287"/>
      <c r="K181" s="82"/>
      <c r="L181" s="287"/>
      <c r="M181" s="82"/>
      <c r="N181" s="287"/>
      <c r="O181" s="82"/>
      <c r="P181" s="287"/>
      <c r="Q181" s="82"/>
      <c r="R181" s="287"/>
      <c r="S181" s="82"/>
      <c r="T181" s="287"/>
      <c r="U181" s="82"/>
      <c r="V181" s="287"/>
      <c r="W181" s="82"/>
      <c r="X181" s="287"/>
      <c r="Y181" s="82"/>
      <c r="Z181" s="287"/>
      <c r="AA181" s="82"/>
      <c r="AB181" s="287"/>
      <c r="AC181" s="82"/>
      <c r="AD181" s="287"/>
      <c r="AE181" s="82"/>
      <c r="AF181" s="287"/>
      <c r="AG181" s="82"/>
      <c r="AH181" s="287"/>
      <c r="AI181" s="82"/>
      <c r="AJ181" s="287"/>
      <c r="AK181" s="82"/>
      <c r="AL181" s="287"/>
      <c r="AM181" s="82"/>
      <c r="AN181" s="287"/>
      <c r="AO181" s="82"/>
      <c r="AP181" s="287"/>
      <c r="AQ181" s="82"/>
      <c r="AR181" s="287"/>
      <c r="AS181" s="82"/>
      <c r="AT181" s="287"/>
      <c r="AU181" s="82"/>
      <c r="AV181" s="50">
        <f>IFERROR(VLOOKUP(A181,'Site check'!A:Q,14,0),0)</f>
        <v>0</v>
      </c>
    </row>
    <row r="182" spans="1:48">
      <c r="A182" s="37" t="s">
        <v>198</v>
      </c>
      <c r="B182" s="97"/>
      <c r="C182" s="30" t="s">
        <v>18</v>
      </c>
      <c r="D182" s="4"/>
      <c r="E182" s="30" t="s">
        <v>438</v>
      </c>
      <c r="F182" s="4"/>
      <c r="G182" s="257">
        <f t="shared" si="10"/>
        <v>12</v>
      </c>
      <c r="H182" s="140">
        <f t="shared" si="11"/>
        <v>220.18348623853211</v>
      </c>
      <c r="I182" s="82" t="s">
        <v>657</v>
      </c>
      <c r="J182" s="287">
        <v>2.2999999999999998</v>
      </c>
      <c r="K182" s="82" t="s">
        <v>658</v>
      </c>
      <c r="L182" s="287">
        <v>5.9</v>
      </c>
      <c r="M182" s="86" t="s">
        <v>659</v>
      </c>
      <c r="N182" s="288">
        <v>1.8</v>
      </c>
      <c r="O182" s="88" t="s">
        <v>660</v>
      </c>
      <c r="P182" s="289">
        <v>1</v>
      </c>
      <c r="Q182" s="86" t="s">
        <v>661</v>
      </c>
      <c r="R182" s="288">
        <v>1</v>
      </c>
      <c r="S182" s="82"/>
      <c r="T182" s="287"/>
      <c r="U182" s="82"/>
      <c r="V182" s="287"/>
      <c r="W182" s="82"/>
      <c r="X182" s="287"/>
      <c r="Y182" s="82"/>
      <c r="Z182" s="287"/>
      <c r="AA182" s="82"/>
      <c r="AB182" s="287"/>
      <c r="AC182" s="82"/>
      <c r="AD182" s="287"/>
      <c r="AE182" s="82"/>
      <c r="AF182" s="287"/>
      <c r="AG182" s="82"/>
      <c r="AH182" s="287"/>
      <c r="AI182" s="82"/>
      <c r="AJ182" s="287"/>
      <c r="AK182" s="82"/>
      <c r="AL182" s="287"/>
      <c r="AM182" s="82"/>
      <c r="AN182" s="287"/>
      <c r="AO182" s="82"/>
      <c r="AP182" s="287"/>
      <c r="AQ182" s="82"/>
      <c r="AR182" s="287"/>
      <c r="AS182" s="82"/>
      <c r="AT182" s="287"/>
      <c r="AU182" s="82"/>
      <c r="AV182" s="50">
        <f>IFERROR(VLOOKUP(A182,'Site check'!A:Q,14,0),0)</f>
        <v>0</v>
      </c>
    </row>
    <row r="183" spans="1:48">
      <c r="A183" s="37" t="s">
        <v>199</v>
      </c>
      <c r="B183" s="97"/>
      <c r="C183" s="97"/>
      <c r="D183" s="4"/>
      <c r="E183" s="4"/>
      <c r="F183" s="4"/>
      <c r="G183" s="257">
        <f t="shared" si="10"/>
        <v>12.5</v>
      </c>
      <c r="H183" s="140">
        <f t="shared" si="11"/>
        <v>229.35779816513761</v>
      </c>
      <c r="I183" s="82" t="s">
        <v>657</v>
      </c>
      <c r="J183" s="287">
        <v>2.5</v>
      </c>
      <c r="K183" s="82" t="s">
        <v>658</v>
      </c>
      <c r="L183" s="287">
        <v>6</v>
      </c>
      <c r="M183" s="86" t="s">
        <v>659</v>
      </c>
      <c r="N183" s="288">
        <v>2</v>
      </c>
      <c r="O183" s="88" t="s">
        <v>660</v>
      </c>
      <c r="P183" s="289">
        <v>1</v>
      </c>
      <c r="Q183" s="86" t="s">
        <v>661</v>
      </c>
      <c r="R183" s="288">
        <v>1</v>
      </c>
      <c r="S183" s="82"/>
      <c r="T183" s="287"/>
      <c r="U183" s="82"/>
      <c r="V183" s="287"/>
      <c r="W183" s="82"/>
      <c r="X183" s="287"/>
      <c r="Y183" s="82"/>
      <c r="Z183" s="287"/>
      <c r="AA183" s="82"/>
      <c r="AB183" s="287"/>
      <c r="AC183" s="82"/>
      <c r="AD183" s="287"/>
      <c r="AE183" s="82"/>
      <c r="AF183" s="287"/>
      <c r="AG183" s="82"/>
      <c r="AH183" s="287"/>
      <c r="AI183" s="82"/>
      <c r="AJ183" s="287"/>
      <c r="AK183" s="82"/>
      <c r="AL183" s="287"/>
      <c r="AM183" s="82"/>
      <c r="AN183" s="287"/>
      <c r="AO183" s="82"/>
      <c r="AP183" s="287"/>
      <c r="AQ183" s="82"/>
      <c r="AR183" s="287"/>
      <c r="AS183" s="82"/>
      <c r="AT183" s="287"/>
      <c r="AU183" s="82"/>
      <c r="AV183" s="50">
        <f>IFERROR(VLOOKUP(A183,'Site check'!A:Q,14,0),0)</f>
        <v>0</v>
      </c>
    </row>
    <row r="184" spans="1:48">
      <c r="A184" t="s">
        <v>200</v>
      </c>
      <c r="B184" s="97"/>
      <c r="C184" s="97"/>
      <c r="D184" s="4"/>
      <c r="E184" s="4"/>
      <c r="F184" s="4"/>
      <c r="G184" s="257">
        <f t="shared" si="10"/>
        <v>0</v>
      </c>
      <c r="H184" s="140">
        <f t="shared" si="11"/>
        <v>0</v>
      </c>
      <c r="I184" s="82"/>
      <c r="J184" s="287"/>
      <c r="K184" s="82"/>
      <c r="L184" s="287"/>
      <c r="M184" s="82"/>
      <c r="N184" s="287"/>
      <c r="O184" s="82"/>
      <c r="P184" s="287"/>
      <c r="Q184" s="82"/>
      <c r="R184" s="287"/>
      <c r="S184" s="82"/>
      <c r="T184" s="287"/>
      <c r="U184" s="82"/>
      <c r="V184" s="287"/>
      <c r="W184" s="82"/>
      <c r="X184" s="287"/>
      <c r="Y184" s="82"/>
      <c r="Z184" s="287"/>
      <c r="AA184" s="82"/>
      <c r="AB184" s="287"/>
      <c r="AC184" s="82"/>
      <c r="AD184" s="287"/>
      <c r="AE184" s="82"/>
      <c r="AF184" s="287"/>
      <c r="AG184" s="82"/>
      <c r="AH184" s="287"/>
      <c r="AI184" s="82"/>
      <c r="AJ184" s="287"/>
      <c r="AK184" s="82"/>
      <c r="AL184" s="287"/>
      <c r="AM184" s="82"/>
      <c r="AN184" s="287"/>
      <c r="AO184" s="82"/>
      <c r="AP184" s="287"/>
      <c r="AQ184" s="82"/>
      <c r="AR184" s="287"/>
      <c r="AS184" s="82"/>
      <c r="AT184" s="287"/>
      <c r="AU184" s="82"/>
      <c r="AV184" s="50">
        <f>IFERROR(VLOOKUP(A184,'Site check'!A:Q,14,0),0)</f>
        <v>0</v>
      </c>
    </row>
    <row r="185" spans="1:48">
      <c r="A185" s="37" t="s">
        <v>201</v>
      </c>
      <c r="B185" s="97"/>
      <c r="C185" s="30" t="s">
        <v>18</v>
      </c>
      <c r="D185" s="4"/>
      <c r="E185" s="30" t="s">
        <v>438</v>
      </c>
      <c r="F185" s="4"/>
      <c r="G185" s="257">
        <f t="shared" si="10"/>
        <v>10.15</v>
      </c>
      <c r="H185" s="140">
        <f t="shared" si="11"/>
        <v>186.23853211009174</v>
      </c>
      <c r="I185" s="82" t="s">
        <v>662</v>
      </c>
      <c r="J185" s="287">
        <v>1.25</v>
      </c>
      <c r="K185" s="82" t="s">
        <v>530</v>
      </c>
      <c r="L185" s="287">
        <v>5.7</v>
      </c>
      <c r="M185" s="86" t="s">
        <v>663</v>
      </c>
      <c r="N185" s="288">
        <v>1</v>
      </c>
      <c r="O185" s="86" t="s">
        <v>664</v>
      </c>
      <c r="P185" s="288">
        <v>1.3</v>
      </c>
      <c r="Q185" s="88" t="s">
        <v>665</v>
      </c>
      <c r="R185" s="289">
        <v>0.9</v>
      </c>
      <c r="S185" s="86"/>
      <c r="T185" s="288"/>
      <c r="U185" s="86"/>
      <c r="V185" s="288"/>
      <c r="W185" s="86"/>
      <c r="X185" s="288"/>
      <c r="Y185" s="82"/>
      <c r="Z185" s="287"/>
      <c r="AA185" s="82"/>
      <c r="AB185" s="287"/>
      <c r="AC185" s="82"/>
      <c r="AD185" s="287"/>
      <c r="AE185" s="82"/>
      <c r="AF185" s="287"/>
      <c r="AG185" s="82"/>
      <c r="AH185" s="287"/>
      <c r="AI185" s="82"/>
      <c r="AJ185" s="287"/>
      <c r="AK185" s="82"/>
      <c r="AL185" s="287"/>
      <c r="AM185" s="82"/>
      <c r="AN185" s="287"/>
      <c r="AO185" s="82"/>
      <c r="AP185" s="287"/>
      <c r="AQ185" s="82"/>
      <c r="AR185" s="287"/>
      <c r="AS185" s="82"/>
      <c r="AT185" s="287"/>
      <c r="AU185" s="82"/>
      <c r="AV185" s="50">
        <f>IFERROR(VLOOKUP(A185,'Site check'!A:Q,14,0),0)</f>
        <v>0</v>
      </c>
    </row>
    <row r="186" spans="1:48">
      <c r="A186" s="37" t="s">
        <v>202</v>
      </c>
      <c r="B186" s="97"/>
      <c r="C186" s="30"/>
      <c r="D186" s="4"/>
      <c r="E186" s="4"/>
      <c r="F186" s="4"/>
      <c r="G186" s="257">
        <f t="shared" si="10"/>
        <v>10.450000000000001</v>
      </c>
      <c r="H186" s="140">
        <f t="shared" si="11"/>
        <v>191.74311926605509</v>
      </c>
      <c r="I186" s="82" t="s">
        <v>662</v>
      </c>
      <c r="J186" s="289">
        <v>1.25</v>
      </c>
      <c r="K186" s="82" t="s">
        <v>530</v>
      </c>
      <c r="L186" s="287">
        <v>6</v>
      </c>
      <c r="M186" s="86" t="s">
        <v>663</v>
      </c>
      <c r="N186" s="288">
        <v>1</v>
      </c>
      <c r="O186" s="86" t="s">
        <v>664</v>
      </c>
      <c r="P186" s="288">
        <v>1.3</v>
      </c>
      <c r="Q186" s="88" t="s">
        <v>665</v>
      </c>
      <c r="R186" s="289">
        <v>0.9</v>
      </c>
      <c r="S186" s="86"/>
      <c r="T186" s="288"/>
      <c r="U186" s="86"/>
      <c r="V186" s="288"/>
      <c r="W186" s="86"/>
      <c r="X186" s="288"/>
      <c r="Y186" s="82"/>
      <c r="Z186" s="287"/>
      <c r="AA186" s="82"/>
      <c r="AB186" s="287"/>
      <c r="AC186" s="82"/>
      <c r="AD186" s="287"/>
      <c r="AE186" s="82"/>
      <c r="AF186" s="287"/>
      <c r="AG186" s="82"/>
      <c r="AH186" s="287"/>
      <c r="AI186" s="82"/>
      <c r="AJ186" s="287"/>
      <c r="AK186" s="82"/>
      <c r="AL186" s="287"/>
      <c r="AM186" s="82"/>
      <c r="AN186" s="287"/>
      <c r="AO186" s="82"/>
      <c r="AP186" s="287"/>
      <c r="AQ186" s="82"/>
      <c r="AR186" s="287"/>
      <c r="AS186" s="82"/>
      <c r="AT186" s="287"/>
      <c r="AU186" s="82"/>
      <c r="AV186" s="50">
        <f>IFERROR(VLOOKUP(A186,'Site check'!A:Q,14,0),0)</f>
        <v>0</v>
      </c>
    </row>
    <row r="187" spans="1:48">
      <c r="A187" s="35" t="s">
        <v>203</v>
      </c>
      <c r="B187" s="97"/>
      <c r="C187" s="4"/>
      <c r="D187" s="4"/>
      <c r="E187" s="4"/>
      <c r="F187" s="4"/>
      <c r="G187" s="257">
        <f t="shared" si="10"/>
        <v>1</v>
      </c>
      <c r="H187" s="140">
        <f t="shared" si="11"/>
        <v>18.348623853211009</v>
      </c>
      <c r="I187" s="82" t="s">
        <v>666</v>
      </c>
      <c r="J187" s="289">
        <v>1</v>
      </c>
      <c r="K187" s="82"/>
      <c r="L187" s="287"/>
      <c r="M187" s="82"/>
      <c r="N187" s="287"/>
      <c r="O187" s="82"/>
      <c r="P187" s="287"/>
      <c r="Q187" s="82"/>
      <c r="R187" s="287"/>
      <c r="S187" s="82"/>
      <c r="T187" s="287"/>
      <c r="U187" s="82"/>
      <c r="V187" s="287"/>
      <c r="W187" s="82"/>
      <c r="X187" s="287"/>
      <c r="Y187" s="82"/>
      <c r="Z187" s="287"/>
      <c r="AA187" s="82"/>
      <c r="AB187" s="287"/>
      <c r="AC187" s="82"/>
      <c r="AD187" s="287"/>
      <c r="AE187" s="82"/>
      <c r="AF187" s="287"/>
      <c r="AG187" s="82"/>
      <c r="AH187" s="287"/>
      <c r="AI187" s="82"/>
      <c r="AJ187" s="287"/>
      <c r="AK187" s="82"/>
      <c r="AL187" s="287"/>
      <c r="AM187" s="82"/>
      <c r="AN187" s="287"/>
      <c r="AO187" s="82"/>
      <c r="AP187" s="287"/>
      <c r="AQ187" s="82"/>
      <c r="AR187" s="287"/>
      <c r="AS187" s="82"/>
      <c r="AT187" s="287"/>
      <c r="AU187" s="82"/>
      <c r="AV187" s="50">
        <f>IFERROR(VLOOKUP(A187,'Site check'!A:Q,14,0),0)</f>
        <v>0</v>
      </c>
    </row>
    <row r="188" spans="1:48">
      <c r="A188" s="35" t="s">
        <v>204</v>
      </c>
      <c r="B188" s="97"/>
      <c r="C188" s="4"/>
      <c r="D188" s="4"/>
      <c r="E188" s="4"/>
      <c r="F188" s="4"/>
      <c r="G188" s="257">
        <f t="shared" si="10"/>
        <v>4</v>
      </c>
      <c r="H188" s="140">
        <f t="shared" si="11"/>
        <v>73.394495412844037</v>
      </c>
      <c r="I188" s="88" t="s">
        <v>667</v>
      </c>
      <c r="J188" s="289">
        <v>4</v>
      </c>
      <c r="K188" s="88"/>
      <c r="L188" s="289"/>
      <c r="M188" s="82"/>
      <c r="N188" s="287"/>
      <c r="O188" s="82"/>
      <c r="P188" s="287"/>
      <c r="Q188" s="82"/>
      <c r="R188" s="287"/>
      <c r="S188" s="82"/>
      <c r="T188" s="287"/>
      <c r="U188" s="82"/>
      <c r="V188" s="287"/>
      <c r="W188" s="82"/>
      <c r="X188" s="287"/>
      <c r="Y188" s="82"/>
      <c r="Z188" s="287"/>
      <c r="AA188" s="82"/>
      <c r="AB188" s="287"/>
      <c r="AC188" s="82"/>
      <c r="AD188" s="287"/>
      <c r="AE188" s="82"/>
      <c r="AF188" s="287"/>
      <c r="AG188" s="82"/>
      <c r="AH188" s="287"/>
      <c r="AI188" s="82"/>
      <c r="AJ188" s="287"/>
      <c r="AK188" s="82"/>
      <c r="AL188" s="287"/>
      <c r="AM188" s="82"/>
      <c r="AN188" s="287"/>
      <c r="AO188" s="82"/>
      <c r="AP188" s="287"/>
      <c r="AQ188" s="82"/>
      <c r="AR188" s="287"/>
      <c r="AS188" s="82"/>
      <c r="AT188" s="287"/>
      <c r="AU188" s="82"/>
      <c r="AV188" s="50">
        <f>IFERROR(VLOOKUP(A188,'Site check'!A:Q,14,0),0)</f>
        <v>0</v>
      </c>
    </row>
    <row r="189" spans="1:48">
      <c r="A189" s="35" t="s">
        <v>205</v>
      </c>
      <c r="B189" s="97"/>
      <c r="C189" s="4"/>
      <c r="D189" s="4"/>
      <c r="E189" s="4"/>
      <c r="F189" s="4"/>
      <c r="G189" s="257">
        <f t="shared" si="10"/>
        <v>3</v>
      </c>
      <c r="H189" s="140">
        <f t="shared" si="11"/>
        <v>55.045871559633028</v>
      </c>
      <c r="I189" s="266" t="s">
        <v>668</v>
      </c>
      <c r="J189" s="293">
        <v>2</v>
      </c>
      <c r="K189" s="269" t="s">
        <v>669</v>
      </c>
      <c r="L189" s="291">
        <v>1</v>
      </c>
      <c r="M189" s="82"/>
      <c r="N189" s="287"/>
      <c r="O189" s="82"/>
      <c r="P189" s="287"/>
      <c r="Q189" s="82"/>
      <c r="R189" s="287"/>
      <c r="S189" s="82"/>
      <c r="T189" s="287"/>
      <c r="U189" s="82"/>
      <c r="V189" s="287"/>
      <c r="W189" s="82"/>
      <c r="X189" s="287"/>
      <c r="Y189" s="82"/>
      <c r="Z189" s="287"/>
      <c r="AA189" s="82"/>
      <c r="AB189" s="287"/>
      <c r="AC189" s="82"/>
      <c r="AD189" s="287"/>
      <c r="AE189" s="82"/>
      <c r="AF189" s="287"/>
      <c r="AG189" s="82"/>
      <c r="AH189" s="287"/>
      <c r="AI189" s="82"/>
      <c r="AJ189" s="287"/>
      <c r="AK189" s="82"/>
      <c r="AL189" s="287"/>
      <c r="AM189" s="82"/>
      <c r="AN189" s="287"/>
      <c r="AO189" s="82"/>
      <c r="AP189" s="287"/>
      <c r="AQ189" s="82"/>
      <c r="AR189" s="287"/>
      <c r="AS189" s="82"/>
      <c r="AT189" s="287"/>
      <c r="AU189" s="82"/>
      <c r="AV189" s="50">
        <f>IFERROR(VLOOKUP(A189,'Site check'!A:Q,14,0),0)</f>
        <v>0</v>
      </c>
    </row>
    <row r="190" spans="1:48">
      <c r="A190" s="35" t="s">
        <v>206</v>
      </c>
      <c r="B190" s="97"/>
      <c r="C190" s="4"/>
      <c r="D190" s="4"/>
      <c r="E190" s="4"/>
      <c r="F190" s="4"/>
      <c r="G190" s="257">
        <f t="shared" si="10"/>
        <v>4</v>
      </c>
      <c r="H190" s="140">
        <f t="shared" si="11"/>
        <v>73.394495412844037</v>
      </c>
      <c r="I190" s="88" t="s">
        <v>670</v>
      </c>
      <c r="J190" s="289">
        <v>4</v>
      </c>
      <c r="K190" s="88"/>
      <c r="L190" s="289"/>
      <c r="M190" s="82"/>
      <c r="N190" s="287"/>
      <c r="O190" s="82"/>
      <c r="P190" s="287"/>
      <c r="Q190" s="82"/>
      <c r="R190" s="287"/>
      <c r="S190" s="82"/>
      <c r="T190" s="287"/>
      <c r="U190" s="82"/>
      <c r="V190" s="287"/>
      <c r="W190" s="82"/>
      <c r="X190" s="287"/>
      <c r="Y190" s="82"/>
      <c r="Z190" s="287"/>
      <c r="AA190" s="82"/>
      <c r="AB190" s="287"/>
      <c r="AC190" s="82"/>
      <c r="AD190" s="287"/>
      <c r="AE190" s="82"/>
      <c r="AF190" s="287"/>
      <c r="AG190" s="82"/>
      <c r="AH190" s="287"/>
      <c r="AI190" s="82"/>
      <c r="AJ190" s="287"/>
      <c r="AK190" s="82"/>
      <c r="AL190" s="287"/>
      <c r="AM190" s="82"/>
      <c r="AN190" s="287"/>
      <c r="AO190" s="82"/>
      <c r="AP190" s="287"/>
      <c r="AQ190" s="82"/>
      <c r="AR190" s="287"/>
      <c r="AS190" s="82"/>
      <c r="AT190" s="287"/>
      <c r="AU190" s="82"/>
      <c r="AV190" s="50">
        <f>IFERROR(VLOOKUP(A190,'Site check'!A:Q,14,0),0)</f>
        <v>0</v>
      </c>
    </row>
    <row r="191" spans="1:48">
      <c r="A191" s="35" t="s">
        <v>207</v>
      </c>
      <c r="B191" s="97"/>
      <c r="C191" s="4"/>
      <c r="D191" s="4"/>
      <c r="E191" s="4"/>
      <c r="F191" s="4"/>
      <c r="G191" s="257">
        <f t="shared" si="10"/>
        <v>0</v>
      </c>
      <c r="H191" s="140">
        <f t="shared" si="11"/>
        <v>0</v>
      </c>
      <c r="I191" s="88"/>
      <c r="J191" s="289"/>
      <c r="K191" s="88"/>
      <c r="L191" s="289"/>
      <c r="M191" s="82"/>
      <c r="N191" s="287"/>
      <c r="O191" s="82"/>
      <c r="P191" s="287"/>
      <c r="Q191" s="82"/>
      <c r="R191" s="287"/>
      <c r="S191" s="82"/>
      <c r="T191" s="287"/>
      <c r="U191" s="82"/>
      <c r="V191" s="287"/>
      <c r="W191" s="82"/>
      <c r="X191" s="287"/>
      <c r="Y191" s="82"/>
      <c r="Z191" s="287"/>
      <c r="AA191" s="82"/>
      <c r="AB191" s="287"/>
      <c r="AC191" s="82"/>
      <c r="AD191" s="287"/>
      <c r="AE191" s="82"/>
      <c r="AF191" s="287"/>
      <c r="AG191" s="82"/>
      <c r="AH191" s="287"/>
      <c r="AI191" s="82"/>
      <c r="AJ191" s="287"/>
      <c r="AK191" s="82"/>
      <c r="AL191" s="287"/>
      <c r="AM191" s="82"/>
      <c r="AN191" s="287"/>
      <c r="AO191" s="82"/>
      <c r="AP191" s="287"/>
      <c r="AQ191" s="82"/>
      <c r="AR191" s="287"/>
      <c r="AS191" s="82"/>
      <c r="AT191" s="287"/>
      <c r="AU191" s="82"/>
      <c r="AV191" s="50">
        <f>IFERROR(VLOOKUP(A191,'Site check'!A:Q,14,0),0)</f>
        <v>0</v>
      </c>
    </row>
    <row r="192" spans="1:48">
      <c r="A192" s="35" t="s">
        <v>208</v>
      </c>
      <c r="B192" s="97"/>
      <c r="C192" s="30" t="s">
        <v>18</v>
      </c>
      <c r="D192" s="4"/>
      <c r="E192" s="4"/>
      <c r="F192" s="4"/>
      <c r="G192" s="257">
        <f t="shared" si="10"/>
        <v>2.7</v>
      </c>
      <c r="H192" s="140">
        <f t="shared" si="11"/>
        <v>49.541284403669728</v>
      </c>
      <c r="I192" s="88" t="s">
        <v>671</v>
      </c>
      <c r="J192" s="289">
        <v>1.7</v>
      </c>
      <c r="K192" s="269" t="s">
        <v>672</v>
      </c>
      <c r="L192" s="291">
        <v>1</v>
      </c>
      <c r="M192" s="82"/>
      <c r="N192" s="287"/>
      <c r="O192" s="82"/>
      <c r="P192" s="287"/>
      <c r="Q192" s="82"/>
      <c r="R192" s="287"/>
      <c r="S192" s="82"/>
      <c r="T192" s="287"/>
      <c r="U192" s="82"/>
      <c r="V192" s="287"/>
      <c r="W192" s="82"/>
      <c r="X192" s="287"/>
      <c r="Y192" s="82"/>
      <c r="Z192" s="287"/>
      <c r="AA192" s="82"/>
      <c r="AB192" s="287"/>
      <c r="AC192" s="82"/>
      <c r="AD192" s="287"/>
      <c r="AE192" s="82"/>
      <c r="AF192" s="287"/>
      <c r="AG192" s="82"/>
      <c r="AH192" s="287"/>
      <c r="AI192" s="82"/>
      <c r="AJ192" s="287"/>
      <c r="AK192" s="82"/>
      <c r="AL192" s="287"/>
      <c r="AM192" s="82"/>
      <c r="AN192" s="287"/>
      <c r="AO192" s="82"/>
      <c r="AP192" s="287"/>
      <c r="AQ192" s="82"/>
      <c r="AR192" s="287"/>
      <c r="AS192" s="82"/>
      <c r="AT192" s="287"/>
      <c r="AU192" s="82"/>
      <c r="AV192" s="50">
        <f>IFERROR(VLOOKUP(A192,'Site check'!A:Q,14,0),0)</f>
        <v>0</v>
      </c>
    </row>
    <row r="193" spans="1:48">
      <c r="A193" s="37" t="s">
        <v>209</v>
      </c>
      <c r="B193" s="97"/>
      <c r="C193" s="4"/>
      <c r="D193" s="4"/>
      <c r="E193" s="4"/>
      <c r="F193" s="4"/>
      <c r="G193" s="257">
        <f t="shared" si="10"/>
        <v>0</v>
      </c>
      <c r="H193" s="140">
        <f t="shared" si="11"/>
        <v>0</v>
      </c>
      <c r="I193" s="82"/>
      <c r="J193" s="287"/>
      <c r="K193" s="82"/>
      <c r="L193" s="287"/>
      <c r="M193" s="82"/>
      <c r="N193" s="287"/>
      <c r="O193" s="82"/>
      <c r="P193" s="287"/>
      <c r="Q193" s="82"/>
      <c r="R193" s="287"/>
      <c r="S193" s="82"/>
      <c r="T193" s="287"/>
      <c r="U193" s="82"/>
      <c r="V193" s="287"/>
      <c r="W193" s="82"/>
      <c r="X193" s="287"/>
      <c r="Y193" s="82"/>
      <c r="Z193" s="287"/>
      <c r="AA193" s="82"/>
      <c r="AB193" s="287"/>
      <c r="AC193" s="82"/>
      <c r="AD193" s="287"/>
      <c r="AE193" s="82"/>
      <c r="AF193" s="287"/>
      <c r="AG193" s="82"/>
      <c r="AH193" s="287"/>
      <c r="AI193" s="82"/>
      <c r="AJ193" s="287"/>
      <c r="AK193" s="82"/>
      <c r="AL193" s="287"/>
      <c r="AM193" s="82"/>
      <c r="AN193" s="287"/>
      <c r="AO193" s="82"/>
      <c r="AP193" s="287"/>
      <c r="AQ193" s="82"/>
      <c r="AR193" s="287"/>
      <c r="AS193" s="82"/>
      <c r="AT193" s="287"/>
      <c r="AU193" s="82"/>
      <c r="AV193" s="50">
        <f>IFERROR(VLOOKUP(A193,'Site check'!A:Q,14,0),0)</f>
        <v>0</v>
      </c>
    </row>
    <row r="194" spans="1:48">
      <c r="A194" s="37" t="s">
        <v>210</v>
      </c>
      <c r="B194" s="97"/>
      <c r="C194" s="4"/>
      <c r="D194" s="4"/>
      <c r="E194" s="4"/>
      <c r="F194" s="4"/>
      <c r="G194" s="257">
        <f t="shared" si="10"/>
        <v>0</v>
      </c>
      <c r="H194" s="140">
        <f t="shared" si="11"/>
        <v>0</v>
      </c>
      <c r="I194" s="82"/>
      <c r="J194" s="287"/>
      <c r="K194" s="82"/>
      <c r="L194" s="287"/>
      <c r="M194" s="82"/>
      <c r="N194" s="287"/>
      <c r="O194" s="82"/>
      <c r="P194" s="287"/>
      <c r="Q194" s="82"/>
      <c r="R194" s="287"/>
      <c r="S194" s="82"/>
      <c r="T194" s="287"/>
      <c r="U194" s="82"/>
      <c r="V194" s="287"/>
      <c r="W194" s="82"/>
      <c r="X194" s="287"/>
      <c r="Y194" s="82"/>
      <c r="Z194" s="287"/>
      <c r="AA194" s="82"/>
      <c r="AB194" s="287"/>
      <c r="AC194" s="82"/>
      <c r="AD194" s="287"/>
      <c r="AE194" s="82"/>
      <c r="AF194" s="287"/>
      <c r="AG194" s="82"/>
      <c r="AH194" s="287"/>
      <c r="AI194" s="82"/>
      <c r="AJ194" s="287"/>
      <c r="AK194" s="82"/>
      <c r="AL194" s="287"/>
      <c r="AM194" s="82"/>
      <c r="AN194" s="287"/>
      <c r="AO194" s="82"/>
      <c r="AP194" s="287"/>
      <c r="AQ194" s="82"/>
      <c r="AR194" s="287"/>
      <c r="AS194" s="82"/>
      <c r="AT194" s="287"/>
      <c r="AU194" s="82"/>
      <c r="AV194" s="50">
        <f>IFERROR(VLOOKUP(A194,'Site check'!A:Q,14,0),0)</f>
        <v>0</v>
      </c>
    </row>
    <row r="195" spans="1:48">
      <c r="A195" s="35" t="s">
        <v>211</v>
      </c>
      <c r="B195" s="97"/>
      <c r="C195" s="30" t="s">
        <v>18</v>
      </c>
      <c r="D195" s="4"/>
      <c r="E195" s="4"/>
      <c r="F195" s="4"/>
      <c r="G195" s="257">
        <f t="shared" si="10"/>
        <v>2.7</v>
      </c>
      <c r="H195" s="140">
        <f t="shared" si="11"/>
        <v>49.541284403669728</v>
      </c>
      <c r="I195" s="82" t="s">
        <v>673</v>
      </c>
      <c r="J195" s="287">
        <v>1.7</v>
      </c>
      <c r="K195" s="262" t="s">
        <v>674</v>
      </c>
      <c r="L195" s="298">
        <v>1</v>
      </c>
      <c r="M195" s="82"/>
      <c r="N195" s="287"/>
      <c r="O195" s="82"/>
      <c r="P195" s="287"/>
      <c r="Q195" s="82"/>
      <c r="R195" s="287"/>
      <c r="S195" s="82"/>
      <c r="T195" s="287"/>
      <c r="U195" s="82"/>
      <c r="V195" s="287"/>
      <c r="W195" s="82"/>
      <c r="X195" s="287"/>
      <c r="Y195" s="82"/>
      <c r="Z195" s="287"/>
      <c r="AA195" s="82"/>
      <c r="AB195" s="287"/>
      <c r="AC195" s="82"/>
      <c r="AD195" s="287"/>
      <c r="AE195" s="82"/>
      <c r="AF195" s="287"/>
      <c r="AG195" s="82"/>
      <c r="AH195" s="287"/>
      <c r="AI195" s="82"/>
      <c r="AJ195" s="287"/>
      <c r="AK195" s="82"/>
      <c r="AL195" s="287"/>
      <c r="AM195" s="82"/>
      <c r="AN195" s="287"/>
      <c r="AO195" s="82"/>
      <c r="AP195" s="287"/>
      <c r="AQ195" s="82"/>
      <c r="AR195" s="287"/>
      <c r="AS195" s="82"/>
      <c r="AT195" s="287"/>
      <c r="AU195" s="82"/>
      <c r="AV195" s="50">
        <f>IFERROR(VLOOKUP(A195,'Site check'!A:Q,14,0),0)</f>
        <v>0</v>
      </c>
    </row>
    <row r="196" spans="1:48">
      <c r="A196" s="35" t="s">
        <v>212</v>
      </c>
      <c r="B196" s="97"/>
      <c r="C196" s="97"/>
      <c r="D196" s="4"/>
      <c r="E196" s="30" t="s">
        <v>438</v>
      </c>
      <c r="F196" s="4"/>
      <c r="G196" s="257">
        <f t="shared" ref="G196" si="12">SUM(J196,L196,N196,P196,R196,T196,V196,X196,Z196,AB196,AD196,AF196,AH196,AJ196,AL196,AN196,AP196,AR196,AT196,AV196)</f>
        <v>12</v>
      </c>
      <c r="H196" s="140">
        <f t="shared" ref="H196" si="13">SUM(G196*1000)/54.5</f>
        <v>220.18348623853211</v>
      </c>
      <c r="I196" s="82" t="s">
        <v>675</v>
      </c>
      <c r="J196" s="287">
        <v>12</v>
      </c>
      <c r="K196" s="102"/>
      <c r="L196" s="297"/>
      <c r="M196" s="82"/>
      <c r="N196" s="287"/>
      <c r="O196" s="82"/>
      <c r="P196" s="287"/>
      <c r="Q196" s="82"/>
      <c r="R196" s="287"/>
      <c r="S196" s="82"/>
      <c r="T196" s="287"/>
      <c r="U196" s="82"/>
      <c r="V196" s="287"/>
      <c r="W196" s="82"/>
      <c r="X196" s="287"/>
      <c r="Y196" s="82"/>
      <c r="Z196" s="287"/>
      <c r="AA196" s="82"/>
      <c r="AB196" s="287"/>
      <c r="AC196" s="82"/>
      <c r="AD196" s="287"/>
      <c r="AE196" s="82"/>
      <c r="AF196" s="287"/>
      <c r="AG196" s="82"/>
      <c r="AH196" s="287"/>
      <c r="AI196" s="82"/>
      <c r="AJ196" s="287"/>
      <c r="AK196" s="82"/>
      <c r="AL196" s="287"/>
      <c r="AM196" s="82"/>
      <c r="AN196" s="287"/>
      <c r="AO196" s="82"/>
      <c r="AP196" s="287"/>
      <c r="AQ196" s="82"/>
      <c r="AR196" s="287"/>
      <c r="AS196" s="82"/>
      <c r="AT196" s="287"/>
      <c r="AU196" s="82"/>
      <c r="AV196" s="50">
        <f>IFERROR(VLOOKUP(A196,'Site check'!A:Q,14,0),0)</f>
        <v>0</v>
      </c>
    </row>
    <row r="197" spans="1:48">
      <c r="A197" s="35" t="s">
        <v>213</v>
      </c>
      <c r="B197" s="97"/>
      <c r="C197" s="4"/>
      <c r="D197" s="4"/>
      <c r="E197" s="4"/>
      <c r="F197" s="4"/>
      <c r="G197" s="257">
        <f t="shared" si="10"/>
        <v>0</v>
      </c>
      <c r="H197" s="140">
        <f t="shared" si="11"/>
        <v>0</v>
      </c>
      <c r="I197" s="82"/>
      <c r="J197" s="287"/>
      <c r="K197" s="82"/>
      <c r="L197" s="287"/>
      <c r="M197" s="82"/>
      <c r="N197" s="287"/>
      <c r="O197" s="82"/>
      <c r="P197" s="287"/>
      <c r="Q197" s="82"/>
      <c r="R197" s="287"/>
      <c r="S197" s="82"/>
      <c r="T197" s="287"/>
      <c r="U197" s="82"/>
      <c r="V197" s="287"/>
      <c r="W197" s="82"/>
      <c r="X197" s="287"/>
      <c r="Y197" s="82"/>
      <c r="Z197" s="287"/>
      <c r="AA197" s="82"/>
      <c r="AB197" s="287"/>
      <c r="AC197" s="82"/>
      <c r="AD197" s="287"/>
      <c r="AE197" s="82"/>
      <c r="AF197" s="287"/>
      <c r="AG197" s="82"/>
      <c r="AH197" s="287"/>
      <c r="AI197" s="82"/>
      <c r="AJ197" s="287"/>
      <c r="AK197" s="82"/>
      <c r="AL197" s="287"/>
      <c r="AM197" s="82"/>
      <c r="AN197" s="287"/>
      <c r="AO197" s="82"/>
      <c r="AP197" s="287"/>
      <c r="AQ197" s="82"/>
      <c r="AR197" s="287"/>
      <c r="AS197" s="82"/>
      <c r="AT197" s="287"/>
      <c r="AU197" s="82"/>
      <c r="AV197" s="50">
        <f>IFERROR(VLOOKUP(A197,'Site check'!A:Q,14,0),0)</f>
        <v>0</v>
      </c>
    </row>
    <row r="198" spans="1:48">
      <c r="A198" s="35" t="s">
        <v>214</v>
      </c>
      <c r="B198" s="97"/>
      <c r="C198" s="4"/>
      <c r="D198" s="4"/>
      <c r="E198" s="4"/>
      <c r="F198" s="4"/>
      <c r="G198" s="257">
        <f t="shared" si="10"/>
        <v>0</v>
      </c>
      <c r="H198" s="140">
        <f t="shared" si="11"/>
        <v>0</v>
      </c>
      <c r="I198" s="82"/>
      <c r="J198" s="287"/>
      <c r="K198" s="82"/>
      <c r="L198" s="287"/>
      <c r="M198" s="82"/>
      <c r="N198" s="287"/>
      <c r="O198" s="82"/>
      <c r="P198" s="287"/>
      <c r="Q198" s="82"/>
      <c r="R198" s="287"/>
      <c r="S198" s="82"/>
      <c r="T198" s="287"/>
      <c r="U198" s="82"/>
      <c r="V198" s="287"/>
      <c r="W198" s="82"/>
      <c r="X198" s="287"/>
      <c r="Y198" s="82"/>
      <c r="Z198" s="287"/>
      <c r="AA198" s="82"/>
      <c r="AB198" s="287"/>
      <c r="AC198" s="82"/>
      <c r="AD198" s="287"/>
      <c r="AE198" s="82"/>
      <c r="AF198" s="287"/>
      <c r="AG198" s="82"/>
      <c r="AH198" s="287"/>
      <c r="AI198" s="82"/>
      <c r="AJ198" s="287"/>
      <c r="AK198" s="82"/>
      <c r="AL198" s="287"/>
      <c r="AM198" s="82"/>
      <c r="AN198" s="287"/>
      <c r="AO198" s="82"/>
      <c r="AP198" s="287"/>
      <c r="AQ198" s="82"/>
      <c r="AR198" s="287"/>
      <c r="AS198" s="82"/>
      <c r="AT198" s="287"/>
      <c r="AU198" s="82"/>
      <c r="AV198" s="50">
        <f>IFERROR(VLOOKUP(A198,'Site check'!A:Q,14,0),0)</f>
        <v>0</v>
      </c>
    </row>
    <row r="199" spans="1:48">
      <c r="A199" s="35" t="s">
        <v>215</v>
      </c>
      <c r="B199" s="97"/>
      <c r="C199" s="4"/>
      <c r="D199" s="4"/>
      <c r="E199" s="4"/>
      <c r="F199" s="4"/>
      <c r="G199" s="257">
        <f t="shared" si="10"/>
        <v>0</v>
      </c>
      <c r="H199" s="140">
        <f t="shared" si="11"/>
        <v>0</v>
      </c>
      <c r="I199" s="82"/>
      <c r="J199" s="287"/>
      <c r="K199" s="82"/>
      <c r="L199" s="287"/>
      <c r="M199" s="82"/>
      <c r="N199" s="287"/>
      <c r="O199" s="82"/>
      <c r="P199" s="287"/>
      <c r="Q199" s="82"/>
      <c r="R199" s="287"/>
      <c r="S199" s="82"/>
      <c r="T199" s="287"/>
      <c r="U199" s="82"/>
      <c r="V199" s="287"/>
      <c r="W199" s="82"/>
      <c r="X199" s="287"/>
      <c r="Y199" s="82"/>
      <c r="Z199" s="287"/>
      <c r="AA199" s="82"/>
      <c r="AB199" s="287"/>
      <c r="AC199" s="82"/>
      <c r="AD199" s="287"/>
      <c r="AE199" s="82"/>
      <c r="AF199" s="287"/>
      <c r="AG199" s="82"/>
      <c r="AH199" s="287"/>
      <c r="AI199" s="82"/>
      <c r="AJ199" s="287"/>
      <c r="AK199" s="82"/>
      <c r="AL199" s="287"/>
      <c r="AM199" s="82"/>
      <c r="AN199" s="287"/>
      <c r="AO199" s="82"/>
      <c r="AP199" s="287"/>
      <c r="AQ199" s="82"/>
      <c r="AR199" s="287"/>
      <c r="AS199" s="82"/>
      <c r="AT199" s="287"/>
      <c r="AU199" s="82"/>
      <c r="AV199" s="50">
        <f>IFERROR(VLOOKUP(A199,'Site check'!A:Q,14,0),0)</f>
        <v>0</v>
      </c>
    </row>
    <row r="200" spans="1:48">
      <c r="A200" s="35" t="s">
        <v>216</v>
      </c>
      <c r="B200" s="97"/>
      <c r="C200" s="4"/>
      <c r="D200" s="4"/>
      <c r="E200" s="4"/>
      <c r="F200" s="4"/>
      <c r="G200" s="257">
        <f t="shared" si="10"/>
        <v>0</v>
      </c>
      <c r="H200" s="140">
        <f t="shared" si="11"/>
        <v>0</v>
      </c>
      <c r="I200" s="82"/>
      <c r="J200" s="287"/>
      <c r="K200" s="82"/>
      <c r="L200" s="287"/>
      <c r="M200" s="82"/>
      <c r="N200" s="287"/>
      <c r="O200" s="82"/>
      <c r="P200" s="287"/>
      <c r="Q200" s="82"/>
      <c r="R200" s="287"/>
      <c r="S200" s="82"/>
      <c r="T200" s="287"/>
      <c r="U200" s="82"/>
      <c r="V200" s="287"/>
      <c r="W200" s="82"/>
      <c r="X200" s="287"/>
      <c r="Y200" s="82"/>
      <c r="Z200" s="287"/>
      <c r="AA200" s="82"/>
      <c r="AB200" s="287"/>
      <c r="AC200" s="82"/>
      <c r="AD200" s="287"/>
      <c r="AE200" s="82"/>
      <c r="AF200" s="287"/>
      <c r="AG200" s="82"/>
      <c r="AH200" s="287"/>
      <c r="AI200" s="82"/>
      <c r="AJ200" s="287"/>
      <c r="AK200" s="82"/>
      <c r="AL200" s="287"/>
      <c r="AM200" s="82"/>
      <c r="AN200" s="287"/>
      <c r="AO200" s="82"/>
      <c r="AP200" s="287"/>
      <c r="AQ200" s="82"/>
      <c r="AR200" s="287"/>
      <c r="AS200" s="82"/>
      <c r="AT200" s="287"/>
      <c r="AU200" s="82"/>
      <c r="AV200" s="50">
        <f>IFERROR(VLOOKUP(A200,'Site check'!A:Q,14,0),0)</f>
        <v>0</v>
      </c>
    </row>
    <row r="201" spans="1:48">
      <c r="A201" s="40" t="s">
        <v>217</v>
      </c>
      <c r="B201" s="4"/>
      <c r="C201" s="4"/>
      <c r="D201" s="4"/>
      <c r="E201" s="4"/>
      <c r="F201" s="4"/>
      <c r="G201" s="257">
        <f t="shared" si="10"/>
        <v>36.5</v>
      </c>
      <c r="H201" s="140">
        <f t="shared" si="11"/>
        <v>669.72477064220186</v>
      </c>
      <c r="I201" s="82" t="s">
        <v>676</v>
      </c>
      <c r="J201" s="287">
        <v>12</v>
      </c>
      <c r="K201" s="82" t="s">
        <v>677</v>
      </c>
      <c r="L201" s="287">
        <v>3</v>
      </c>
      <c r="M201" s="82" t="s">
        <v>678</v>
      </c>
      <c r="N201" s="287">
        <v>0.5</v>
      </c>
      <c r="O201" s="82" t="s">
        <v>679</v>
      </c>
      <c r="P201" s="287">
        <v>4</v>
      </c>
      <c r="Q201" s="266" t="s">
        <v>680</v>
      </c>
      <c r="R201" s="291">
        <v>2</v>
      </c>
      <c r="S201" s="109"/>
      <c r="T201" s="298"/>
      <c r="U201" s="262" t="s">
        <v>681</v>
      </c>
      <c r="V201" s="298">
        <v>6</v>
      </c>
      <c r="W201" s="109" t="s">
        <v>682</v>
      </c>
      <c r="X201" s="298">
        <v>3</v>
      </c>
      <c r="Y201" s="86" t="s">
        <v>683</v>
      </c>
      <c r="Z201" s="288">
        <v>3</v>
      </c>
      <c r="AA201" s="86" t="s">
        <v>684</v>
      </c>
      <c r="AB201" s="288">
        <v>3</v>
      </c>
      <c r="AC201" s="82"/>
      <c r="AD201" s="287"/>
      <c r="AE201" s="82"/>
      <c r="AF201" s="287"/>
      <c r="AG201" s="82"/>
      <c r="AH201" s="287"/>
      <c r="AI201" s="82"/>
      <c r="AJ201" s="287"/>
      <c r="AK201" s="82"/>
      <c r="AL201" s="287"/>
      <c r="AM201" s="82"/>
      <c r="AN201" s="287"/>
      <c r="AO201" s="82"/>
      <c r="AP201" s="287"/>
      <c r="AQ201" s="82"/>
      <c r="AR201" s="287"/>
      <c r="AS201" s="82"/>
      <c r="AT201" s="287"/>
      <c r="AU201" s="82"/>
      <c r="AV201" s="50">
        <f>IFERROR(VLOOKUP(A201,'Site check'!A:Q,14,0),0)</f>
        <v>0</v>
      </c>
    </row>
    <row r="202" spans="1:48">
      <c r="A202" s="40" t="s">
        <v>218</v>
      </c>
      <c r="B202" s="24" t="s">
        <v>17</v>
      </c>
      <c r="C202" s="30" t="s">
        <v>18</v>
      </c>
      <c r="D202" s="30" t="s">
        <v>19</v>
      </c>
      <c r="E202" s="4"/>
      <c r="F202" s="30" t="s">
        <v>319</v>
      </c>
      <c r="G202" s="257">
        <f t="shared" si="10"/>
        <v>13.4</v>
      </c>
      <c r="H202" s="140">
        <f t="shared" si="11"/>
        <v>245.87155963302752</v>
      </c>
      <c r="I202" s="82" t="s">
        <v>685</v>
      </c>
      <c r="J202" s="287">
        <v>2.4</v>
      </c>
      <c r="K202" s="82" t="s">
        <v>686</v>
      </c>
      <c r="L202" s="287">
        <v>0.9</v>
      </c>
      <c r="M202" s="82" t="s">
        <v>687</v>
      </c>
      <c r="N202" s="287">
        <v>2.2000000000000002</v>
      </c>
      <c r="O202" s="82" t="s">
        <v>688</v>
      </c>
      <c r="P202" s="287">
        <v>3.2</v>
      </c>
      <c r="Q202" s="82" t="s">
        <v>689</v>
      </c>
      <c r="R202" s="287">
        <v>1.3</v>
      </c>
      <c r="S202" s="82" t="s">
        <v>690</v>
      </c>
      <c r="T202" s="287">
        <v>3.4</v>
      </c>
      <c r="U202" s="82"/>
      <c r="V202" s="287"/>
      <c r="W202" s="82"/>
      <c r="X202" s="287"/>
      <c r="Y202" s="82"/>
      <c r="Z202" s="287"/>
      <c r="AA202" s="82"/>
      <c r="AB202" s="287"/>
      <c r="AC202" s="82"/>
      <c r="AD202" s="287"/>
      <c r="AE202" s="82"/>
      <c r="AF202" s="287"/>
      <c r="AG202" s="82"/>
      <c r="AH202" s="287"/>
      <c r="AI202" s="82"/>
      <c r="AJ202" s="287"/>
      <c r="AK202" s="82"/>
      <c r="AL202" s="287"/>
      <c r="AM202" s="82"/>
      <c r="AN202" s="287"/>
      <c r="AO202" s="82"/>
      <c r="AP202" s="287"/>
      <c r="AQ202" s="82"/>
      <c r="AR202" s="287"/>
      <c r="AS202" s="82"/>
      <c r="AT202" s="287"/>
      <c r="AU202" s="82"/>
      <c r="AV202" s="50">
        <f>IFERROR(VLOOKUP(A202,'Site check'!A:Q,14,0),0)</f>
        <v>0</v>
      </c>
    </row>
    <row r="203" spans="1:48">
      <c r="A203" s="35" t="s">
        <v>219</v>
      </c>
      <c r="B203" s="97"/>
      <c r="C203" s="4"/>
      <c r="D203" s="4"/>
      <c r="E203" s="4"/>
      <c r="F203" s="4"/>
      <c r="G203" s="257">
        <f t="shared" si="10"/>
        <v>0</v>
      </c>
      <c r="H203" s="140">
        <f t="shared" si="11"/>
        <v>0</v>
      </c>
      <c r="I203" s="82"/>
      <c r="J203" s="287"/>
      <c r="K203" s="82"/>
      <c r="L203" s="287"/>
      <c r="M203" s="82"/>
      <c r="N203" s="287"/>
      <c r="O203" s="82"/>
      <c r="P203" s="287"/>
      <c r="Q203" s="82"/>
      <c r="R203" s="287"/>
      <c r="S203" s="82"/>
      <c r="T203" s="287"/>
      <c r="U203" s="82"/>
      <c r="V203" s="287"/>
      <c r="W203" s="82"/>
      <c r="X203" s="287"/>
      <c r="Y203" s="82"/>
      <c r="Z203" s="287"/>
      <c r="AA203" s="82"/>
      <c r="AB203" s="287"/>
      <c r="AC203" s="82"/>
      <c r="AD203" s="287"/>
      <c r="AE203" s="82"/>
      <c r="AF203" s="287"/>
      <c r="AG203" s="82"/>
      <c r="AH203" s="287"/>
      <c r="AI203" s="82"/>
      <c r="AJ203" s="287"/>
      <c r="AK203" s="82"/>
      <c r="AL203" s="287"/>
      <c r="AM203" s="82"/>
      <c r="AN203" s="287"/>
      <c r="AO203" s="82"/>
      <c r="AP203" s="287"/>
      <c r="AQ203" s="82"/>
      <c r="AR203" s="287"/>
      <c r="AS203" s="82"/>
      <c r="AT203" s="287"/>
      <c r="AU203" s="82"/>
      <c r="AV203" s="50">
        <f>IFERROR(VLOOKUP(A203,'Site check'!A:Q,14,0),0)</f>
        <v>0</v>
      </c>
    </row>
    <row r="204" spans="1:48">
      <c r="A204" s="35" t="s">
        <v>220</v>
      </c>
      <c r="B204" s="97"/>
      <c r="C204" s="4"/>
      <c r="D204" s="4"/>
      <c r="E204" s="4"/>
      <c r="F204" s="4"/>
      <c r="G204" s="257">
        <f t="shared" si="10"/>
        <v>5.2</v>
      </c>
      <c r="H204" s="140">
        <f t="shared" si="11"/>
        <v>95.412844036697251</v>
      </c>
      <c r="I204" s="90" t="s">
        <v>415</v>
      </c>
      <c r="J204" s="290">
        <v>1.8</v>
      </c>
      <c r="K204" s="90" t="s">
        <v>521</v>
      </c>
      <c r="L204" s="290">
        <v>2.9</v>
      </c>
      <c r="M204" s="88" t="s">
        <v>448</v>
      </c>
      <c r="N204" s="289">
        <v>0.5</v>
      </c>
      <c r="O204" s="82"/>
      <c r="P204" s="287"/>
      <c r="Q204" s="82"/>
      <c r="R204" s="287"/>
      <c r="S204" s="82"/>
      <c r="T204" s="287"/>
      <c r="U204" s="82"/>
      <c r="V204" s="287"/>
      <c r="W204" s="82"/>
      <c r="X204" s="287"/>
      <c r="Y204" s="82"/>
      <c r="Z204" s="287"/>
      <c r="AA204" s="82"/>
      <c r="AB204" s="287"/>
      <c r="AC204" s="82"/>
      <c r="AD204" s="287"/>
      <c r="AE204" s="82"/>
      <c r="AF204" s="287"/>
      <c r="AG204" s="82"/>
      <c r="AH204" s="287"/>
      <c r="AI204" s="82"/>
      <c r="AJ204" s="287"/>
      <c r="AK204" s="82"/>
      <c r="AL204" s="287"/>
      <c r="AM204" s="82"/>
      <c r="AN204" s="287"/>
      <c r="AO204" s="82"/>
      <c r="AP204" s="287"/>
      <c r="AQ204" s="82"/>
      <c r="AR204" s="287"/>
      <c r="AS204" s="82"/>
      <c r="AT204" s="287"/>
      <c r="AU204" s="82"/>
      <c r="AV204" s="50">
        <f>IFERROR(VLOOKUP(A204,'Site check'!A:Q,14,0),0)</f>
        <v>0</v>
      </c>
    </row>
    <row r="205" spans="1:48">
      <c r="A205" s="35" t="s">
        <v>221</v>
      </c>
      <c r="B205" s="97"/>
      <c r="C205" s="4"/>
      <c r="D205" s="4"/>
      <c r="E205" s="4"/>
      <c r="F205" s="4"/>
      <c r="G205" s="257">
        <f t="shared" si="10"/>
        <v>0.25</v>
      </c>
      <c r="H205" s="140">
        <f t="shared" si="11"/>
        <v>4.5871559633027523</v>
      </c>
      <c r="I205" s="266" t="s">
        <v>691</v>
      </c>
      <c r="J205" s="291">
        <v>0.25</v>
      </c>
      <c r="K205" s="82"/>
      <c r="L205" s="287"/>
      <c r="M205" s="82"/>
      <c r="N205" s="287"/>
      <c r="O205" s="82"/>
      <c r="P205" s="287"/>
      <c r="Q205" s="82"/>
      <c r="R205" s="287"/>
      <c r="S205" s="82"/>
      <c r="T205" s="287"/>
      <c r="U205" s="82"/>
      <c r="V205" s="287"/>
      <c r="W205" s="82"/>
      <c r="X205" s="287"/>
      <c r="Y205" s="82"/>
      <c r="Z205" s="287"/>
      <c r="AA205" s="82"/>
      <c r="AB205" s="287"/>
      <c r="AC205" s="82"/>
      <c r="AD205" s="287"/>
      <c r="AE205" s="82"/>
      <c r="AF205" s="287"/>
      <c r="AG205" s="82"/>
      <c r="AH205" s="287"/>
      <c r="AI205" s="82"/>
      <c r="AJ205" s="287"/>
      <c r="AK205" s="82"/>
      <c r="AL205" s="287"/>
      <c r="AM205" s="82"/>
      <c r="AN205" s="287"/>
      <c r="AO205" s="82"/>
      <c r="AP205" s="287"/>
      <c r="AQ205" s="82"/>
      <c r="AR205" s="287"/>
      <c r="AS205" s="82"/>
      <c r="AT205" s="287"/>
      <c r="AU205" s="82"/>
      <c r="AV205" s="50">
        <f>IFERROR(VLOOKUP(A205,'Site check'!A:Q,14,0),0)</f>
        <v>0</v>
      </c>
    </row>
    <row r="206" spans="1:48">
      <c r="A206" s="35" t="s">
        <v>222</v>
      </c>
      <c r="B206" s="97"/>
      <c r="C206" s="30" t="s">
        <v>18</v>
      </c>
      <c r="D206" s="4"/>
      <c r="E206" s="4"/>
      <c r="F206" s="4"/>
      <c r="G206" s="257">
        <f t="shared" ref="G206:G252" si="14">SUM(J206,L206,N206,P206,R206,T206,V206,X206,Z206,AB206,AD206,AF206,AH206,AJ206,AL206,AN206,AP206,AR206,AT206,AV206)</f>
        <v>7.2</v>
      </c>
      <c r="H206" s="140">
        <f t="shared" si="11"/>
        <v>132.11009174311926</v>
      </c>
      <c r="I206" s="90" t="s">
        <v>692</v>
      </c>
      <c r="J206" s="290">
        <v>1.7</v>
      </c>
      <c r="K206" s="84" t="s">
        <v>693</v>
      </c>
      <c r="L206" s="292">
        <v>5.5</v>
      </c>
      <c r="M206" s="82"/>
      <c r="N206" s="287"/>
      <c r="O206" s="82"/>
      <c r="P206" s="287"/>
      <c r="Q206" s="82"/>
      <c r="R206" s="287"/>
      <c r="S206" s="82"/>
      <c r="T206" s="287"/>
      <c r="U206" s="82"/>
      <c r="V206" s="287"/>
      <c r="W206" s="82"/>
      <c r="X206" s="287"/>
      <c r="Y206" s="82"/>
      <c r="Z206" s="287"/>
      <c r="AA206" s="82"/>
      <c r="AB206" s="287"/>
      <c r="AC206" s="82"/>
      <c r="AD206" s="287"/>
      <c r="AE206" s="82"/>
      <c r="AF206" s="287"/>
      <c r="AG206" s="82"/>
      <c r="AH206" s="287"/>
      <c r="AI206" s="82"/>
      <c r="AJ206" s="287"/>
      <c r="AK206" s="82"/>
      <c r="AL206" s="287"/>
      <c r="AM206" s="82"/>
      <c r="AN206" s="287"/>
      <c r="AO206" s="82"/>
      <c r="AP206" s="287"/>
      <c r="AQ206" s="82"/>
      <c r="AR206" s="287"/>
      <c r="AS206" s="82"/>
      <c r="AT206" s="287"/>
      <c r="AU206" s="82"/>
      <c r="AV206" s="50">
        <f>IFERROR(VLOOKUP(A206,'Site check'!A:Q,14,0),0)</f>
        <v>0</v>
      </c>
    </row>
    <row r="207" spans="1:48">
      <c r="A207" s="35" t="s">
        <v>223</v>
      </c>
      <c r="B207" s="97"/>
      <c r="C207" s="30" t="s">
        <v>18</v>
      </c>
      <c r="D207" s="4"/>
      <c r="E207" s="4"/>
      <c r="F207" s="4"/>
      <c r="G207" s="257">
        <f t="shared" si="14"/>
        <v>3.7</v>
      </c>
      <c r="H207" s="140">
        <f t="shared" ref="H207:H268" si="15">SUM(G207*1000)/54.5</f>
        <v>67.88990825688073</v>
      </c>
      <c r="I207" s="82" t="s">
        <v>694</v>
      </c>
      <c r="J207" s="287">
        <v>1.7</v>
      </c>
      <c r="K207" s="82" t="s">
        <v>695</v>
      </c>
      <c r="L207" s="287">
        <v>1</v>
      </c>
      <c r="M207" s="266" t="s">
        <v>696</v>
      </c>
      <c r="N207" s="291">
        <v>1</v>
      </c>
      <c r="O207" s="82"/>
      <c r="P207" s="287"/>
      <c r="Q207" s="82"/>
      <c r="R207" s="287"/>
      <c r="S207" s="82"/>
      <c r="T207" s="287"/>
      <c r="U207" s="82"/>
      <c r="V207" s="287"/>
      <c r="W207" s="82"/>
      <c r="X207" s="287"/>
      <c r="Y207" s="82"/>
      <c r="Z207" s="287"/>
      <c r="AA207" s="82"/>
      <c r="AB207" s="287"/>
      <c r="AC207" s="82"/>
      <c r="AD207" s="287"/>
      <c r="AE207" s="82"/>
      <c r="AF207" s="287"/>
      <c r="AG207" s="82"/>
      <c r="AH207" s="287"/>
      <c r="AI207" s="82"/>
      <c r="AJ207" s="287"/>
      <c r="AK207" s="82"/>
      <c r="AL207" s="287"/>
      <c r="AM207" s="82"/>
      <c r="AN207" s="287"/>
      <c r="AO207" s="82"/>
      <c r="AP207" s="287"/>
      <c r="AQ207" s="82"/>
      <c r="AR207" s="287"/>
      <c r="AS207" s="82"/>
      <c r="AT207" s="287"/>
      <c r="AU207" s="82"/>
      <c r="AV207" s="50">
        <f>IFERROR(VLOOKUP(A207,'Site check'!A:Q,14,0),0)</f>
        <v>0</v>
      </c>
    </row>
    <row r="208" spans="1:48">
      <c r="A208" s="35" t="s">
        <v>224</v>
      </c>
      <c r="B208" s="48"/>
      <c r="C208" s="4"/>
      <c r="D208" s="4"/>
      <c r="E208" s="4"/>
      <c r="F208" s="4"/>
      <c r="G208" s="257">
        <f t="shared" si="14"/>
        <v>3.5</v>
      </c>
      <c r="H208" s="140">
        <f t="shared" si="15"/>
        <v>64.220183486238525</v>
      </c>
      <c r="I208" s="82" t="s">
        <v>697</v>
      </c>
      <c r="J208" s="287">
        <v>0.5</v>
      </c>
      <c r="K208" s="272" t="s">
        <v>559</v>
      </c>
      <c r="L208" s="299">
        <v>2</v>
      </c>
      <c r="M208" s="102" t="s">
        <v>695</v>
      </c>
      <c r="N208" s="297">
        <v>1</v>
      </c>
      <c r="O208" s="84"/>
      <c r="P208" s="292"/>
      <c r="Q208" s="82"/>
      <c r="R208" s="287"/>
      <c r="S208" s="84"/>
      <c r="T208" s="292"/>
      <c r="U208" s="82"/>
      <c r="V208" s="287"/>
      <c r="W208" s="82"/>
      <c r="X208" s="287"/>
      <c r="Y208" s="82"/>
      <c r="Z208" s="287"/>
      <c r="AA208" s="82"/>
      <c r="AB208" s="287"/>
      <c r="AC208" s="82"/>
      <c r="AD208" s="287"/>
      <c r="AE208" s="82"/>
      <c r="AF208" s="287"/>
      <c r="AG208" s="82"/>
      <c r="AH208" s="287"/>
      <c r="AI208" s="82"/>
      <c r="AJ208" s="287"/>
      <c r="AK208" s="82"/>
      <c r="AL208" s="287"/>
      <c r="AM208" s="82"/>
      <c r="AN208" s="287"/>
      <c r="AO208" s="82"/>
      <c r="AP208" s="287"/>
      <c r="AQ208" s="82"/>
      <c r="AR208" s="287"/>
      <c r="AS208" s="82"/>
      <c r="AT208" s="287"/>
      <c r="AU208" s="82"/>
      <c r="AV208" s="50">
        <f>IFERROR(VLOOKUP(A208,'Site check'!A:Q,14,0),0)</f>
        <v>0</v>
      </c>
    </row>
    <row r="209" spans="1:48">
      <c r="A209" s="35" t="s">
        <v>225</v>
      </c>
      <c r="B209" s="97"/>
      <c r="C209" s="4"/>
      <c r="D209" s="4"/>
      <c r="E209" s="4"/>
      <c r="F209" s="4"/>
      <c r="G209" s="257">
        <f t="shared" si="14"/>
        <v>0</v>
      </c>
      <c r="H209" s="140">
        <f t="shared" si="15"/>
        <v>0</v>
      </c>
      <c r="I209" s="82"/>
      <c r="J209" s="287"/>
      <c r="K209" s="82"/>
      <c r="L209" s="287"/>
      <c r="M209" s="82"/>
      <c r="N209" s="287"/>
      <c r="O209" s="82"/>
      <c r="P209" s="287"/>
      <c r="Q209" s="82"/>
      <c r="R209" s="287"/>
      <c r="S209" s="82"/>
      <c r="T209" s="287"/>
      <c r="U209" s="82"/>
      <c r="V209" s="287"/>
      <c r="W209" s="82"/>
      <c r="X209" s="287"/>
      <c r="Y209" s="82"/>
      <c r="Z209" s="287"/>
      <c r="AA209" s="82"/>
      <c r="AB209" s="287"/>
      <c r="AC209" s="82"/>
      <c r="AD209" s="287"/>
      <c r="AE209" s="82"/>
      <c r="AF209" s="287"/>
      <c r="AG209" s="82"/>
      <c r="AH209" s="287"/>
      <c r="AI209" s="82"/>
      <c r="AJ209" s="287"/>
      <c r="AK209" s="82"/>
      <c r="AL209" s="287"/>
      <c r="AM209" s="82"/>
      <c r="AN209" s="287"/>
      <c r="AO209" s="82"/>
      <c r="AP209" s="287"/>
      <c r="AQ209" s="82"/>
      <c r="AR209" s="287"/>
      <c r="AS209" s="82"/>
      <c r="AT209" s="287"/>
      <c r="AU209" s="82"/>
      <c r="AV209" s="50">
        <f>IFERROR(VLOOKUP(A209,'Site check'!A:Q,14,0),0)</f>
        <v>0</v>
      </c>
    </row>
    <row r="210" spans="1:48">
      <c r="A210" s="35" t="s">
        <v>226</v>
      </c>
      <c r="B210" s="97"/>
      <c r="C210" s="4"/>
      <c r="D210" s="4"/>
      <c r="E210" s="4"/>
      <c r="F210" s="4"/>
      <c r="G210" s="257">
        <f t="shared" si="14"/>
        <v>0</v>
      </c>
      <c r="H210" s="140">
        <f t="shared" si="15"/>
        <v>0</v>
      </c>
      <c r="I210" s="82"/>
      <c r="J210" s="287"/>
      <c r="K210" s="82"/>
      <c r="L210" s="287"/>
      <c r="M210" s="82"/>
      <c r="N210" s="287"/>
      <c r="O210" s="82"/>
      <c r="P210" s="287"/>
      <c r="Q210" s="82"/>
      <c r="R210" s="287"/>
      <c r="S210" s="82"/>
      <c r="T210" s="287"/>
      <c r="U210" s="82"/>
      <c r="V210" s="287"/>
      <c r="W210" s="82"/>
      <c r="X210" s="287"/>
      <c r="Y210" s="82"/>
      <c r="Z210" s="287"/>
      <c r="AA210" s="82"/>
      <c r="AB210" s="287"/>
      <c r="AC210" s="82"/>
      <c r="AD210" s="287"/>
      <c r="AE210" s="82"/>
      <c r="AF210" s="287"/>
      <c r="AG210" s="82"/>
      <c r="AH210" s="287"/>
      <c r="AI210" s="82"/>
      <c r="AJ210" s="287"/>
      <c r="AK210" s="82"/>
      <c r="AL210" s="287"/>
      <c r="AM210" s="82"/>
      <c r="AN210" s="287"/>
      <c r="AO210" s="82"/>
      <c r="AP210" s="287"/>
      <c r="AQ210" s="82"/>
      <c r="AR210" s="287"/>
      <c r="AS210" s="82"/>
      <c r="AT210" s="287"/>
      <c r="AU210" s="82"/>
      <c r="AV210" s="50">
        <f>IFERROR(VLOOKUP(A210,'Site check'!A:Q,14,0),0)</f>
        <v>0</v>
      </c>
    </row>
    <row r="211" spans="1:48">
      <c r="A211" s="35" t="s">
        <v>227</v>
      </c>
      <c r="B211" s="97"/>
      <c r="C211" s="4"/>
      <c r="D211" s="4"/>
      <c r="E211" s="4"/>
      <c r="F211" s="4"/>
      <c r="G211" s="257">
        <f t="shared" si="14"/>
        <v>2</v>
      </c>
      <c r="H211" s="140">
        <f t="shared" si="15"/>
        <v>36.697247706422019</v>
      </c>
      <c r="I211" s="82" t="s">
        <v>698</v>
      </c>
      <c r="J211" s="287">
        <v>1</v>
      </c>
      <c r="K211" s="269" t="s">
        <v>699</v>
      </c>
      <c r="L211" s="291">
        <v>1</v>
      </c>
      <c r="M211" s="82"/>
      <c r="N211" s="287"/>
      <c r="O211" s="82"/>
      <c r="P211" s="287"/>
      <c r="Q211" s="82"/>
      <c r="R211" s="287"/>
      <c r="S211" s="82"/>
      <c r="T211" s="287"/>
      <c r="U211" s="82"/>
      <c r="V211" s="287"/>
      <c r="W211" s="82"/>
      <c r="X211" s="287"/>
      <c r="Y211" s="82"/>
      <c r="Z211" s="287"/>
      <c r="AA211" s="82"/>
      <c r="AB211" s="287"/>
      <c r="AC211" s="82"/>
      <c r="AD211" s="287"/>
      <c r="AE211" s="82"/>
      <c r="AF211" s="287"/>
      <c r="AG211" s="82"/>
      <c r="AH211" s="287"/>
      <c r="AI211" s="82"/>
      <c r="AJ211" s="287"/>
      <c r="AK211" s="82"/>
      <c r="AL211" s="287"/>
      <c r="AM211" s="82"/>
      <c r="AN211" s="287"/>
      <c r="AO211" s="82"/>
      <c r="AP211" s="287"/>
      <c r="AQ211" s="82"/>
      <c r="AR211" s="287"/>
      <c r="AS211" s="82"/>
      <c r="AT211" s="287"/>
      <c r="AU211" s="82"/>
      <c r="AV211" s="50">
        <f>IFERROR(VLOOKUP(A211,'Site check'!A:Q,14,0),0)</f>
        <v>0</v>
      </c>
    </row>
    <row r="212" spans="1:48">
      <c r="A212" s="35" t="s">
        <v>228</v>
      </c>
      <c r="B212" s="97"/>
      <c r="C212" s="4"/>
      <c r="D212" s="4"/>
      <c r="E212" s="4"/>
      <c r="F212" s="4"/>
      <c r="G212" s="257">
        <f t="shared" si="14"/>
        <v>2</v>
      </c>
      <c r="H212" s="140">
        <f t="shared" si="15"/>
        <v>36.697247706422019</v>
      </c>
      <c r="I212" s="266" t="s">
        <v>700</v>
      </c>
      <c r="J212" s="291">
        <v>1</v>
      </c>
      <c r="K212" s="88" t="s">
        <v>701</v>
      </c>
      <c r="L212" s="289">
        <v>1</v>
      </c>
      <c r="M212" s="82"/>
      <c r="N212" s="287"/>
      <c r="O212" s="82"/>
      <c r="P212" s="287"/>
      <c r="Q212" s="82"/>
      <c r="R212" s="287"/>
      <c r="S212" s="82"/>
      <c r="T212" s="287"/>
      <c r="U212" s="82"/>
      <c r="V212" s="287"/>
      <c r="W212" s="82"/>
      <c r="X212" s="287"/>
      <c r="Y212" s="82"/>
      <c r="Z212" s="287"/>
      <c r="AA212" s="82"/>
      <c r="AB212" s="287"/>
      <c r="AC212" s="82"/>
      <c r="AD212" s="287"/>
      <c r="AE212" s="82"/>
      <c r="AF212" s="287"/>
      <c r="AG212" s="82"/>
      <c r="AH212" s="287"/>
      <c r="AI212" s="82"/>
      <c r="AJ212" s="287"/>
      <c r="AK212" s="82"/>
      <c r="AL212" s="287"/>
      <c r="AM212" s="82"/>
      <c r="AN212" s="287"/>
      <c r="AO212" s="82"/>
      <c r="AP212" s="287"/>
      <c r="AQ212" s="82"/>
      <c r="AR212" s="287"/>
      <c r="AS212" s="82"/>
      <c r="AT212" s="287"/>
      <c r="AU212" s="82"/>
      <c r="AV212" s="50">
        <f>IFERROR(VLOOKUP(A212,'Site check'!A:Q,14,0),0)</f>
        <v>0</v>
      </c>
    </row>
    <row r="213" spans="1:48">
      <c r="A213" s="35" t="s">
        <v>229</v>
      </c>
      <c r="B213" s="97"/>
      <c r="C213" s="4"/>
      <c r="D213" s="4"/>
      <c r="E213" s="4"/>
      <c r="F213" s="4"/>
      <c r="G213" s="257">
        <f t="shared" si="14"/>
        <v>1</v>
      </c>
      <c r="H213" s="140">
        <f t="shared" si="15"/>
        <v>18.348623853211009</v>
      </c>
      <c r="I213" s="266" t="s">
        <v>702</v>
      </c>
      <c r="J213" s="291">
        <v>1</v>
      </c>
      <c r="K213" s="88"/>
      <c r="L213" s="289"/>
      <c r="M213" s="82"/>
      <c r="N213" s="287"/>
      <c r="O213" s="82"/>
      <c r="P213" s="287"/>
      <c r="Q213" s="82"/>
      <c r="R213" s="287"/>
      <c r="S213" s="82"/>
      <c r="T213" s="287"/>
      <c r="U213" s="82"/>
      <c r="V213" s="287"/>
      <c r="W213" s="82"/>
      <c r="X213" s="287"/>
      <c r="Y213" s="82"/>
      <c r="Z213" s="287"/>
      <c r="AA213" s="82"/>
      <c r="AB213" s="287"/>
      <c r="AC213" s="82"/>
      <c r="AD213" s="287"/>
      <c r="AE213" s="82"/>
      <c r="AF213" s="287"/>
      <c r="AG213" s="82"/>
      <c r="AH213" s="287"/>
      <c r="AI213" s="82"/>
      <c r="AJ213" s="287"/>
      <c r="AK213" s="82"/>
      <c r="AL213" s="287"/>
      <c r="AM213" s="82"/>
      <c r="AN213" s="287"/>
      <c r="AO213" s="82"/>
      <c r="AP213" s="287"/>
      <c r="AQ213" s="82"/>
      <c r="AR213" s="287"/>
      <c r="AS213" s="82"/>
      <c r="AT213" s="287"/>
      <c r="AU213" s="82"/>
      <c r="AV213" s="50">
        <f>IFERROR(VLOOKUP(A213,'Site check'!A:Q,14,0),0)</f>
        <v>0</v>
      </c>
    </row>
    <row r="214" spans="1:48">
      <c r="A214" s="40" t="s">
        <v>230</v>
      </c>
      <c r="B214" s="97"/>
      <c r="C214" s="4"/>
      <c r="D214" s="4"/>
      <c r="E214" s="4"/>
      <c r="F214" s="4"/>
      <c r="G214" s="257">
        <f t="shared" si="14"/>
        <v>4</v>
      </c>
      <c r="H214" s="140">
        <f t="shared" si="15"/>
        <v>73.394495412844037</v>
      </c>
      <c r="I214" s="266" t="s">
        <v>703</v>
      </c>
      <c r="J214" s="289">
        <v>2</v>
      </c>
      <c r="K214" s="266" t="s">
        <v>704</v>
      </c>
      <c r="L214" s="289">
        <v>2</v>
      </c>
      <c r="M214" s="82"/>
      <c r="N214" s="287"/>
      <c r="O214" s="82"/>
      <c r="P214" s="287"/>
      <c r="Q214" s="82"/>
      <c r="R214" s="287"/>
      <c r="S214" s="82"/>
      <c r="T214" s="287"/>
      <c r="U214" s="82"/>
      <c r="V214" s="287"/>
      <c r="W214" s="82"/>
      <c r="X214" s="287"/>
      <c r="Y214" s="82"/>
      <c r="Z214" s="287"/>
      <c r="AA214" s="82"/>
      <c r="AB214" s="287"/>
      <c r="AC214" s="82"/>
      <c r="AD214" s="287"/>
      <c r="AE214" s="82"/>
      <c r="AF214" s="287"/>
      <c r="AG214" s="82"/>
      <c r="AH214" s="287"/>
      <c r="AI214" s="82"/>
      <c r="AJ214" s="287"/>
      <c r="AK214" s="82"/>
      <c r="AL214" s="287"/>
      <c r="AM214" s="82"/>
      <c r="AN214" s="287"/>
      <c r="AO214" s="82"/>
      <c r="AP214" s="287"/>
      <c r="AQ214" s="82"/>
      <c r="AR214" s="287"/>
      <c r="AS214" s="82"/>
      <c r="AT214" s="287"/>
      <c r="AU214" s="82"/>
      <c r="AV214" s="50">
        <f>IFERROR(VLOOKUP(A214,'Site check'!A:Q,14,0),0)</f>
        <v>0</v>
      </c>
    </row>
    <row r="215" spans="1:48">
      <c r="A215" s="40" t="s">
        <v>231</v>
      </c>
      <c r="B215" s="97"/>
      <c r="C215" s="4"/>
      <c r="D215" s="4"/>
      <c r="E215" s="4"/>
      <c r="F215" s="4"/>
      <c r="G215" s="257">
        <f t="shared" si="14"/>
        <v>0</v>
      </c>
      <c r="H215" s="140">
        <f t="shared" si="15"/>
        <v>0</v>
      </c>
      <c r="I215" s="82"/>
      <c r="J215" s="287"/>
      <c r="K215" s="82"/>
      <c r="L215" s="287"/>
      <c r="M215" s="82"/>
      <c r="N215" s="287"/>
      <c r="O215" s="82"/>
      <c r="P215" s="287"/>
      <c r="Q215" s="82"/>
      <c r="R215" s="287"/>
      <c r="S215" s="82"/>
      <c r="T215" s="287"/>
      <c r="U215" s="82"/>
      <c r="V215" s="287"/>
      <c r="W215" s="82"/>
      <c r="X215" s="287"/>
      <c r="Y215" s="82"/>
      <c r="Z215" s="287"/>
      <c r="AA215" s="82"/>
      <c r="AB215" s="287"/>
      <c r="AC215" s="82"/>
      <c r="AD215" s="287"/>
      <c r="AE215" s="82"/>
      <c r="AF215" s="287"/>
      <c r="AG215" s="82"/>
      <c r="AH215" s="287"/>
      <c r="AI215" s="82"/>
      <c r="AJ215" s="287"/>
      <c r="AK215" s="82"/>
      <c r="AL215" s="287"/>
      <c r="AM215" s="82"/>
      <c r="AN215" s="287"/>
      <c r="AO215" s="82"/>
      <c r="AP215" s="287"/>
      <c r="AQ215" s="82"/>
      <c r="AR215" s="287"/>
      <c r="AS215" s="82"/>
      <c r="AT215" s="287"/>
      <c r="AU215" s="82"/>
      <c r="AV215" s="50">
        <f>IFERROR(VLOOKUP(A215,'Site check'!A:Q,14,0),0)</f>
        <v>0</v>
      </c>
    </row>
    <row r="216" spans="1:48">
      <c r="A216" s="40" t="s">
        <v>232</v>
      </c>
      <c r="B216" s="97"/>
      <c r="C216" s="4"/>
      <c r="D216" s="4"/>
      <c r="E216" s="4"/>
      <c r="F216" s="4"/>
      <c r="G216" s="257">
        <f>SUM(J216,L216,N216,P216,R216,T216,V216,X216,Z216,AB216,AD216,AF216,AH216,AJ216,AL216,AN216,AP216,AR216,AT216,AV216)</f>
        <v>0</v>
      </c>
      <c r="H216" s="140">
        <f t="shared" si="15"/>
        <v>0</v>
      </c>
      <c r="I216" s="82"/>
      <c r="J216" s="287"/>
      <c r="K216" s="82"/>
      <c r="L216" s="287"/>
      <c r="M216" s="82"/>
      <c r="N216" s="287"/>
      <c r="O216" s="82"/>
      <c r="P216" s="287"/>
      <c r="Q216" s="82"/>
      <c r="R216" s="287"/>
      <c r="S216" s="82"/>
      <c r="T216" s="287"/>
      <c r="U216" s="82"/>
      <c r="V216" s="287"/>
      <c r="W216" s="82"/>
      <c r="X216" s="287"/>
      <c r="Y216" s="82"/>
      <c r="Z216" s="287"/>
      <c r="AA216" s="82"/>
      <c r="AB216" s="287"/>
      <c r="AC216" s="82"/>
      <c r="AD216" s="287"/>
      <c r="AE216" s="82"/>
      <c r="AF216" s="287"/>
      <c r="AG216" s="82"/>
      <c r="AH216" s="287"/>
      <c r="AI216" s="82"/>
      <c r="AJ216" s="287"/>
      <c r="AK216" s="82"/>
      <c r="AL216" s="287"/>
      <c r="AM216" s="82"/>
      <c r="AN216" s="287"/>
      <c r="AO216" s="82"/>
      <c r="AP216" s="287"/>
      <c r="AQ216" s="82"/>
      <c r="AR216" s="287"/>
      <c r="AS216" s="82"/>
      <c r="AT216" s="287"/>
      <c r="AU216" s="82"/>
      <c r="AV216" s="50">
        <f>IFERROR(VLOOKUP(A216,'Site check'!A:Q,14,0),0)</f>
        <v>0</v>
      </c>
    </row>
    <row r="217" spans="1:48">
      <c r="A217" s="37" t="s">
        <v>233</v>
      </c>
      <c r="B217" s="24" t="s">
        <v>17</v>
      </c>
      <c r="C217" s="4"/>
      <c r="D217" s="4"/>
      <c r="E217" s="4"/>
      <c r="F217" s="4"/>
      <c r="G217" s="257">
        <f>SUM(J217,L217,N217,P217,R217,T217,V217,X217,Z217,AB217,AD217,AF217,AH217,AJ217,AL217,AN217,AP217,AR217,AT217,AV217)</f>
        <v>15.05</v>
      </c>
      <c r="H217" s="140">
        <f t="shared" si="15"/>
        <v>276.14678899082571</v>
      </c>
      <c r="I217" s="82" t="s">
        <v>705</v>
      </c>
      <c r="J217" s="287">
        <v>1.6</v>
      </c>
      <c r="K217" s="82" t="s">
        <v>706</v>
      </c>
      <c r="L217" s="287">
        <v>0.4</v>
      </c>
      <c r="M217" s="82" t="s">
        <v>707</v>
      </c>
      <c r="N217" s="287">
        <v>1.6</v>
      </c>
      <c r="O217" s="82" t="s">
        <v>708</v>
      </c>
      <c r="P217" s="287">
        <v>1.3</v>
      </c>
      <c r="Q217" s="82" t="s">
        <v>709</v>
      </c>
      <c r="R217" s="287">
        <v>1.4</v>
      </c>
      <c r="S217" s="82" t="s">
        <v>710</v>
      </c>
      <c r="T217" s="287">
        <v>1.3</v>
      </c>
      <c r="U217" s="90" t="s">
        <v>711</v>
      </c>
      <c r="V217" s="290">
        <v>0.6</v>
      </c>
      <c r="W217" s="82"/>
      <c r="X217" s="290"/>
      <c r="Y217" s="269" t="s">
        <v>712</v>
      </c>
      <c r="Z217" s="299">
        <v>2</v>
      </c>
      <c r="AA217" s="88" t="s">
        <v>713</v>
      </c>
      <c r="AB217" s="289">
        <v>3.25</v>
      </c>
      <c r="AC217" s="88" t="s">
        <v>714</v>
      </c>
      <c r="AD217" s="289">
        <v>1.6</v>
      </c>
      <c r="AE217" s="102"/>
      <c r="AF217" s="329"/>
      <c r="AG217" s="82"/>
      <c r="AH217" s="287"/>
      <c r="AI217" s="82"/>
      <c r="AJ217" s="287"/>
      <c r="AK217" s="82"/>
      <c r="AL217" s="287"/>
      <c r="AM217" s="82"/>
      <c r="AN217" s="287"/>
      <c r="AO217" s="82"/>
      <c r="AP217" s="287"/>
      <c r="AQ217" s="82"/>
      <c r="AR217" s="287"/>
      <c r="AS217" s="82"/>
      <c r="AT217" s="287"/>
      <c r="AU217" s="82"/>
      <c r="AV217" s="50">
        <f>IFERROR(VLOOKUP(A217,'Site check'!A:Q,14,0),0)</f>
        <v>0</v>
      </c>
    </row>
    <row r="218" spans="1:48">
      <c r="A218" s="37" t="s">
        <v>234</v>
      </c>
      <c r="B218" s="24" t="s">
        <v>17</v>
      </c>
      <c r="C218" s="30" t="s">
        <v>18</v>
      </c>
      <c r="D218" s="30" t="s">
        <v>19</v>
      </c>
      <c r="E218" s="4"/>
      <c r="F218" s="30" t="s">
        <v>319</v>
      </c>
      <c r="G218" s="257">
        <f t="shared" si="14"/>
        <v>14.549999999999999</v>
      </c>
      <c r="H218" s="140">
        <f t="shared" si="15"/>
        <v>266.97247706422013</v>
      </c>
      <c r="I218" s="82" t="s">
        <v>705</v>
      </c>
      <c r="J218" s="287">
        <v>0.9</v>
      </c>
      <c r="K218" s="82" t="s">
        <v>706</v>
      </c>
      <c r="L218" s="287">
        <v>0.5</v>
      </c>
      <c r="M218" s="82" t="s">
        <v>707</v>
      </c>
      <c r="N218" s="287">
        <v>1.7</v>
      </c>
      <c r="O218" s="82" t="s">
        <v>708</v>
      </c>
      <c r="P218" s="287">
        <v>1.3</v>
      </c>
      <c r="Q218" s="82" t="s">
        <v>709</v>
      </c>
      <c r="R218" s="287">
        <v>1.4</v>
      </c>
      <c r="S218" s="82" t="s">
        <v>710</v>
      </c>
      <c r="T218" s="287">
        <v>1.2</v>
      </c>
      <c r="U218" s="90" t="s">
        <v>711</v>
      </c>
      <c r="V218" s="290">
        <v>0.7</v>
      </c>
      <c r="W218" s="82"/>
      <c r="X218" s="290"/>
      <c r="Y218" s="269" t="s">
        <v>712</v>
      </c>
      <c r="Z218" s="299">
        <v>2</v>
      </c>
      <c r="AA218" s="88" t="s">
        <v>713</v>
      </c>
      <c r="AB218" s="289">
        <v>3.25</v>
      </c>
      <c r="AC218" s="88" t="s">
        <v>714</v>
      </c>
      <c r="AD218" s="289">
        <v>1.6</v>
      </c>
      <c r="AE218" s="102"/>
      <c r="AF218" s="329"/>
      <c r="AG218" s="82"/>
      <c r="AH218" s="287"/>
      <c r="AI218" s="82"/>
      <c r="AJ218" s="287"/>
      <c r="AK218" s="82"/>
      <c r="AL218" s="287"/>
      <c r="AM218" s="82"/>
      <c r="AN218" s="287"/>
      <c r="AO218" s="82"/>
      <c r="AP218" s="287"/>
      <c r="AQ218" s="82"/>
      <c r="AR218" s="287"/>
      <c r="AS218" s="82"/>
      <c r="AT218" s="287"/>
      <c r="AU218" s="82"/>
      <c r="AV218" s="50">
        <f>IFERROR(VLOOKUP(A218,'Site check'!A:Q,14,0),0)</f>
        <v>0</v>
      </c>
    </row>
    <row r="219" spans="1:48">
      <c r="A219" s="40" t="s">
        <v>235</v>
      </c>
      <c r="B219" s="24" t="s">
        <v>17</v>
      </c>
      <c r="C219" s="4"/>
      <c r="D219" s="4"/>
      <c r="E219" s="4"/>
      <c r="F219" s="4"/>
      <c r="G219" s="257">
        <f t="shared" si="14"/>
        <v>1</v>
      </c>
      <c r="H219" s="140">
        <f t="shared" si="15"/>
        <v>18.348623853211009</v>
      </c>
      <c r="I219" s="266" t="s">
        <v>715</v>
      </c>
      <c r="J219" s="291">
        <v>1</v>
      </c>
      <c r="K219" s="86"/>
      <c r="L219" s="288"/>
      <c r="M219" s="82"/>
      <c r="N219" s="287"/>
      <c r="O219" s="82"/>
      <c r="P219" s="287"/>
      <c r="Q219" s="82"/>
      <c r="R219" s="287"/>
      <c r="S219" s="82"/>
      <c r="T219" s="287"/>
      <c r="U219" s="82"/>
      <c r="V219" s="287"/>
      <c r="W219" s="82"/>
      <c r="X219" s="287"/>
      <c r="Y219" s="82"/>
      <c r="Z219" s="287"/>
      <c r="AA219" s="82"/>
      <c r="AB219" s="287"/>
      <c r="AC219" s="82"/>
      <c r="AD219" s="287"/>
      <c r="AE219" s="82"/>
      <c r="AF219" s="287"/>
      <c r="AG219" s="82"/>
      <c r="AH219" s="287"/>
      <c r="AI219" s="82"/>
      <c r="AJ219" s="287"/>
      <c r="AK219" s="82"/>
      <c r="AL219" s="287"/>
      <c r="AM219" s="82"/>
      <c r="AN219" s="287"/>
      <c r="AO219" s="82"/>
      <c r="AP219" s="287"/>
      <c r="AQ219" s="82"/>
      <c r="AR219" s="287"/>
      <c r="AS219" s="82"/>
      <c r="AT219" s="287"/>
      <c r="AU219" s="82"/>
      <c r="AV219" s="50">
        <f>IFERROR(VLOOKUP(A219,'Site check'!A:Q,14,0),0)</f>
        <v>0</v>
      </c>
    </row>
    <row r="220" spans="1:48">
      <c r="A220" s="40" t="s">
        <v>236</v>
      </c>
      <c r="B220" s="24" t="s">
        <v>17</v>
      </c>
      <c r="C220" s="4"/>
      <c r="D220" s="4"/>
      <c r="E220" s="4"/>
      <c r="F220" s="4"/>
      <c r="G220" s="257">
        <f t="shared" si="14"/>
        <v>5</v>
      </c>
      <c r="H220" s="140">
        <f t="shared" si="15"/>
        <v>91.743119266055047</v>
      </c>
      <c r="I220" s="88" t="s">
        <v>716</v>
      </c>
      <c r="J220" s="289">
        <v>2.5</v>
      </c>
      <c r="K220" s="88" t="s">
        <v>717</v>
      </c>
      <c r="L220" s="289">
        <v>2.5</v>
      </c>
      <c r="M220" s="82"/>
      <c r="N220" s="287"/>
      <c r="O220" s="82"/>
      <c r="P220" s="287"/>
      <c r="Q220" s="82"/>
      <c r="R220" s="287"/>
      <c r="S220" s="82"/>
      <c r="T220" s="287"/>
      <c r="U220" s="82"/>
      <c r="V220" s="287"/>
      <c r="W220" s="82"/>
      <c r="X220" s="287"/>
      <c r="Y220" s="82"/>
      <c r="Z220" s="287"/>
      <c r="AA220" s="82"/>
      <c r="AB220" s="287"/>
      <c r="AC220" s="82"/>
      <c r="AD220" s="287"/>
      <c r="AE220" s="82"/>
      <c r="AF220" s="287"/>
      <c r="AG220" s="82"/>
      <c r="AH220" s="287"/>
      <c r="AI220" s="82"/>
      <c r="AJ220" s="287"/>
      <c r="AK220" s="82"/>
      <c r="AL220" s="287"/>
      <c r="AM220" s="82"/>
      <c r="AN220" s="287"/>
      <c r="AO220" s="82"/>
      <c r="AP220" s="287"/>
      <c r="AQ220" s="82"/>
      <c r="AR220" s="287"/>
      <c r="AS220" s="82"/>
      <c r="AT220" s="287"/>
      <c r="AU220" s="82"/>
      <c r="AV220" s="50">
        <f>IFERROR(VLOOKUP(A220,'Site check'!A:Q,14,0),0)</f>
        <v>0</v>
      </c>
    </row>
    <row r="221" spans="1:48">
      <c r="A221" s="35" t="s">
        <v>237</v>
      </c>
      <c r="B221" s="97"/>
      <c r="C221" s="4"/>
      <c r="D221" s="4"/>
      <c r="E221" s="4"/>
      <c r="F221" s="4"/>
      <c r="G221" s="257">
        <f t="shared" si="14"/>
        <v>0</v>
      </c>
      <c r="H221" s="140">
        <f t="shared" si="15"/>
        <v>0</v>
      </c>
      <c r="I221" s="82"/>
      <c r="J221" s="287"/>
      <c r="K221" s="82"/>
      <c r="L221" s="287"/>
      <c r="M221" s="82"/>
      <c r="N221" s="287"/>
      <c r="O221" s="82"/>
      <c r="P221" s="287"/>
      <c r="Q221" s="82"/>
      <c r="R221" s="287"/>
      <c r="S221" s="82"/>
      <c r="T221" s="287"/>
      <c r="U221" s="82"/>
      <c r="V221" s="287"/>
      <c r="W221" s="82"/>
      <c r="X221" s="287"/>
      <c r="Y221" s="82"/>
      <c r="Z221" s="287"/>
      <c r="AA221" s="82"/>
      <c r="AB221" s="287"/>
      <c r="AC221" s="82"/>
      <c r="AD221" s="287"/>
      <c r="AE221" s="82"/>
      <c r="AF221" s="287"/>
      <c r="AG221" s="82"/>
      <c r="AH221" s="287"/>
      <c r="AI221" s="82"/>
      <c r="AJ221" s="287"/>
      <c r="AK221" s="82"/>
      <c r="AL221" s="287"/>
      <c r="AM221" s="82"/>
      <c r="AN221" s="287"/>
      <c r="AO221" s="82"/>
      <c r="AP221" s="287"/>
      <c r="AQ221" s="82"/>
      <c r="AR221" s="287"/>
      <c r="AS221" s="82"/>
      <c r="AT221" s="287"/>
      <c r="AU221" s="82"/>
      <c r="AV221" s="50">
        <f>IFERROR(VLOOKUP(A221,'Site check'!A:Q,14,0),0)</f>
        <v>0</v>
      </c>
    </row>
    <row r="222" spans="1:48">
      <c r="A222" s="35" t="s">
        <v>238</v>
      </c>
      <c r="B222" s="97"/>
      <c r="C222" s="4"/>
      <c r="D222" s="4"/>
      <c r="E222" s="4"/>
      <c r="F222" s="4"/>
      <c r="G222" s="257">
        <f t="shared" si="14"/>
        <v>3</v>
      </c>
      <c r="H222" s="140">
        <f t="shared" si="15"/>
        <v>55.045871559633028</v>
      </c>
      <c r="I222" s="82" t="s">
        <v>718</v>
      </c>
      <c r="J222" s="287">
        <v>3</v>
      </c>
      <c r="K222" s="82"/>
      <c r="L222" s="287"/>
      <c r="M222" s="82"/>
      <c r="N222" s="287"/>
      <c r="O222" s="82"/>
      <c r="P222" s="287"/>
      <c r="Q222" s="82"/>
      <c r="R222" s="287"/>
      <c r="S222" s="82"/>
      <c r="T222" s="287"/>
      <c r="U222" s="82"/>
      <c r="V222" s="287"/>
      <c r="W222" s="82"/>
      <c r="X222" s="287"/>
      <c r="Y222" s="82"/>
      <c r="Z222" s="287"/>
      <c r="AA222" s="82"/>
      <c r="AB222" s="287"/>
      <c r="AC222" s="82"/>
      <c r="AD222" s="287"/>
      <c r="AE222" s="82"/>
      <c r="AF222" s="287"/>
      <c r="AG222" s="82"/>
      <c r="AH222" s="287"/>
      <c r="AI222" s="82"/>
      <c r="AJ222" s="287"/>
      <c r="AK222" s="82"/>
      <c r="AL222" s="287"/>
      <c r="AM222" s="82"/>
      <c r="AN222" s="287"/>
      <c r="AO222" s="82"/>
      <c r="AP222" s="287"/>
      <c r="AQ222" s="82"/>
      <c r="AR222" s="287"/>
      <c r="AS222" s="82"/>
      <c r="AT222" s="287"/>
      <c r="AU222" s="82"/>
      <c r="AV222" s="50">
        <f>IFERROR(VLOOKUP(A222,'Site check'!A:Q,14,0),0)</f>
        <v>0</v>
      </c>
    </row>
    <row r="223" spans="1:48">
      <c r="A223" s="35" t="s">
        <v>239</v>
      </c>
      <c r="B223" s="97"/>
      <c r="C223" s="30" t="s">
        <v>18</v>
      </c>
      <c r="D223" s="4"/>
      <c r="E223" s="4"/>
      <c r="F223" s="4"/>
      <c r="G223" s="257">
        <f t="shared" si="14"/>
        <v>3.4</v>
      </c>
      <c r="H223" s="140">
        <f t="shared" si="15"/>
        <v>62.38532110091743</v>
      </c>
      <c r="I223" s="82" t="s">
        <v>719</v>
      </c>
      <c r="J223" s="287">
        <v>2.4</v>
      </c>
      <c r="K223" s="84" t="s">
        <v>720</v>
      </c>
      <c r="L223" s="292">
        <v>1</v>
      </c>
      <c r="M223" s="82"/>
      <c r="N223" s="287"/>
      <c r="O223" s="82"/>
      <c r="P223" s="287"/>
      <c r="Q223" s="82"/>
      <c r="R223" s="287"/>
      <c r="S223" s="82"/>
      <c r="T223" s="287"/>
      <c r="U223" s="82"/>
      <c r="V223" s="287"/>
      <c r="W223" s="82"/>
      <c r="X223" s="287"/>
      <c r="Y223" s="82"/>
      <c r="Z223" s="287"/>
      <c r="AA223" s="82"/>
      <c r="AB223" s="287"/>
      <c r="AC223" s="82"/>
      <c r="AD223" s="287"/>
      <c r="AE223" s="82"/>
      <c r="AF223" s="287"/>
      <c r="AG223" s="82"/>
      <c r="AH223" s="287"/>
      <c r="AI223" s="82"/>
      <c r="AJ223" s="287"/>
      <c r="AK223" s="82"/>
      <c r="AL223" s="287"/>
      <c r="AM223" s="82"/>
      <c r="AN223" s="287"/>
      <c r="AO223" s="82"/>
      <c r="AP223" s="287"/>
      <c r="AQ223" s="82"/>
      <c r="AR223" s="287"/>
      <c r="AS223" s="82"/>
      <c r="AT223" s="287"/>
      <c r="AU223" s="82"/>
      <c r="AV223" s="50">
        <f>IFERROR(VLOOKUP(A223,'Site check'!A:Q,14,0),0)</f>
        <v>0</v>
      </c>
    </row>
    <row r="224" spans="1:48">
      <c r="A224" s="35" t="s">
        <v>240</v>
      </c>
      <c r="B224" s="97"/>
      <c r="C224" s="4"/>
      <c r="D224" s="4"/>
      <c r="E224" s="4"/>
      <c r="F224" s="4"/>
      <c r="G224" s="257">
        <f t="shared" si="14"/>
        <v>3</v>
      </c>
      <c r="H224" s="140">
        <f t="shared" si="15"/>
        <v>55.045871559633028</v>
      </c>
      <c r="I224" s="88" t="s">
        <v>721</v>
      </c>
      <c r="J224" s="289">
        <v>1</v>
      </c>
      <c r="K224" s="86" t="s">
        <v>722</v>
      </c>
      <c r="L224" s="288">
        <v>2</v>
      </c>
      <c r="M224" s="82"/>
      <c r="N224" s="287"/>
      <c r="O224" s="82"/>
      <c r="P224" s="287"/>
      <c r="Q224" s="82"/>
      <c r="R224" s="287"/>
      <c r="S224" s="82"/>
      <c r="T224" s="287"/>
      <c r="U224" s="82"/>
      <c r="V224" s="287"/>
      <c r="W224" s="82"/>
      <c r="X224" s="287"/>
      <c r="Y224" s="82"/>
      <c r="Z224" s="287"/>
      <c r="AA224" s="82"/>
      <c r="AB224" s="287"/>
      <c r="AC224" s="82"/>
      <c r="AD224" s="287"/>
      <c r="AE224" s="82"/>
      <c r="AF224" s="287"/>
      <c r="AG224" s="82"/>
      <c r="AH224" s="287"/>
      <c r="AI224" s="82"/>
      <c r="AJ224" s="287"/>
      <c r="AK224" s="82"/>
      <c r="AL224" s="287"/>
      <c r="AM224" s="82"/>
      <c r="AN224" s="287"/>
      <c r="AO224" s="82"/>
      <c r="AP224" s="287"/>
      <c r="AQ224" s="82"/>
      <c r="AR224" s="287"/>
      <c r="AS224" s="82"/>
      <c r="AT224" s="287"/>
      <c r="AU224" s="82"/>
      <c r="AV224" s="50">
        <f>IFERROR(VLOOKUP(A224,'Site check'!A:Q,14,0),0)</f>
        <v>0</v>
      </c>
    </row>
    <row r="225" spans="1:48">
      <c r="A225" s="40" t="s">
        <v>241</v>
      </c>
      <c r="B225" s="97"/>
      <c r="C225" s="4"/>
      <c r="D225" s="4"/>
      <c r="E225" s="4"/>
      <c r="F225" s="4"/>
      <c r="G225" s="257">
        <f t="shared" si="14"/>
        <v>1.1000000000000001</v>
      </c>
      <c r="H225" s="140">
        <f t="shared" si="15"/>
        <v>20.183486238532112</v>
      </c>
      <c r="I225" s="84" t="s">
        <v>723</v>
      </c>
      <c r="J225" s="292">
        <v>1.1000000000000001</v>
      </c>
      <c r="K225" s="82"/>
      <c r="L225" s="287"/>
      <c r="M225" s="82"/>
      <c r="N225" s="287"/>
      <c r="O225" s="82"/>
      <c r="P225" s="287"/>
      <c r="Q225" s="82"/>
      <c r="R225" s="287"/>
      <c r="S225" s="82"/>
      <c r="T225" s="287"/>
      <c r="U225" s="82"/>
      <c r="V225" s="287"/>
      <c r="W225" s="82"/>
      <c r="X225" s="287"/>
      <c r="Y225" s="82"/>
      <c r="Z225" s="287"/>
      <c r="AA225" s="82"/>
      <c r="AB225" s="287"/>
      <c r="AC225" s="82"/>
      <c r="AD225" s="287"/>
      <c r="AE225" s="82"/>
      <c r="AF225" s="287"/>
      <c r="AG225" s="82"/>
      <c r="AH225" s="287"/>
      <c r="AI225" s="82"/>
      <c r="AJ225" s="287"/>
      <c r="AK225" s="82"/>
      <c r="AL225" s="287"/>
      <c r="AM225" s="82"/>
      <c r="AN225" s="287"/>
      <c r="AO225" s="82"/>
      <c r="AP225" s="287"/>
      <c r="AQ225" s="82"/>
      <c r="AR225" s="287"/>
      <c r="AS225" s="82"/>
      <c r="AT225" s="287"/>
      <c r="AU225" s="82"/>
      <c r="AV225" s="50">
        <f>IFERROR(VLOOKUP(A225,'Site check'!A:Q,14,0),0)</f>
        <v>0</v>
      </c>
    </row>
    <row r="226" spans="1:48">
      <c r="A226" s="40" t="s">
        <v>242</v>
      </c>
      <c r="B226" s="97"/>
      <c r="C226" s="4"/>
      <c r="D226" s="4"/>
      <c r="E226" s="4"/>
      <c r="F226" s="4"/>
      <c r="G226" s="257">
        <f t="shared" si="14"/>
        <v>1.1000000000000001</v>
      </c>
      <c r="H226" s="140">
        <f t="shared" si="15"/>
        <v>20.183486238532112</v>
      </c>
      <c r="I226" s="84" t="s">
        <v>723</v>
      </c>
      <c r="J226" s="292">
        <v>1.1000000000000001</v>
      </c>
      <c r="K226" s="82"/>
      <c r="L226" s="287"/>
      <c r="M226" s="82"/>
      <c r="N226" s="287"/>
      <c r="O226" s="82"/>
      <c r="P226" s="287"/>
      <c r="Q226" s="82"/>
      <c r="R226" s="287"/>
      <c r="S226" s="82"/>
      <c r="T226" s="287"/>
      <c r="U226" s="82"/>
      <c r="V226" s="287"/>
      <c r="W226" s="82"/>
      <c r="X226" s="287"/>
      <c r="Y226" s="82"/>
      <c r="Z226" s="287"/>
      <c r="AA226" s="82"/>
      <c r="AB226" s="287"/>
      <c r="AC226" s="82"/>
      <c r="AD226" s="287"/>
      <c r="AE226" s="82"/>
      <c r="AF226" s="287"/>
      <c r="AG226" s="82"/>
      <c r="AH226" s="287"/>
      <c r="AI226" s="82"/>
      <c r="AJ226" s="287"/>
      <c r="AK226" s="82"/>
      <c r="AL226" s="287"/>
      <c r="AM226" s="82"/>
      <c r="AN226" s="287"/>
      <c r="AO226" s="82"/>
      <c r="AP226" s="287"/>
      <c r="AQ226" s="82"/>
      <c r="AR226" s="287"/>
      <c r="AS226" s="82"/>
      <c r="AT226" s="287"/>
      <c r="AU226" s="82"/>
      <c r="AV226" s="50">
        <f>IFERROR(VLOOKUP(A226,'Site check'!A:Q,14,0),0)</f>
        <v>0</v>
      </c>
    </row>
    <row r="227" spans="1:48">
      <c r="A227" s="40" t="s">
        <v>243</v>
      </c>
      <c r="B227" s="97"/>
      <c r="C227" s="4"/>
      <c r="D227" s="4"/>
      <c r="E227" s="4"/>
      <c r="F227" s="4"/>
      <c r="G227" s="257">
        <f t="shared" si="14"/>
        <v>0</v>
      </c>
      <c r="H227" s="140">
        <f t="shared" si="15"/>
        <v>0</v>
      </c>
      <c r="I227" s="82"/>
      <c r="J227" s="287"/>
      <c r="K227" s="82"/>
      <c r="L227" s="287"/>
      <c r="M227" s="82"/>
      <c r="N227" s="287"/>
      <c r="O227" s="82"/>
      <c r="P227" s="287"/>
      <c r="Q227" s="82"/>
      <c r="R227" s="287"/>
      <c r="S227" s="82"/>
      <c r="T227" s="287"/>
      <c r="U227" s="82"/>
      <c r="V227" s="287"/>
      <c r="W227" s="82"/>
      <c r="X227" s="287"/>
      <c r="Y227" s="82"/>
      <c r="Z227" s="287"/>
      <c r="AA227" s="82"/>
      <c r="AB227" s="287"/>
      <c r="AC227" s="82"/>
      <c r="AD227" s="287"/>
      <c r="AE227" s="82"/>
      <c r="AF227" s="287"/>
      <c r="AG227" s="82"/>
      <c r="AH227" s="287"/>
      <c r="AI227" s="82"/>
      <c r="AJ227" s="287"/>
      <c r="AK227" s="82"/>
      <c r="AL227" s="287"/>
      <c r="AM227" s="82"/>
      <c r="AN227" s="287"/>
      <c r="AO227" s="82"/>
      <c r="AP227" s="287"/>
      <c r="AQ227" s="82"/>
      <c r="AR227" s="287"/>
      <c r="AS227" s="82"/>
      <c r="AT227" s="287"/>
      <c r="AU227" s="82"/>
      <c r="AV227" s="50">
        <f>IFERROR(VLOOKUP(A227,'Site check'!A:Q,14,0),0)</f>
        <v>0</v>
      </c>
    </row>
    <row r="228" spans="1:48">
      <c r="A228" s="40" t="s">
        <v>244</v>
      </c>
      <c r="B228" s="97"/>
      <c r="C228" s="4"/>
      <c r="D228" s="4"/>
      <c r="E228" s="4"/>
      <c r="F228" s="4"/>
      <c r="G228" s="257">
        <f t="shared" si="14"/>
        <v>0</v>
      </c>
      <c r="H228" s="140">
        <f t="shared" si="15"/>
        <v>0</v>
      </c>
      <c r="I228" s="82"/>
      <c r="J228" s="287"/>
      <c r="K228" s="82"/>
      <c r="L228" s="287"/>
      <c r="M228" s="82"/>
      <c r="N228" s="287"/>
      <c r="O228" s="82"/>
      <c r="P228" s="287"/>
      <c r="Q228" s="82"/>
      <c r="R228" s="287"/>
      <c r="S228" s="82"/>
      <c r="T228" s="287"/>
      <c r="U228" s="82"/>
      <c r="V228" s="287"/>
      <c r="W228" s="82"/>
      <c r="X228" s="287"/>
      <c r="Y228" s="82"/>
      <c r="Z228" s="287"/>
      <c r="AA228" s="82"/>
      <c r="AB228" s="287"/>
      <c r="AC228" s="82"/>
      <c r="AD228" s="287"/>
      <c r="AE228" s="82"/>
      <c r="AF228" s="287"/>
      <c r="AG228" s="82"/>
      <c r="AH228" s="287"/>
      <c r="AI228" s="82"/>
      <c r="AJ228" s="287"/>
      <c r="AK228" s="82"/>
      <c r="AL228" s="287"/>
      <c r="AM228" s="82"/>
      <c r="AN228" s="287"/>
      <c r="AO228" s="82"/>
      <c r="AP228" s="287"/>
      <c r="AQ228" s="82"/>
      <c r="AR228" s="287"/>
      <c r="AS228" s="82"/>
      <c r="AT228" s="287"/>
      <c r="AU228" s="82"/>
      <c r="AV228" s="50">
        <f>IFERROR(VLOOKUP(A228,'Site check'!A:Q,14,0),0)</f>
        <v>0</v>
      </c>
    </row>
    <row r="229" spans="1:48">
      <c r="A229" s="35" t="s">
        <v>245</v>
      </c>
      <c r="B229" s="97"/>
      <c r="C229" s="4"/>
      <c r="D229" s="4"/>
      <c r="E229" s="4"/>
      <c r="F229" s="4"/>
      <c r="G229" s="257">
        <f t="shared" si="14"/>
        <v>0</v>
      </c>
      <c r="H229" s="140">
        <f t="shared" si="15"/>
        <v>0</v>
      </c>
      <c r="I229" s="82"/>
      <c r="J229" s="287"/>
      <c r="K229" s="82"/>
      <c r="L229" s="287"/>
      <c r="M229" s="82"/>
      <c r="N229" s="287"/>
      <c r="O229" s="82"/>
      <c r="P229" s="287"/>
      <c r="Q229" s="82"/>
      <c r="R229" s="287"/>
      <c r="S229" s="82"/>
      <c r="T229" s="287"/>
      <c r="U229" s="82"/>
      <c r="V229" s="287"/>
      <c r="W229" s="82"/>
      <c r="X229" s="287"/>
      <c r="Y229" s="82"/>
      <c r="Z229" s="287"/>
      <c r="AA229" s="82"/>
      <c r="AB229" s="287"/>
      <c r="AC229" s="82"/>
      <c r="AD229" s="287"/>
      <c r="AE229" s="82"/>
      <c r="AF229" s="287"/>
      <c r="AG229" s="82"/>
      <c r="AH229" s="287"/>
      <c r="AI229" s="82"/>
      <c r="AJ229" s="287"/>
      <c r="AK229" s="82"/>
      <c r="AL229" s="287"/>
      <c r="AM229" s="82"/>
      <c r="AN229" s="287"/>
      <c r="AO229" s="82"/>
      <c r="AP229" s="287"/>
      <c r="AQ229" s="82"/>
      <c r="AR229" s="287"/>
      <c r="AS229" s="82"/>
      <c r="AT229" s="287"/>
      <c r="AU229" s="82"/>
      <c r="AV229" s="50">
        <f>IFERROR(VLOOKUP(A229,'Site check'!A:Q,14,0),0)</f>
        <v>0</v>
      </c>
    </row>
    <row r="230" spans="1:48">
      <c r="A230" s="37" t="s">
        <v>246</v>
      </c>
      <c r="B230" s="24" t="s">
        <v>17</v>
      </c>
      <c r="C230" s="4"/>
      <c r="D230" s="30" t="s">
        <v>19</v>
      </c>
      <c r="E230" s="4"/>
      <c r="F230" s="30" t="s">
        <v>319</v>
      </c>
      <c r="G230" s="257">
        <f t="shared" si="14"/>
        <v>8.2050000000000001</v>
      </c>
      <c r="H230" s="140">
        <f t="shared" si="15"/>
        <v>150.55045871559633</v>
      </c>
      <c r="I230" s="82" t="s">
        <v>724</v>
      </c>
      <c r="J230" s="287">
        <v>0.9</v>
      </c>
      <c r="K230" s="82" t="s">
        <v>725</v>
      </c>
      <c r="L230" s="287">
        <v>1.855</v>
      </c>
      <c r="M230" s="82" t="s">
        <v>726</v>
      </c>
      <c r="N230" s="287">
        <v>1.45</v>
      </c>
      <c r="O230" s="82" t="s">
        <v>727</v>
      </c>
      <c r="P230" s="287">
        <v>1.9</v>
      </c>
      <c r="Q230" s="88" t="s">
        <v>728</v>
      </c>
      <c r="R230" s="289">
        <v>2.1</v>
      </c>
      <c r="S230" s="84"/>
      <c r="T230" s="292"/>
      <c r="U230" s="82"/>
      <c r="V230" s="287"/>
      <c r="W230" s="82"/>
      <c r="X230" s="287"/>
      <c r="Y230" s="82"/>
      <c r="Z230" s="287"/>
      <c r="AA230" s="82"/>
      <c r="AB230" s="287"/>
      <c r="AC230" s="82"/>
      <c r="AD230" s="287"/>
      <c r="AE230" s="82"/>
      <c r="AF230" s="287"/>
      <c r="AG230" s="82"/>
      <c r="AH230" s="287"/>
      <c r="AI230" s="82"/>
      <c r="AJ230" s="287"/>
      <c r="AK230" s="82"/>
      <c r="AL230" s="287"/>
      <c r="AM230" s="82"/>
      <c r="AN230" s="287"/>
      <c r="AO230" s="82"/>
      <c r="AP230" s="287"/>
      <c r="AQ230" s="82"/>
      <c r="AR230" s="287"/>
      <c r="AS230" s="82"/>
      <c r="AT230" s="287"/>
      <c r="AU230" s="82"/>
      <c r="AV230" s="50">
        <f>IFERROR(VLOOKUP(A230,'Site check'!A:Q,14,0),0)</f>
        <v>0</v>
      </c>
    </row>
    <row r="231" spans="1:48">
      <c r="A231" s="37" t="s">
        <v>247</v>
      </c>
      <c r="B231" s="4"/>
      <c r="C231" s="4"/>
      <c r="D231" s="4"/>
      <c r="E231" s="4"/>
      <c r="F231" s="4"/>
      <c r="G231" s="257">
        <f t="shared" si="14"/>
        <v>8.2050000000000001</v>
      </c>
      <c r="H231" s="140">
        <f t="shared" si="15"/>
        <v>150.55045871559633</v>
      </c>
      <c r="I231" s="82" t="s">
        <v>724</v>
      </c>
      <c r="J231" s="287">
        <v>0.9</v>
      </c>
      <c r="K231" s="82" t="s">
        <v>725</v>
      </c>
      <c r="L231" s="287">
        <v>1.855</v>
      </c>
      <c r="M231" s="82" t="s">
        <v>726</v>
      </c>
      <c r="N231" s="287">
        <v>1.45</v>
      </c>
      <c r="O231" s="82" t="s">
        <v>727</v>
      </c>
      <c r="P231" s="287">
        <v>1.9</v>
      </c>
      <c r="Q231" s="88" t="s">
        <v>728</v>
      </c>
      <c r="R231" s="289">
        <v>2.1</v>
      </c>
      <c r="S231" s="84"/>
      <c r="T231" s="292"/>
      <c r="U231" s="82"/>
      <c r="V231" s="287"/>
      <c r="W231" s="82"/>
      <c r="X231" s="287"/>
      <c r="Y231" s="82"/>
      <c r="Z231" s="287"/>
      <c r="AA231" s="82"/>
      <c r="AB231" s="287"/>
      <c r="AC231" s="82"/>
      <c r="AD231" s="287"/>
      <c r="AE231" s="82"/>
      <c r="AF231" s="287"/>
      <c r="AG231" s="82"/>
      <c r="AH231" s="287"/>
      <c r="AI231" s="82"/>
      <c r="AJ231" s="287"/>
      <c r="AK231" s="82"/>
      <c r="AL231" s="287"/>
      <c r="AM231" s="82"/>
      <c r="AN231" s="287"/>
      <c r="AO231" s="82"/>
      <c r="AP231" s="287"/>
      <c r="AQ231" s="82"/>
      <c r="AR231" s="287"/>
      <c r="AS231" s="82"/>
      <c r="AT231" s="287"/>
      <c r="AU231" s="82"/>
      <c r="AV231" s="50">
        <f>IFERROR(VLOOKUP(A231,'Site check'!A:Q,14,0),0)</f>
        <v>0</v>
      </c>
    </row>
    <row r="232" spans="1:48">
      <c r="A232" s="35" t="s">
        <v>248</v>
      </c>
      <c r="B232" s="97"/>
      <c r="C232" s="4"/>
      <c r="D232" s="4"/>
      <c r="E232" s="4"/>
      <c r="F232" s="4"/>
      <c r="G232" s="257">
        <f t="shared" si="14"/>
        <v>0</v>
      </c>
      <c r="H232" s="140">
        <f t="shared" si="15"/>
        <v>0</v>
      </c>
      <c r="I232" s="82"/>
      <c r="J232" s="287"/>
      <c r="K232" s="82"/>
      <c r="L232" s="287"/>
      <c r="M232" s="82"/>
      <c r="N232" s="287"/>
      <c r="O232" s="82"/>
      <c r="P232" s="287"/>
      <c r="Q232" s="82"/>
      <c r="R232" s="287"/>
      <c r="S232" s="82"/>
      <c r="T232" s="287"/>
      <c r="U232" s="82"/>
      <c r="V232" s="287"/>
      <c r="W232" s="82"/>
      <c r="X232" s="287"/>
      <c r="Y232" s="82"/>
      <c r="Z232" s="287"/>
      <c r="AA232" s="82"/>
      <c r="AB232" s="287"/>
      <c r="AC232" s="82"/>
      <c r="AD232" s="287"/>
      <c r="AE232" s="82"/>
      <c r="AF232" s="287"/>
      <c r="AG232" s="82"/>
      <c r="AH232" s="287"/>
      <c r="AI232" s="82"/>
      <c r="AJ232" s="287"/>
      <c r="AK232" s="82"/>
      <c r="AL232" s="287"/>
      <c r="AM232" s="82"/>
      <c r="AN232" s="287"/>
      <c r="AO232" s="82"/>
      <c r="AP232" s="287"/>
      <c r="AQ232" s="82"/>
      <c r="AR232" s="287"/>
      <c r="AS232" s="82"/>
      <c r="AT232" s="287"/>
      <c r="AU232" s="82"/>
      <c r="AV232" s="50">
        <f>IFERROR(VLOOKUP(A232,'Site check'!A:Q,14,0),0)</f>
        <v>0</v>
      </c>
    </row>
    <row r="233" spans="1:48">
      <c r="A233" s="99" t="s">
        <v>249</v>
      </c>
      <c r="B233" s="97"/>
      <c r="C233" s="4"/>
      <c r="D233" s="4"/>
      <c r="E233" s="4"/>
      <c r="F233" s="4"/>
      <c r="G233" s="257">
        <f t="shared" si="14"/>
        <v>7.4</v>
      </c>
      <c r="H233" s="140">
        <f t="shared" si="15"/>
        <v>135.77981651376146</v>
      </c>
      <c r="I233" s="82" t="s">
        <v>729</v>
      </c>
      <c r="J233" s="287">
        <v>5.8</v>
      </c>
      <c r="K233" s="86" t="s">
        <v>730</v>
      </c>
      <c r="L233" s="288">
        <v>1.6</v>
      </c>
      <c r="M233" s="82"/>
      <c r="N233" s="287"/>
      <c r="O233" s="82"/>
      <c r="P233" s="287"/>
      <c r="Q233" s="82"/>
      <c r="R233" s="287"/>
      <c r="S233" s="82"/>
      <c r="T233" s="287"/>
      <c r="U233" s="82"/>
      <c r="V233" s="287"/>
      <c r="W233" s="82"/>
      <c r="X233" s="287"/>
      <c r="Y233" s="82"/>
      <c r="Z233" s="287"/>
      <c r="AA233" s="82"/>
      <c r="AB233" s="287"/>
      <c r="AC233" s="82"/>
      <c r="AD233" s="287"/>
      <c r="AE233" s="82"/>
      <c r="AF233" s="287"/>
      <c r="AG233" s="82"/>
      <c r="AH233" s="287"/>
      <c r="AI233" s="82"/>
      <c r="AJ233" s="287"/>
      <c r="AK233" s="82"/>
      <c r="AL233" s="287"/>
      <c r="AM233" s="82"/>
      <c r="AN233" s="287"/>
      <c r="AO233" s="82"/>
      <c r="AP233" s="287"/>
      <c r="AQ233" s="82"/>
      <c r="AR233" s="287"/>
      <c r="AS233" s="82"/>
      <c r="AT233" s="287"/>
      <c r="AU233" s="82"/>
      <c r="AV233" s="50">
        <f>IFERROR(VLOOKUP(A233,'Site check'!A:Q,14,0),0)</f>
        <v>0</v>
      </c>
    </row>
    <row r="234" spans="1:48">
      <c r="A234" s="99" t="s">
        <v>250</v>
      </c>
      <c r="B234" s="97"/>
      <c r="C234" s="4"/>
      <c r="D234" s="4"/>
      <c r="E234" s="4"/>
      <c r="F234" s="4"/>
      <c r="G234" s="257">
        <f t="shared" si="14"/>
        <v>7.7</v>
      </c>
      <c r="H234" s="140">
        <f t="shared" si="15"/>
        <v>141.28440366972478</v>
      </c>
      <c r="I234" s="82" t="s">
        <v>729</v>
      </c>
      <c r="J234" s="287">
        <v>5.9</v>
      </c>
      <c r="K234" s="86" t="s">
        <v>730</v>
      </c>
      <c r="L234" s="288">
        <v>1.8</v>
      </c>
      <c r="M234" s="82"/>
      <c r="N234" s="287"/>
      <c r="O234" s="82"/>
      <c r="P234" s="287"/>
      <c r="Q234" s="82"/>
      <c r="R234" s="287"/>
      <c r="S234" s="82"/>
      <c r="T234" s="287"/>
      <c r="U234" s="82"/>
      <c r="V234" s="287"/>
      <c r="W234" s="82"/>
      <c r="X234" s="287"/>
      <c r="Y234" s="82"/>
      <c r="Z234" s="287"/>
      <c r="AA234" s="82"/>
      <c r="AB234" s="287"/>
      <c r="AC234" s="82"/>
      <c r="AD234" s="287"/>
      <c r="AE234" s="82"/>
      <c r="AF234" s="287"/>
      <c r="AG234" s="82"/>
      <c r="AH234" s="287"/>
      <c r="AI234" s="82"/>
      <c r="AJ234" s="287"/>
      <c r="AK234" s="82"/>
      <c r="AL234" s="287"/>
      <c r="AM234" s="82"/>
      <c r="AN234" s="287"/>
      <c r="AO234" s="82"/>
      <c r="AP234" s="287"/>
      <c r="AQ234" s="82"/>
      <c r="AR234" s="287"/>
      <c r="AS234" s="82"/>
      <c r="AT234" s="287"/>
      <c r="AU234" s="82"/>
      <c r="AV234" s="50">
        <f>IFERROR(VLOOKUP(A234,'Site check'!A:Q,14,0),0)</f>
        <v>0</v>
      </c>
    </row>
    <row r="235" spans="1:48">
      <c r="A235" s="35" t="s">
        <v>251</v>
      </c>
      <c r="B235" s="97"/>
      <c r="C235" s="4"/>
      <c r="D235" s="4"/>
      <c r="E235" s="4"/>
      <c r="F235" s="4"/>
      <c r="G235" s="257">
        <f t="shared" si="14"/>
        <v>0</v>
      </c>
      <c r="H235" s="140">
        <f t="shared" si="15"/>
        <v>0</v>
      </c>
      <c r="I235" s="82"/>
      <c r="J235" s="287"/>
      <c r="K235" s="82"/>
      <c r="L235" s="287"/>
      <c r="M235" s="82"/>
      <c r="N235" s="287"/>
      <c r="O235" s="82"/>
      <c r="P235" s="287"/>
      <c r="Q235" s="82"/>
      <c r="R235" s="287"/>
      <c r="S235" s="82"/>
      <c r="T235" s="287"/>
      <c r="U235" s="82"/>
      <c r="V235" s="287"/>
      <c r="W235" s="82"/>
      <c r="X235" s="287"/>
      <c r="Y235" s="82"/>
      <c r="Z235" s="287"/>
      <c r="AA235" s="82"/>
      <c r="AB235" s="287"/>
      <c r="AC235" s="82"/>
      <c r="AD235" s="287"/>
      <c r="AE235" s="82"/>
      <c r="AF235" s="287"/>
      <c r="AG235" s="82"/>
      <c r="AH235" s="287"/>
      <c r="AI235" s="82"/>
      <c r="AJ235" s="287"/>
      <c r="AK235" s="82"/>
      <c r="AL235" s="287"/>
      <c r="AM235" s="82"/>
      <c r="AN235" s="287"/>
      <c r="AO235" s="82"/>
      <c r="AP235" s="287"/>
      <c r="AQ235" s="82"/>
      <c r="AR235" s="287"/>
      <c r="AS235" s="82"/>
      <c r="AT235" s="287"/>
      <c r="AU235" s="82"/>
      <c r="AV235" s="50">
        <f>IFERROR(VLOOKUP(A235,'Site check'!A:Q,14,0),0)</f>
        <v>0</v>
      </c>
    </row>
    <row r="236" spans="1:48">
      <c r="A236" s="35" t="s">
        <v>252</v>
      </c>
      <c r="B236" s="97"/>
      <c r="C236" s="30" t="s">
        <v>18</v>
      </c>
      <c r="D236" s="4"/>
      <c r="E236" s="4"/>
      <c r="F236" s="4"/>
      <c r="G236" s="257">
        <f t="shared" si="14"/>
        <v>7.4</v>
      </c>
      <c r="H236" s="140">
        <f t="shared" si="15"/>
        <v>135.77981651376146</v>
      </c>
      <c r="I236" s="82" t="s">
        <v>731</v>
      </c>
      <c r="J236" s="287">
        <v>2.4</v>
      </c>
      <c r="K236" s="88" t="s">
        <v>732</v>
      </c>
      <c r="L236" s="289">
        <v>2</v>
      </c>
      <c r="M236" s="269" t="s">
        <v>733</v>
      </c>
      <c r="N236" s="291">
        <v>2</v>
      </c>
      <c r="O236" s="88" t="s">
        <v>734</v>
      </c>
      <c r="P236" s="289">
        <v>1</v>
      </c>
      <c r="Q236" s="84"/>
      <c r="R236" s="292"/>
      <c r="S236" s="82"/>
      <c r="T236" s="287"/>
      <c r="U236" s="82"/>
      <c r="V236" s="287"/>
      <c r="W236" s="82"/>
      <c r="X236" s="287"/>
      <c r="Y236" s="82"/>
      <c r="Z236" s="287"/>
      <c r="AA236" s="82"/>
      <c r="AB236" s="287"/>
      <c r="AC236" s="82"/>
      <c r="AD236" s="287"/>
      <c r="AE236" s="82"/>
      <c r="AF236" s="287"/>
      <c r="AG236" s="82"/>
      <c r="AH236" s="287"/>
      <c r="AI236" s="82"/>
      <c r="AJ236" s="287"/>
      <c r="AK236" s="82"/>
      <c r="AL236" s="287"/>
      <c r="AM236" s="82"/>
      <c r="AN236" s="287"/>
      <c r="AO236" s="82"/>
      <c r="AP236" s="287"/>
      <c r="AQ236" s="82"/>
      <c r="AR236" s="287"/>
      <c r="AS236" s="82"/>
      <c r="AT236" s="287"/>
      <c r="AU236" s="82"/>
      <c r="AV236" s="50">
        <f>IFERROR(VLOOKUP(A236,'Site check'!A:Q,14,0),0)</f>
        <v>0</v>
      </c>
    </row>
    <row r="237" spans="1:48">
      <c r="A237" s="35" t="s">
        <v>253</v>
      </c>
      <c r="B237" s="97"/>
      <c r="C237" s="36"/>
      <c r="D237" s="4"/>
      <c r="E237" s="4"/>
      <c r="F237" s="4"/>
      <c r="G237" s="257">
        <f t="shared" si="14"/>
        <v>0</v>
      </c>
      <c r="H237" s="140">
        <f t="shared" si="15"/>
        <v>0</v>
      </c>
      <c r="I237" s="82"/>
      <c r="J237" s="287"/>
      <c r="K237" s="82"/>
      <c r="L237" s="287"/>
      <c r="M237" s="82"/>
      <c r="N237" s="287"/>
      <c r="O237" s="82"/>
      <c r="P237" s="287"/>
      <c r="Q237" s="82"/>
      <c r="R237" s="287"/>
      <c r="S237" s="82"/>
      <c r="T237" s="287"/>
      <c r="U237" s="82"/>
      <c r="V237" s="287"/>
      <c r="W237" s="82"/>
      <c r="X237" s="287"/>
      <c r="Y237" s="82"/>
      <c r="Z237" s="287"/>
      <c r="AA237" s="82"/>
      <c r="AB237" s="287"/>
      <c r="AC237" s="82"/>
      <c r="AD237" s="287"/>
      <c r="AE237" s="82"/>
      <c r="AF237" s="287"/>
      <c r="AG237" s="82"/>
      <c r="AH237" s="287"/>
      <c r="AI237" s="82"/>
      <c r="AJ237" s="287"/>
      <c r="AK237" s="82"/>
      <c r="AL237" s="287"/>
      <c r="AM237" s="82"/>
      <c r="AN237" s="287"/>
      <c r="AO237" s="82"/>
      <c r="AP237" s="287"/>
      <c r="AQ237" s="82"/>
      <c r="AR237" s="287"/>
      <c r="AS237" s="82"/>
      <c r="AT237" s="287"/>
      <c r="AU237" s="82"/>
      <c r="AV237" s="50">
        <f>IFERROR(VLOOKUP(A237,'Site check'!A:Q,14,0),0)</f>
        <v>0</v>
      </c>
    </row>
    <row r="238" spans="1:48">
      <c r="A238" s="37" t="s">
        <v>254</v>
      </c>
      <c r="B238" s="24" t="s">
        <v>17</v>
      </c>
      <c r="C238" s="30" t="s">
        <v>18</v>
      </c>
      <c r="D238" s="30" t="s">
        <v>19</v>
      </c>
      <c r="E238" s="4"/>
      <c r="F238" s="30" t="s">
        <v>319</v>
      </c>
      <c r="G238" s="257">
        <f t="shared" si="14"/>
        <v>11.950000000000001</v>
      </c>
      <c r="H238" s="140">
        <f t="shared" si="15"/>
        <v>219.26605504587158</v>
      </c>
      <c r="I238" s="82" t="s">
        <v>735</v>
      </c>
      <c r="J238" s="287">
        <v>1.1000000000000001</v>
      </c>
      <c r="K238" s="86" t="s">
        <v>736</v>
      </c>
      <c r="L238" s="287">
        <v>1.25</v>
      </c>
      <c r="M238" s="82" t="s">
        <v>737</v>
      </c>
      <c r="N238" s="287">
        <v>1.55</v>
      </c>
      <c r="O238" s="82" t="s">
        <v>738</v>
      </c>
      <c r="P238" s="287">
        <v>1.1499999999999999</v>
      </c>
      <c r="Q238" s="82" t="s">
        <v>739</v>
      </c>
      <c r="R238" s="287">
        <v>0.3</v>
      </c>
      <c r="S238" s="90" t="s">
        <v>740</v>
      </c>
      <c r="T238" s="290">
        <v>3</v>
      </c>
      <c r="U238" s="86" t="s">
        <v>741</v>
      </c>
      <c r="V238" s="288">
        <v>1.5</v>
      </c>
      <c r="W238" s="86" t="s">
        <v>742</v>
      </c>
      <c r="X238" s="288">
        <v>1.1499999999999999</v>
      </c>
      <c r="Y238" s="86" t="s">
        <v>743</v>
      </c>
      <c r="Z238" s="287">
        <v>0.95</v>
      </c>
      <c r="AA238" s="82"/>
      <c r="AB238" s="287"/>
      <c r="AC238" s="82"/>
      <c r="AD238" s="287"/>
      <c r="AE238" s="82"/>
      <c r="AF238" s="287"/>
      <c r="AG238" s="82"/>
      <c r="AH238" s="287"/>
      <c r="AI238" s="82"/>
      <c r="AJ238" s="287"/>
      <c r="AK238" s="82"/>
      <c r="AL238" s="287"/>
      <c r="AM238" s="82"/>
      <c r="AN238" s="287"/>
      <c r="AO238" s="82"/>
      <c r="AP238" s="287"/>
      <c r="AQ238" s="82"/>
      <c r="AR238" s="287"/>
      <c r="AS238" s="82"/>
      <c r="AT238" s="287"/>
      <c r="AU238" s="82"/>
      <c r="AV238" s="50">
        <f>IFERROR(VLOOKUP(A238,'Site check'!A:Q,14,0),0)</f>
        <v>0</v>
      </c>
    </row>
    <row r="239" spans="1:48">
      <c r="A239" s="37" t="s">
        <v>255</v>
      </c>
      <c r="B239" s="4"/>
      <c r="C239" s="4"/>
      <c r="D239" s="4"/>
      <c r="E239" s="4"/>
      <c r="F239" s="4"/>
      <c r="G239" s="257">
        <f t="shared" si="14"/>
        <v>12.45</v>
      </c>
      <c r="H239" s="140">
        <f t="shared" si="15"/>
        <v>228.44036697247705</v>
      </c>
      <c r="I239" s="90" t="s">
        <v>735</v>
      </c>
      <c r="J239" s="290">
        <v>1.3</v>
      </c>
      <c r="K239" s="86" t="s">
        <v>736</v>
      </c>
      <c r="L239" s="287">
        <v>1.25</v>
      </c>
      <c r="M239" s="82" t="s">
        <v>737</v>
      </c>
      <c r="N239" s="287">
        <v>1.65</v>
      </c>
      <c r="O239" s="82" t="s">
        <v>738</v>
      </c>
      <c r="P239" s="287">
        <v>1.1499999999999999</v>
      </c>
      <c r="Q239" s="82" t="s">
        <v>739</v>
      </c>
      <c r="R239" s="287">
        <v>0.6</v>
      </c>
      <c r="S239" s="90" t="s">
        <v>740</v>
      </c>
      <c r="T239" s="290">
        <v>3</v>
      </c>
      <c r="U239" s="86" t="s">
        <v>741</v>
      </c>
      <c r="V239" s="288">
        <v>1.5</v>
      </c>
      <c r="W239" s="86" t="s">
        <v>742</v>
      </c>
      <c r="X239" s="288">
        <v>1.05</v>
      </c>
      <c r="Y239" s="86" t="s">
        <v>743</v>
      </c>
      <c r="Z239" s="287">
        <v>0.95</v>
      </c>
      <c r="AA239" s="82"/>
      <c r="AB239" s="287"/>
      <c r="AC239" s="82"/>
      <c r="AD239" s="287"/>
      <c r="AE239" s="82"/>
      <c r="AF239" s="287"/>
      <c r="AG239" s="82"/>
      <c r="AH239" s="287"/>
      <c r="AI239" s="82"/>
      <c r="AJ239" s="287"/>
      <c r="AK239" s="82"/>
      <c r="AL239" s="287"/>
      <c r="AM239" s="82"/>
      <c r="AN239" s="287"/>
      <c r="AO239" s="82"/>
      <c r="AP239" s="287"/>
      <c r="AQ239" s="82"/>
      <c r="AR239" s="287"/>
      <c r="AS239" s="82"/>
      <c r="AT239" s="287"/>
      <c r="AU239" s="82"/>
      <c r="AV239" s="50">
        <f>IFERROR(VLOOKUP(A239,'Site check'!A:Q,14,0),0)</f>
        <v>0</v>
      </c>
    </row>
    <row r="240" spans="1:48">
      <c r="A240" s="38" t="s">
        <v>256</v>
      </c>
      <c r="B240" s="97"/>
      <c r="C240" s="4"/>
      <c r="D240" s="4"/>
      <c r="E240" s="4"/>
      <c r="F240" s="4"/>
      <c r="G240" s="257">
        <f t="shared" si="14"/>
        <v>11.83</v>
      </c>
      <c r="H240" s="140">
        <f t="shared" si="15"/>
        <v>217.06422018348624</v>
      </c>
      <c r="I240" s="88" t="s">
        <v>744</v>
      </c>
      <c r="J240" s="289">
        <v>2</v>
      </c>
      <c r="K240" s="88" t="s">
        <v>745</v>
      </c>
      <c r="L240" s="289">
        <v>2</v>
      </c>
      <c r="M240" s="266" t="s">
        <v>746</v>
      </c>
      <c r="N240" s="291">
        <v>2.73</v>
      </c>
      <c r="O240" s="104" t="s">
        <v>747</v>
      </c>
      <c r="P240" s="297">
        <v>3</v>
      </c>
      <c r="Q240" s="104" t="s">
        <v>748</v>
      </c>
      <c r="R240" s="297">
        <v>2.1</v>
      </c>
      <c r="S240" s="90"/>
      <c r="T240" s="290"/>
      <c r="U240" s="82"/>
      <c r="V240" s="287"/>
      <c r="W240" s="82"/>
      <c r="X240" s="287"/>
      <c r="Y240" s="82"/>
      <c r="Z240" s="287"/>
      <c r="AA240" s="82"/>
      <c r="AB240" s="287"/>
      <c r="AC240" s="82"/>
      <c r="AD240" s="287"/>
      <c r="AE240" s="82"/>
      <c r="AF240" s="287"/>
      <c r="AG240" s="82"/>
      <c r="AH240" s="287"/>
      <c r="AI240" s="82"/>
      <c r="AJ240" s="287"/>
      <c r="AK240" s="82"/>
      <c r="AL240" s="287"/>
      <c r="AM240" s="82"/>
      <c r="AN240" s="287"/>
      <c r="AO240" s="82"/>
      <c r="AP240" s="287"/>
      <c r="AQ240" s="82"/>
      <c r="AR240" s="287"/>
      <c r="AS240" s="82"/>
      <c r="AT240" s="287"/>
      <c r="AU240" s="82"/>
      <c r="AV240" s="50">
        <f>IFERROR(VLOOKUP(A240,'Site check'!A:Q,14,0),0)</f>
        <v>0</v>
      </c>
    </row>
    <row r="241" spans="1:48">
      <c r="A241" s="38" t="s">
        <v>257</v>
      </c>
      <c r="B241" s="97"/>
      <c r="C241" s="4"/>
      <c r="D241" s="4"/>
      <c r="E241" s="4"/>
      <c r="F241" s="4"/>
      <c r="G241" s="257">
        <f t="shared" si="14"/>
        <v>11.83</v>
      </c>
      <c r="H241" s="140">
        <f t="shared" si="15"/>
        <v>217.06422018348624</v>
      </c>
      <c r="I241" s="88" t="s">
        <v>744</v>
      </c>
      <c r="J241" s="289">
        <v>2</v>
      </c>
      <c r="K241" s="88" t="s">
        <v>745</v>
      </c>
      <c r="L241" s="289">
        <v>2</v>
      </c>
      <c r="M241" s="266" t="s">
        <v>746</v>
      </c>
      <c r="N241" s="291">
        <v>2.73</v>
      </c>
      <c r="O241" s="104" t="s">
        <v>747</v>
      </c>
      <c r="P241" s="297">
        <v>3</v>
      </c>
      <c r="Q241" s="104" t="s">
        <v>748</v>
      </c>
      <c r="R241" s="297">
        <v>2.1</v>
      </c>
      <c r="S241" s="82"/>
      <c r="T241" s="287"/>
      <c r="U241" s="82"/>
      <c r="V241" s="287"/>
      <c r="W241" s="82"/>
      <c r="X241" s="287"/>
      <c r="Y241" s="82"/>
      <c r="Z241" s="287"/>
      <c r="AA241" s="82"/>
      <c r="AB241" s="287"/>
      <c r="AC241" s="82"/>
      <c r="AD241" s="287"/>
      <c r="AE241" s="82"/>
      <c r="AF241" s="287"/>
      <c r="AG241" s="82"/>
      <c r="AH241" s="287"/>
      <c r="AI241" s="82"/>
      <c r="AJ241" s="287"/>
      <c r="AK241" s="82"/>
      <c r="AL241" s="287"/>
      <c r="AM241" s="82"/>
      <c r="AN241" s="287"/>
      <c r="AO241" s="82"/>
      <c r="AP241" s="287"/>
      <c r="AQ241" s="82"/>
      <c r="AR241" s="287"/>
      <c r="AS241" s="82"/>
      <c r="AT241" s="287"/>
      <c r="AU241" s="82"/>
      <c r="AV241" s="50">
        <f>IFERROR(VLOOKUP(A241,'Site check'!A:Q,14,0),0)</f>
        <v>0</v>
      </c>
    </row>
    <row r="242" spans="1:48">
      <c r="A242" s="35" t="s">
        <v>258</v>
      </c>
      <c r="B242" s="97"/>
      <c r="C242" s="4"/>
      <c r="D242" s="4"/>
      <c r="E242" s="4"/>
      <c r="F242" s="4"/>
      <c r="G242" s="257">
        <f t="shared" si="14"/>
        <v>0</v>
      </c>
      <c r="H242" s="140">
        <f t="shared" si="15"/>
        <v>0</v>
      </c>
      <c r="I242" s="82"/>
      <c r="J242" s="287"/>
      <c r="K242" s="82"/>
      <c r="L242" s="287"/>
      <c r="M242" s="82"/>
      <c r="N242" s="287"/>
      <c r="O242" s="82"/>
      <c r="P242" s="287"/>
      <c r="Q242" s="82"/>
      <c r="R242" s="287"/>
      <c r="S242" s="82"/>
      <c r="T242" s="287"/>
      <c r="U242" s="82"/>
      <c r="V242" s="287"/>
      <c r="W242" s="82"/>
      <c r="X242" s="287"/>
      <c r="Y242" s="82"/>
      <c r="Z242" s="287"/>
      <c r="AA242" s="82"/>
      <c r="AB242" s="287"/>
      <c r="AC242" s="82"/>
      <c r="AD242" s="287"/>
      <c r="AE242" s="82"/>
      <c r="AF242" s="287"/>
      <c r="AG242" s="82"/>
      <c r="AH242" s="287"/>
      <c r="AI242" s="82"/>
      <c r="AJ242" s="287"/>
      <c r="AK242" s="82"/>
      <c r="AL242" s="287"/>
      <c r="AM242" s="82"/>
      <c r="AN242" s="287"/>
      <c r="AO242" s="82"/>
      <c r="AP242" s="287"/>
      <c r="AQ242" s="82"/>
      <c r="AR242" s="287"/>
      <c r="AS242" s="82"/>
      <c r="AT242" s="287"/>
      <c r="AU242" s="82"/>
      <c r="AV242" s="50">
        <f>IFERROR(VLOOKUP(A242,'Site check'!A:Q,14,0),0)</f>
        <v>0</v>
      </c>
    </row>
    <row r="243" spans="1:48">
      <c r="A243" s="35" t="s">
        <v>259</v>
      </c>
      <c r="B243" s="97"/>
      <c r="C243" s="4"/>
      <c r="D243" s="4"/>
      <c r="E243" s="4"/>
      <c r="F243" s="4"/>
      <c r="G243" s="257">
        <f t="shared" si="14"/>
        <v>0</v>
      </c>
      <c r="H243" s="140">
        <f t="shared" si="15"/>
        <v>0</v>
      </c>
      <c r="I243" s="82"/>
      <c r="J243" s="287"/>
      <c r="K243" s="82"/>
      <c r="L243" s="287"/>
      <c r="M243" s="82"/>
      <c r="N243" s="287"/>
      <c r="O243" s="82"/>
      <c r="P243" s="287"/>
      <c r="Q243" s="82"/>
      <c r="R243" s="287"/>
      <c r="S243" s="82"/>
      <c r="T243" s="287"/>
      <c r="U243" s="82"/>
      <c r="V243" s="287"/>
      <c r="W243" s="82"/>
      <c r="X243" s="287"/>
      <c r="Y243" s="82"/>
      <c r="Z243" s="287"/>
      <c r="AA243" s="82"/>
      <c r="AB243" s="287"/>
      <c r="AC243" s="82"/>
      <c r="AD243" s="287"/>
      <c r="AE243" s="82"/>
      <c r="AF243" s="287"/>
      <c r="AG243" s="82"/>
      <c r="AH243" s="287"/>
      <c r="AI243" s="82"/>
      <c r="AJ243" s="287"/>
      <c r="AK243" s="82"/>
      <c r="AL243" s="287"/>
      <c r="AM243" s="82"/>
      <c r="AN243" s="287"/>
      <c r="AO243" s="82"/>
      <c r="AP243" s="287"/>
      <c r="AQ243" s="82"/>
      <c r="AR243" s="287"/>
      <c r="AS243" s="82"/>
      <c r="AT243" s="287"/>
      <c r="AU243" s="82"/>
      <c r="AV243" s="50">
        <f>IFERROR(VLOOKUP(A243,'Site check'!A:Q,14,0),0)</f>
        <v>0</v>
      </c>
    </row>
    <row r="244" spans="1:48">
      <c r="A244" s="35" t="s">
        <v>260</v>
      </c>
      <c r="B244" s="97"/>
      <c r="C244" s="4"/>
      <c r="D244" s="4"/>
      <c r="E244" s="4"/>
      <c r="F244" s="4"/>
      <c r="G244" s="257">
        <f t="shared" si="14"/>
        <v>0</v>
      </c>
      <c r="H244" s="140">
        <f t="shared" si="15"/>
        <v>0</v>
      </c>
      <c r="I244" s="82"/>
      <c r="J244" s="287"/>
      <c r="K244" s="82"/>
      <c r="L244" s="287"/>
      <c r="M244" s="82"/>
      <c r="N244" s="287"/>
      <c r="O244" s="82"/>
      <c r="P244" s="287"/>
      <c r="Q244" s="82"/>
      <c r="R244" s="287"/>
      <c r="S244" s="82"/>
      <c r="T244" s="287"/>
      <c r="U244" s="82"/>
      <c r="V244" s="287"/>
      <c r="W244" s="82"/>
      <c r="X244" s="287"/>
      <c r="Y244" s="82"/>
      <c r="Z244" s="287"/>
      <c r="AA244" s="82"/>
      <c r="AB244" s="287"/>
      <c r="AC244" s="82"/>
      <c r="AD244" s="287"/>
      <c r="AE244" s="82"/>
      <c r="AF244" s="287"/>
      <c r="AG244" s="82"/>
      <c r="AH244" s="287"/>
      <c r="AI244" s="82"/>
      <c r="AJ244" s="287"/>
      <c r="AK244" s="82"/>
      <c r="AL244" s="287"/>
      <c r="AM244" s="82"/>
      <c r="AN244" s="287"/>
      <c r="AO244" s="82"/>
      <c r="AP244" s="287"/>
      <c r="AQ244" s="82"/>
      <c r="AR244" s="287"/>
      <c r="AS244" s="82"/>
      <c r="AT244" s="287"/>
      <c r="AU244" s="82"/>
      <c r="AV244" s="50">
        <f>IFERROR(VLOOKUP(A244,'Site check'!A:Q,14,0),0)</f>
        <v>0</v>
      </c>
    </row>
    <row r="245" spans="1:48">
      <c r="A245" s="35" t="s">
        <v>261</v>
      </c>
      <c r="B245" s="97"/>
      <c r="C245" s="4"/>
      <c r="D245" s="4"/>
      <c r="E245" s="4"/>
      <c r="F245" s="4"/>
      <c r="G245" s="257">
        <f t="shared" si="14"/>
        <v>1</v>
      </c>
      <c r="H245" s="140">
        <f t="shared" si="15"/>
        <v>18.348623853211009</v>
      </c>
      <c r="I245" s="266" t="s">
        <v>749</v>
      </c>
      <c r="J245" s="291">
        <v>1</v>
      </c>
      <c r="K245" s="82"/>
      <c r="L245" s="287"/>
      <c r="M245" s="82"/>
      <c r="N245" s="287"/>
      <c r="O245" s="82"/>
      <c r="P245" s="287"/>
      <c r="Q245" s="82"/>
      <c r="R245" s="287"/>
      <c r="S245" s="82"/>
      <c r="T245" s="287"/>
      <c r="U245" s="82"/>
      <c r="V245" s="287"/>
      <c r="W245" s="82"/>
      <c r="X245" s="287"/>
      <c r="Y245" s="82"/>
      <c r="Z245" s="287"/>
      <c r="AA245" s="82"/>
      <c r="AB245" s="287"/>
      <c r="AC245" s="82"/>
      <c r="AD245" s="287"/>
      <c r="AE245" s="82"/>
      <c r="AF245" s="287"/>
      <c r="AG245" s="82"/>
      <c r="AH245" s="287"/>
      <c r="AI245" s="82"/>
      <c r="AJ245" s="287"/>
      <c r="AK245" s="82"/>
      <c r="AL245" s="287"/>
      <c r="AM245" s="82"/>
      <c r="AN245" s="287"/>
      <c r="AO245" s="82"/>
      <c r="AP245" s="287"/>
      <c r="AQ245" s="82"/>
      <c r="AR245" s="287"/>
      <c r="AS245" s="82"/>
      <c r="AT245" s="287"/>
      <c r="AU245" s="82"/>
      <c r="AV245" s="50">
        <f>IFERROR(VLOOKUP(A245,'Site check'!A:Q,14,0),0)</f>
        <v>0</v>
      </c>
    </row>
    <row r="246" spans="1:48">
      <c r="A246" s="35" t="s">
        <v>262</v>
      </c>
      <c r="B246" s="97"/>
      <c r="C246" s="30" t="s">
        <v>18</v>
      </c>
      <c r="D246" s="4"/>
      <c r="E246" s="4"/>
      <c r="F246" s="4"/>
      <c r="G246" s="257">
        <f t="shared" si="14"/>
        <v>2.4</v>
      </c>
      <c r="H246" s="140">
        <f t="shared" si="15"/>
        <v>44.036697247706421</v>
      </c>
      <c r="I246" s="82" t="s">
        <v>750</v>
      </c>
      <c r="J246" s="287">
        <v>2.4</v>
      </c>
      <c r="K246" s="82"/>
      <c r="L246" s="287"/>
      <c r="M246" s="82"/>
      <c r="N246" s="287"/>
      <c r="O246" s="82"/>
      <c r="P246" s="287"/>
      <c r="Q246" s="82"/>
      <c r="R246" s="287"/>
      <c r="S246" s="82"/>
      <c r="T246" s="287"/>
      <c r="U246" s="82"/>
      <c r="V246" s="287"/>
      <c r="W246" s="82"/>
      <c r="X246" s="287"/>
      <c r="Y246" s="82"/>
      <c r="Z246" s="287"/>
      <c r="AA246" s="82"/>
      <c r="AB246" s="287"/>
      <c r="AC246" s="82"/>
      <c r="AD246" s="287"/>
      <c r="AE246" s="82"/>
      <c r="AF246" s="287"/>
      <c r="AG246" s="82"/>
      <c r="AH246" s="287"/>
      <c r="AI246" s="82"/>
      <c r="AJ246" s="287"/>
      <c r="AK246" s="82"/>
      <c r="AL246" s="287"/>
      <c r="AM246" s="82"/>
      <c r="AN246" s="287"/>
      <c r="AO246" s="82"/>
      <c r="AP246" s="287"/>
      <c r="AQ246" s="82"/>
      <c r="AR246" s="287"/>
      <c r="AS246" s="82"/>
      <c r="AT246" s="287"/>
      <c r="AU246" s="82"/>
      <c r="AV246" s="50">
        <f>IFERROR(VLOOKUP(A246,'Site check'!A:Q,14,0),0)</f>
        <v>0</v>
      </c>
    </row>
    <row r="247" spans="1:48">
      <c r="A247" s="35" t="s">
        <v>263</v>
      </c>
      <c r="B247" s="97"/>
      <c r="C247" s="4"/>
      <c r="D247" s="4"/>
      <c r="E247" s="4"/>
      <c r="F247" s="4"/>
      <c r="G247" s="257">
        <f t="shared" si="14"/>
        <v>0.5</v>
      </c>
      <c r="H247" s="140">
        <f t="shared" si="15"/>
        <v>9.1743119266055047</v>
      </c>
      <c r="I247" s="88" t="s">
        <v>751</v>
      </c>
      <c r="J247" s="289">
        <v>0.5</v>
      </c>
      <c r="K247" s="88"/>
      <c r="L247" s="289"/>
      <c r="M247" s="82"/>
      <c r="N247" s="287"/>
      <c r="O247" s="82"/>
      <c r="P247" s="287"/>
      <c r="Q247" s="82"/>
      <c r="R247" s="287"/>
      <c r="S247" s="82"/>
      <c r="T247" s="287"/>
      <c r="U247" s="82"/>
      <c r="V247" s="287"/>
      <c r="W247" s="82"/>
      <c r="X247" s="287"/>
      <c r="Y247" s="82"/>
      <c r="Z247" s="287"/>
      <c r="AA247" s="82"/>
      <c r="AB247" s="287"/>
      <c r="AC247" s="82"/>
      <c r="AD247" s="287"/>
      <c r="AE247" s="82"/>
      <c r="AF247" s="287"/>
      <c r="AG247" s="82"/>
      <c r="AH247" s="287"/>
      <c r="AI247" s="82"/>
      <c r="AJ247" s="287"/>
      <c r="AK247" s="82"/>
      <c r="AL247" s="287"/>
      <c r="AM247" s="82"/>
      <c r="AN247" s="287"/>
      <c r="AO247" s="82"/>
      <c r="AP247" s="287"/>
      <c r="AQ247" s="82"/>
      <c r="AR247" s="287"/>
      <c r="AS247" s="82"/>
      <c r="AT247" s="287"/>
      <c r="AU247" s="82"/>
      <c r="AV247" s="50">
        <f>IFERROR(VLOOKUP(A247,'Site check'!A:Q,14,0),0)</f>
        <v>0</v>
      </c>
    </row>
    <row r="248" spans="1:48">
      <c r="A248" s="35" t="s">
        <v>264</v>
      </c>
      <c r="B248" s="97"/>
      <c r="C248" s="30" t="s">
        <v>18</v>
      </c>
      <c r="D248" s="4"/>
      <c r="E248" s="4"/>
      <c r="F248" s="4"/>
      <c r="G248" s="257">
        <f t="shared" si="14"/>
        <v>2.7</v>
      </c>
      <c r="H248" s="140">
        <f t="shared" si="15"/>
        <v>49.541284403669728</v>
      </c>
      <c r="I248" s="88" t="s">
        <v>752</v>
      </c>
      <c r="J248" s="289">
        <v>1.7</v>
      </c>
      <c r="K248" s="269" t="s">
        <v>753</v>
      </c>
      <c r="L248" s="291">
        <v>1</v>
      </c>
      <c r="M248" s="82"/>
      <c r="N248" s="287"/>
      <c r="O248" s="82"/>
      <c r="P248" s="287"/>
      <c r="Q248" s="82"/>
      <c r="R248" s="287"/>
      <c r="S248" s="82"/>
      <c r="T248" s="287"/>
      <c r="U248" s="82"/>
      <c r="V248" s="287"/>
      <c r="W248" s="82"/>
      <c r="X248" s="287"/>
      <c r="Y248" s="82"/>
      <c r="Z248" s="287"/>
      <c r="AA248" s="82"/>
      <c r="AB248" s="287"/>
      <c r="AC248" s="82"/>
      <c r="AD248" s="287"/>
      <c r="AE248" s="82"/>
      <c r="AF248" s="287"/>
      <c r="AG248" s="82"/>
      <c r="AH248" s="287"/>
      <c r="AI248" s="82"/>
      <c r="AJ248" s="287"/>
      <c r="AK248" s="82"/>
      <c r="AL248" s="287"/>
      <c r="AM248" s="82"/>
      <c r="AN248" s="287"/>
      <c r="AO248" s="82"/>
      <c r="AP248" s="287"/>
      <c r="AQ248" s="82"/>
      <c r="AR248" s="287"/>
      <c r="AS248" s="82"/>
      <c r="AT248" s="287"/>
      <c r="AU248" s="82"/>
      <c r="AV248" s="50">
        <f>IFERROR(VLOOKUP(A248,'Site check'!A:Q,14,0),0)</f>
        <v>0</v>
      </c>
    </row>
    <row r="249" spans="1:48">
      <c r="A249" s="35" t="s">
        <v>265</v>
      </c>
      <c r="B249" s="97"/>
      <c r="C249" s="4"/>
      <c r="D249" s="4"/>
      <c r="E249" s="4"/>
      <c r="F249" s="4"/>
      <c r="G249" s="257">
        <f t="shared" si="14"/>
        <v>1</v>
      </c>
      <c r="H249" s="140">
        <f t="shared" si="15"/>
        <v>18.348623853211009</v>
      </c>
      <c r="I249" s="266" t="s">
        <v>754</v>
      </c>
      <c r="J249" s="291">
        <v>1</v>
      </c>
      <c r="K249" s="88"/>
      <c r="L249" s="289"/>
      <c r="M249" s="82"/>
      <c r="N249" s="287"/>
      <c r="O249" s="82"/>
      <c r="P249" s="287"/>
      <c r="Q249" s="82"/>
      <c r="R249" s="287"/>
      <c r="S249" s="82"/>
      <c r="T249" s="287"/>
      <c r="U249" s="82"/>
      <c r="V249" s="287"/>
      <c r="W249" s="82"/>
      <c r="X249" s="287"/>
      <c r="Y249" s="82"/>
      <c r="Z249" s="287"/>
      <c r="AA249" s="82"/>
      <c r="AB249" s="287"/>
      <c r="AC249" s="82"/>
      <c r="AD249" s="287"/>
      <c r="AE249" s="82"/>
      <c r="AF249" s="287"/>
      <c r="AG249" s="82"/>
      <c r="AH249" s="287"/>
      <c r="AI249" s="82"/>
      <c r="AJ249" s="287"/>
      <c r="AK249" s="82"/>
      <c r="AL249" s="287"/>
      <c r="AM249" s="82"/>
      <c r="AN249" s="287"/>
      <c r="AO249" s="82"/>
      <c r="AP249" s="287"/>
      <c r="AQ249" s="82"/>
      <c r="AR249" s="287"/>
      <c r="AS249" s="82"/>
      <c r="AT249" s="287"/>
      <c r="AU249" s="82"/>
      <c r="AV249" s="50">
        <f>IFERROR(VLOOKUP(A249,'Site check'!A:Q,14,0),0)</f>
        <v>0</v>
      </c>
    </row>
    <row r="250" spans="1:48">
      <c r="A250" s="35" t="s">
        <v>266</v>
      </c>
      <c r="B250" s="97"/>
      <c r="C250" s="30" t="s">
        <v>18</v>
      </c>
      <c r="D250" s="4"/>
      <c r="E250" s="4"/>
      <c r="F250" s="4"/>
      <c r="G250" s="257">
        <f t="shared" si="14"/>
        <v>2.4</v>
      </c>
      <c r="H250" s="140">
        <f t="shared" si="15"/>
        <v>44.036697247706421</v>
      </c>
      <c r="I250" s="88" t="s">
        <v>755</v>
      </c>
      <c r="J250" s="289">
        <v>2.4</v>
      </c>
      <c r="K250" s="88"/>
      <c r="L250" s="289"/>
      <c r="M250" s="82"/>
      <c r="N250" s="287"/>
      <c r="O250" s="82"/>
      <c r="P250" s="287"/>
      <c r="Q250" s="82"/>
      <c r="R250" s="287"/>
      <c r="S250" s="82"/>
      <c r="T250" s="287"/>
      <c r="U250" s="82"/>
      <c r="V250" s="287"/>
      <c r="W250" s="82"/>
      <c r="X250" s="287"/>
      <c r="Y250" s="82"/>
      <c r="Z250" s="287"/>
      <c r="AA250" s="82"/>
      <c r="AB250" s="287"/>
      <c r="AC250" s="82"/>
      <c r="AD250" s="287"/>
      <c r="AE250" s="82"/>
      <c r="AF250" s="287"/>
      <c r="AG250" s="82"/>
      <c r="AH250" s="287"/>
      <c r="AI250" s="82"/>
      <c r="AJ250" s="287"/>
      <c r="AK250" s="82"/>
      <c r="AL250" s="287"/>
      <c r="AM250" s="82"/>
      <c r="AN250" s="287"/>
      <c r="AO250" s="82"/>
      <c r="AP250" s="287"/>
      <c r="AQ250" s="82"/>
      <c r="AR250" s="287"/>
      <c r="AS250" s="82"/>
      <c r="AT250" s="287"/>
      <c r="AU250" s="82"/>
      <c r="AV250" s="50">
        <f>IFERROR(VLOOKUP(A250,'Site check'!A:Q,14,0),0)</f>
        <v>0</v>
      </c>
    </row>
    <row r="251" spans="1:48">
      <c r="A251" s="35" t="s">
        <v>267</v>
      </c>
      <c r="B251" s="97"/>
      <c r="C251" s="4"/>
      <c r="D251" s="4"/>
      <c r="E251" s="4"/>
      <c r="F251" s="4"/>
      <c r="G251" s="257">
        <f t="shared" si="14"/>
        <v>1</v>
      </c>
      <c r="H251" s="140">
        <f t="shared" si="15"/>
        <v>18.348623853211009</v>
      </c>
      <c r="I251" s="266" t="s">
        <v>756</v>
      </c>
      <c r="J251" s="291">
        <v>1</v>
      </c>
      <c r="K251" s="88"/>
      <c r="L251" s="289"/>
      <c r="M251" s="82"/>
      <c r="N251" s="287"/>
      <c r="O251" s="82"/>
      <c r="P251" s="287"/>
      <c r="Q251" s="82"/>
      <c r="R251" s="287"/>
      <c r="S251" s="82"/>
      <c r="T251" s="287"/>
      <c r="U251" s="82"/>
      <c r="V251" s="287"/>
      <c r="W251" s="82"/>
      <c r="X251" s="287"/>
      <c r="Y251" s="82"/>
      <c r="Z251" s="287"/>
      <c r="AA251" s="82"/>
      <c r="AB251" s="287"/>
      <c r="AC251" s="82"/>
      <c r="AD251" s="287"/>
      <c r="AE251" s="82"/>
      <c r="AF251" s="287"/>
      <c r="AG251" s="82"/>
      <c r="AH251" s="287"/>
      <c r="AI251" s="82"/>
      <c r="AJ251" s="287"/>
      <c r="AK251" s="82"/>
      <c r="AL251" s="287"/>
      <c r="AM251" s="82"/>
      <c r="AN251" s="287"/>
      <c r="AO251" s="82"/>
      <c r="AP251" s="287"/>
      <c r="AQ251" s="82"/>
      <c r="AR251" s="287"/>
      <c r="AS251" s="82"/>
      <c r="AT251" s="287"/>
      <c r="AU251" s="82"/>
      <c r="AV251" s="50">
        <f>IFERROR(VLOOKUP(A251,'Site check'!A:Q,14,0),0)</f>
        <v>0</v>
      </c>
    </row>
    <row r="252" spans="1:48">
      <c r="A252" s="35" t="s">
        <v>268</v>
      </c>
      <c r="B252" s="97"/>
      <c r="C252" s="4"/>
      <c r="D252" s="4"/>
      <c r="E252" s="4"/>
      <c r="F252" s="4"/>
      <c r="G252" s="257">
        <f t="shared" si="14"/>
        <v>0</v>
      </c>
      <c r="H252" s="140">
        <f t="shared" si="15"/>
        <v>0</v>
      </c>
      <c r="I252" s="92"/>
      <c r="J252" s="295"/>
      <c r="K252" s="92"/>
      <c r="L252" s="295"/>
      <c r="M252" s="92"/>
      <c r="N252" s="287"/>
      <c r="O252" s="92"/>
      <c r="P252" s="287"/>
      <c r="Q252" s="92"/>
      <c r="R252" s="287"/>
      <c r="S252" s="92"/>
      <c r="T252" s="287"/>
      <c r="U252" s="92"/>
      <c r="V252" s="287"/>
      <c r="W252" s="92"/>
      <c r="X252" s="287"/>
      <c r="Y252" s="92"/>
      <c r="Z252" s="287"/>
      <c r="AA252" s="92"/>
      <c r="AB252" s="287"/>
      <c r="AC252" s="92"/>
      <c r="AD252" s="287"/>
      <c r="AE252" s="92"/>
      <c r="AF252" s="287"/>
      <c r="AG252" s="92"/>
      <c r="AH252" s="287"/>
      <c r="AI252" s="92"/>
      <c r="AJ252" s="287"/>
      <c r="AK252" s="92"/>
      <c r="AL252" s="287"/>
      <c r="AM252" s="92"/>
      <c r="AN252" s="287"/>
      <c r="AO252" s="92"/>
      <c r="AP252" s="287"/>
      <c r="AQ252" s="92"/>
      <c r="AR252" s="287"/>
      <c r="AS252" s="92"/>
      <c r="AT252" s="287"/>
      <c r="AU252" s="92"/>
      <c r="AV252" s="50">
        <f>IFERROR(VLOOKUP(A252,'Site check'!A:Q,14,0),0)</f>
        <v>0</v>
      </c>
    </row>
    <row r="253" spans="1:48">
      <c r="A253" s="35"/>
      <c r="B253" s="25"/>
      <c r="C253" s="25"/>
      <c r="D253" s="25"/>
      <c r="E253" s="25"/>
      <c r="F253" s="25"/>
      <c r="H253" s="140">
        <f t="shared" si="15"/>
        <v>0</v>
      </c>
      <c r="I253" s="82"/>
      <c r="J253" s="287"/>
      <c r="K253" s="82"/>
      <c r="L253" s="287"/>
      <c r="M253" s="82"/>
      <c r="N253" s="287"/>
      <c r="O253" s="82"/>
      <c r="P253" s="287"/>
      <c r="Q253" s="82"/>
      <c r="R253" s="287"/>
      <c r="S253" s="82"/>
      <c r="T253" s="287"/>
      <c r="U253" s="82"/>
      <c r="V253" s="287"/>
      <c r="W253" s="82"/>
      <c r="X253" s="287"/>
      <c r="Y253" s="82"/>
      <c r="Z253" s="287"/>
      <c r="AA253" s="82"/>
      <c r="AB253" s="287"/>
      <c r="AC253" s="82"/>
      <c r="AD253" s="287"/>
      <c r="AE253" s="82"/>
      <c r="AF253" s="287"/>
      <c r="AG253" s="82"/>
      <c r="AH253" s="287"/>
      <c r="AI253" s="82"/>
      <c r="AJ253" s="287"/>
      <c r="AK253" s="82"/>
      <c r="AL253" s="287"/>
      <c r="AM253" s="82"/>
      <c r="AN253" s="287"/>
      <c r="AO253" s="82"/>
      <c r="AP253" s="287"/>
      <c r="AQ253" s="82"/>
      <c r="AR253" s="287"/>
      <c r="AS253" s="82"/>
      <c r="AT253" s="287"/>
      <c r="AU253" s="82"/>
      <c r="AV253" s="50">
        <f>IFERROR(VLOOKUP(A253,'Site check'!A:Q,14,0),0)</f>
        <v>0</v>
      </c>
    </row>
    <row r="254" spans="1:48">
      <c r="A254" s="35"/>
      <c r="H254" s="140">
        <f t="shared" si="15"/>
        <v>0</v>
      </c>
      <c r="I254" s="82"/>
      <c r="J254" s="287"/>
      <c r="K254" s="82"/>
      <c r="L254" s="287"/>
      <c r="M254" s="82"/>
      <c r="N254" s="287"/>
      <c r="O254" s="82"/>
      <c r="P254" s="287"/>
      <c r="Q254" s="82"/>
      <c r="R254" s="287"/>
      <c r="S254" s="82"/>
      <c r="T254" s="287"/>
      <c r="U254" s="82"/>
      <c r="V254" s="287"/>
      <c r="W254" s="82"/>
      <c r="X254" s="287"/>
      <c r="Y254" s="82"/>
      <c r="Z254" s="287"/>
      <c r="AA254" s="82"/>
      <c r="AB254" s="287"/>
      <c r="AC254" s="82"/>
      <c r="AD254" s="287"/>
      <c r="AE254" s="82"/>
      <c r="AF254" s="287"/>
      <c r="AG254" s="82"/>
      <c r="AH254" s="287"/>
      <c r="AI254" s="82"/>
      <c r="AJ254" s="287"/>
      <c r="AK254" s="82"/>
      <c r="AL254" s="287"/>
      <c r="AM254" s="82"/>
      <c r="AN254" s="287"/>
      <c r="AO254" s="82"/>
      <c r="AP254" s="287"/>
      <c r="AQ254" s="82"/>
      <c r="AR254" s="287"/>
      <c r="AS254" s="82"/>
      <c r="AT254" s="287"/>
      <c r="AU254" s="82"/>
      <c r="AV254" s="50">
        <f>IFERROR(VLOOKUP(A254,'Site check'!A:Q,14,0),0)</f>
        <v>0</v>
      </c>
    </row>
    <row r="255" spans="1:48">
      <c r="A255" s="35"/>
      <c r="H255" s="140">
        <f t="shared" si="15"/>
        <v>0</v>
      </c>
      <c r="I255" s="82"/>
      <c r="J255" s="287"/>
      <c r="K255" s="82"/>
      <c r="L255" s="287"/>
      <c r="M255" s="82"/>
      <c r="N255" s="287"/>
      <c r="O255" s="82"/>
      <c r="P255" s="287"/>
      <c r="Q255" s="82"/>
      <c r="R255" s="287"/>
      <c r="S255" s="82"/>
      <c r="T255" s="287"/>
      <c r="U255" s="82"/>
      <c r="V255" s="287"/>
      <c r="W255" s="82"/>
      <c r="X255" s="287"/>
      <c r="Y255" s="82"/>
      <c r="Z255" s="287"/>
      <c r="AA255" s="82"/>
      <c r="AB255" s="287"/>
      <c r="AC255" s="82"/>
      <c r="AD255" s="287"/>
      <c r="AE255" s="82"/>
      <c r="AF255" s="287"/>
      <c r="AG255" s="82"/>
      <c r="AH255" s="287"/>
      <c r="AI255" s="82"/>
      <c r="AJ255" s="287"/>
      <c r="AK255" s="82"/>
      <c r="AL255" s="287"/>
      <c r="AM255" s="82"/>
      <c r="AN255" s="287"/>
      <c r="AO255" s="82"/>
      <c r="AP255" s="287"/>
      <c r="AQ255" s="82"/>
      <c r="AR255" s="287"/>
      <c r="AS255" s="82"/>
      <c r="AT255" s="287"/>
      <c r="AU255" s="82"/>
      <c r="AV255" s="50">
        <f>IFERROR(VLOOKUP(A255,'Site check'!A:Q,14,0),0)</f>
        <v>0</v>
      </c>
    </row>
    <row r="256" spans="1:48">
      <c r="A256" s="35"/>
      <c r="H256" s="140">
        <f t="shared" si="15"/>
        <v>0</v>
      </c>
      <c r="I256" s="82"/>
      <c r="J256" s="287"/>
      <c r="K256" s="82"/>
      <c r="L256" s="287"/>
      <c r="M256" s="82"/>
      <c r="N256" s="287"/>
      <c r="O256" s="82"/>
      <c r="P256" s="287"/>
      <c r="Q256" s="82"/>
      <c r="R256" s="287"/>
      <c r="S256" s="82"/>
      <c r="T256" s="287"/>
      <c r="U256" s="82"/>
      <c r="V256" s="287"/>
      <c r="W256" s="82"/>
      <c r="X256" s="287"/>
      <c r="Y256" s="82"/>
      <c r="Z256" s="287"/>
      <c r="AA256" s="82"/>
      <c r="AB256" s="287"/>
      <c r="AC256" s="82"/>
      <c r="AD256" s="287"/>
      <c r="AE256" s="82"/>
      <c r="AF256" s="287"/>
      <c r="AG256" s="82"/>
      <c r="AH256" s="287"/>
      <c r="AI256" s="82"/>
      <c r="AJ256" s="287"/>
      <c r="AK256" s="82"/>
      <c r="AL256" s="287"/>
      <c r="AM256" s="82"/>
      <c r="AN256" s="287"/>
      <c r="AO256" s="82"/>
      <c r="AP256" s="287"/>
      <c r="AQ256" s="82"/>
      <c r="AR256" s="287"/>
      <c r="AS256" s="82"/>
      <c r="AT256" s="287"/>
      <c r="AU256" s="82"/>
      <c r="AV256" s="50">
        <f>IFERROR(VLOOKUP(A256,'Site check'!A:Q,14,0),0)</f>
        <v>0</v>
      </c>
    </row>
    <row r="257" spans="1:48">
      <c r="A257" s="35"/>
      <c r="H257" s="140">
        <f t="shared" si="15"/>
        <v>0</v>
      </c>
      <c r="I257" s="82"/>
      <c r="J257" s="287"/>
      <c r="K257" s="82"/>
      <c r="L257" s="287"/>
      <c r="M257" s="82"/>
      <c r="N257" s="287"/>
      <c r="O257" s="82"/>
      <c r="P257" s="287"/>
      <c r="Q257" s="82"/>
      <c r="R257" s="287"/>
      <c r="S257" s="82"/>
      <c r="T257" s="287"/>
      <c r="U257" s="82"/>
      <c r="V257" s="287"/>
      <c r="W257" s="82"/>
      <c r="X257" s="287"/>
      <c r="Y257" s="82"/>
      <c r="Z257" s="287"/>
      <c r="AA257" s="82"/>
      <c r="AB257" s="287"/>
      <c r="AC257" s="82"/>
      <c r="AD257" s="287"/>
      <c r="AE257" s="82"/>
      <c r="AF257" s="287"/>
      <c r="AG257" s="82"/>
      <c r="AH257" s="287"/>
      <c r="AI257" s="82"/>
      <c r="AJ257" s="287"/>
      <c r="AK257" s="82"/>
      <c r="AL257" s="287"/>
      <c r="AM257" s="82"/>
      <c r="AN257" s="287"/>
      <c r="AO257" s="82"/>
      <c r="AP257" s="287"/>
      <c r="AQ257" s="82"/>
      <c r="AR257" s="287"/>
      <c r="AS257" s="82"/>
      <c r="AT257" s="287"/>
      <c r="AU257" s="82"/>
      <c r="AV257" s="50">
        <f>IFERROR(VLOOKUP(A257,'Site check'!A:Q,14,0),0)</f>
        <v>0</v>
      </c>
    </row>
    <row r="258" spans="1:48">
      <c r="A258" s="35"/>
      <c r="H258" s="140">
        <f t="shared" si="15"/>
        <v>0</v>
      </c>
      <c r="I258" s="82"/>
      <c r="J258" s="287"/>
      <c r="K258" s="82"/>
      <c r="L258" s="287"/>
      <c r="M258" s="82"/>
      <c r="N258" s="287"/>
      <c r="O258" s="82"/>
      <c r="P258" s="287"/>
      <c r="Q258" s="82"/>
      <c r="R258" s="287"/>
      <c r="S258" s="82"/>
      <c r="T258" s="287"/>
      <c r="U258" s="82"/>
      <c r="V258" s="287"/>
      <c r="W258" s="82"/>
      <c r="X258" s="287"/>
      <c r="Y258" s="82"/>
      <c r="Z258" s="287"/>
      <c r="AA258" s="82"/>
      <c r="AB258" s="287"/>
      <c r="AC258" s="82"/>
      <c r="AD258" s="287"/>
      <c r="AE258" s="82"/>
      <c r="AF258" s="287"/>
      <c r="AG258" s="82"/>
      <c r="AH258" s="287"/>
      <c r="AI258" s="82"/>
      <c r="AJ258" s="287"/>
      <c r="AK258" s="82"/>
      <c r="AL258" s="287"/>
      <c r="AM258" s="82"/>
      <c r="AN258" s="287"/>
      <c r="AO258" s="82"/>
      <c r="AP258" s="287"/>
      <c r="AQ258" s="82"/>
      <c r="AR258" s="287"/>
      <c r="AS258" s="82"/>
      <c r="AT258" s="287"/>
      <c r="AU258" s="82"/>
      <c r="AV258" s="50">
        <f>IFERROR(VLOOKUP(A258,'Site check'!A:Q,14,0),0)</f>
        <v>0</v>
      </c>
    </row>
    <row r="259" spans="1:48">
      <c r="A259" s="35"/>
      <c r="H259" s="140">
        <f t="shared" si="15"/>
        <v>0</v>
      </c>
      <c r="I259" s="82"/>
      <c r="J259" s="287"/>
      <c r="K259" s="82"/>
      <c r="L259" s="287"/>
      <c r="M259" s="82"/>
      <c r="N259" s="287"/>
      <c r="O259" s="82"/>
      <c r="P259" s="287"/>
      <c r="Q259" s="82"/>
      <c r="R259" s="287"/>
      <c r="S259" s="82"/>
      <c r="T259" s="287"/>
      <c r="U259" s="82"/>
      <c r="V259" s="287"/>
      <c r="W259" s="82"/>
      <c r="X259" s="287"/>
      <c r="Y259" s="82"/>
      <c r="Z259" s="287"/>
      <c r="AA259" s="82"/>
      <c r="AB259" s="287"/>
      <c r="AC259" s="82"/>
      <c r="AD259" s="287"/>
      <c r="AE259" s="82"/>
      <c r="AF259" s="287"/>
      <c r="AG259" s="82"/>
      <c r="AH259" s="287"/>
      <c r="AI259" s="82"/>
      <c r="AJ259" s="287"/>
      <c r="AK259" s="82"/>
      <c r="AL259" s="287"/>
      <c r="AM259" s="82"/>
      <c r="AN259" s="287"/>
      <c r="AO259" s="82"/>
      <c r="AP259" s="287"/>
      <c r="AQ259" s="82"/>
      <c r="AR259" s="287"/>
      <c r="AS259" s="82"/>
      <c r="AT259" s="287"/>
      <c r="AU259" s="82"/>
      <c r="AV259" s="50">
        <f>IFERROR(VLOOKUP(A259,'Site check'!A:Q,14,0),0)</f>
        <v>0</v>
      </c>
    </row>
    <row r="260" spans="1:48">
      <c r="A260" s="35"/>
      <c r="H260" s="140">
        <f t="shared" si="15"/>
        <v>0</v>
      </c>
      <c r="I260" s="82"/>
      <c r="J260" s="287"/>
      <c r="K260" s="82"/>
      <c r="L260" s="287"/>
      <c r="M260" s="82"/>
      <c r="N260" s="287"/>
      <c r="O260" s="82"/>
      <c r="P260" s="287"/>
      <c r="Q260" s="82"/>
      <c r="R260" s="287"/>
      <c r="S260" s="82"/>
      <c r="T260" s="287"/>
      <c r="U260" s="82"/>
      <c r="V260" s="287"/>
      <c r="W260" s="82"/>
      <c r="X260" s="287"/>
      <c r="Y260" s="82"/>
      <c r="Z260" s="287"/>
      <c r="AA260" s="82"/>
      <c r="AB260" s="287"/>
      <c r="AC260" s="82"/>
      <c r="AD260" s="287"/>
      <c r="AE260" s="82"/>
      <c r="AF260" s="287"/>
      <c r="AG260" s="82"/>
      <c r="AH260" s="287"/>
      <c r="AI260" s="82"/>
      <c r="AJ260" s="287"/>
      <c r="AK260" s="82"/>
      <c r="AL260" s="287"/>
      <c r="AM260" s="82"/>
      <c r="AN260" s="287"/>
      <c r="AO260" s="82"/>
      <c r="AP260" s="287"/>
      <c r="AQ260" s="82"/>
      <c r="AR260" s="287"/>
      <c r="AS260" s="82"/>
      <c r="AT260" s="287"/>
      <c r="AU260" s="82"/>
      <c r="AV260" s="50">
        <f>IFERROR(VLOOKUP(A260,'Site check'!A:Q,14,0),0)</f>
        <v>0</v>
      </c>
    </row>
    <row r="261" spans="1:48">
      <c r="A261" s="35"/>
      <c r="H261" s="140">
        <f t="shared" si="15"/>
        <v>0</v>
      </c>
      <c r="I261" s="82"/>
      <c r="J261" s="287"/>
      <c r="K261" s="82"/>
      <c r="L261" s="287"/>
      <c r="M261" s="82"/>
      <c r="N261" s="287"/>
      <c r="O261" s="82"/>
      <c r="P261" s="287"/>
      <c r="Q261" s="82"/>
      <c r="R261" s="287"/>
      <c r="S261" s="82"/>
      <c r="T261" s="287"/>
      <c r="U261" s="82"/>
      <c r="V261" s="287"/>
      <c r="W261" s="82"/>
      <c r="X261" s="287"/>
      <c r="Y261" s="82"/>
      <c r="Z261" s="287"/>
      <c r="AA261" s="82"/>
      <c r="AB261" s="287"/>
      <c r="AC261" s="82"/>
      <c r="AD261" s="287"/>
      <c r="AE261" s="82"/>
      <c r="AF261" s="287"/>
      <c r="AG261" s="82"/>
      <c r="AH261" s="287"/>
      <c r="AI261" s="82"/>
      <c r="AJ261" s="287"/>
      <c r="AK261" s="82"/>
      <c r="AL261" s="287"/>
      <c r="AM261" s="82"/>
      <c r="AN261" s="287"/>
      <c r="AO261" s="82"/>
      <c r="AP261" s="287"/>
      <c r="AQ261" s="82"/>
      <c r="AR261" s="287"/>
      <c r="AS261" s="82"/>
      <c r="AT261" s="287"/>
      <c r="AU261" s="82"/>
      <c r="AV261" s="50">
        <f>IFERROR(VLOOKUP(A261,'Site check'!A:Q,14,0),0)</f>
        <v>0</v>
      </c>
    </row>
    <row r="262" spans="1:48">
      <c r="A262" s="35"/>
      <c r="H262" s="140">
        <f t="shared" si="15"/>
        <v>0</v>
      </c>
      <c r="I262" s="82"/>
      <c r="J262" s="287"/>
      <c r="K262" s="82"/>
      <c r="L262" s="287"/>
      <c r="M262" s="82"/>
      <c r="N262" s="287"/>
      <c r="O262" s="82"/>
      <c r="P262" s="287"/>
      <c r="Q262" s="82"/>
      <c r="R262" s="287"/>
      <c r="S262" s="82"/>
      <c r="T262" s="287"/>
      <c r="U262" s="82"/>
      <c r="V262" s="287"/>
      <c r="W262" s="82"/>
      <c r="X262" s="287"/>
      <c r="Y262" s="82"/>
      <c r="Z262" s="287"/>
      <c r="AA262" s="82"/>
      <c r="AB262" s="287"/>
      <c r="AC262" s="82"/>
      <c r="AD262" s="287"/>
      <c r="AE262" s="82"/>
      <c r="AF262" s="287"/>
      <c r="AG262" s="82"/>
      <c r="AH262" s="287"/>
      <c r="AI262" s="82"/>
      <c r="AJ262" s="287"/>
      <c r="AK262" s="82"/>
      <c r="AL262" s="287"/>
      <c r="AM262" s="82"/>
      <c r="AN262" s="287"/>
      <c r="AO262" s="82"/>
      <c r="AP262" s="287"/>
      <c r="AQ262" s="82"/>
      <c r="AR262" s="287"/>
      <c r="AS262" s="82"/>
      <c r="AT262" s="287"/>
      <c r="AU262" s="82"/>
      <c r="AV262" s="50">
        <f>IFERROR(VLOOKUP(A262,'Site check'!A:Q,14,0),0)</f>
        <v>0</v>
      </c>
    </row>
    <row r="263" spans="1:48">
      <c r="A263" s="35"/>
      <c r="H263" s="140">
        <f t="shared" si="15"/>
        <v>0</v>
      </c>
      <c r="I263" s="82"/>
      <c r="J263" s="287"/>
      <c r="K263" s="82"/>
      <c r="L263" s="287"/>
      <c r="M263" s="82"/>
      <c r="N263" s="287"/>
      <c r="O263" s="82"/>
      <c r="P263" s="287"/>
      <c r="Q263" s="82"/>
      <c r="R263" s="287"/>
      <c r="S263" s="82"/>
      <c r="T263" s="287"/>
      <c r="U263" s="82"/>
      <c r="V263" s="287"/>
      <c r="W263" s="82"/>
      <c r="X263" s="287"/>
      <c r="Y263" s="82"/>
      <c r="Z263" s="287"/>
      <c r="AA263" s="82"/>
      <c r="AB263" s="287"/>
      <c r="AC263" s="82"/>
      <c r="AD263" s="287"/>
      <c r="AE263" s="82"/>
      <c r="AF263" s="287"/>
      <c r="AG263" s="82"/>
      <c r="AH263" s="287"/>
      <c r="AI263" s="82"/>
      <c r="AJ263" s="287"/>
      <c r="AK263" s="82"/>
      <c r="AL263" s="287"/>
      <c r="AM263" s="82"/>
      <c r="AN263" s="287"/>
      <c r="AO263" s="82"/>
      <c r="AP263" s="287"/>
      <c r="AQ263" s="82"/>
      <c r="AR263" s="287"/>
      <c r="AS263" s="82"/>
      <c r="AT263" s="287"/>
      <c r="AU263" s="82"/>
      <c r="AV263" s="50">
        <f>IFERROR(VLOOKUP(A263,'Site check'!A:Q,14,0),0)</f>
        <v>0</v>
      </c>
    </row>
    <row r="264" spans="1:48">
      <c r="A264" s="35"/>
      <c r="H264" s="140">
        <f t="shared" si="15"/>
        <v>0</v>
      </c>
      <c r="I264" s="82"/>
      <c r="J264" s="287"/>
      <c r="K264" s="82"/>
      <c r="L264" s="287"/>
      <c r="M264" s="82"/>
      <c r="N264" s="287"/>
      <c r="O264" s="82"/>
      <c r="P264" s="287"/>
      <c r="Q264" s="82"/>
      <c r="R264" s="287"/>
      <c r="S264" s="82"/>
      <c r="T264" s="287"/>
      <c r="U264" s="82"/>
      <c r="V264" s="287"/>
      <c r="W264" s="82"/>
      <c r="X264" s="287"/>
      <c r="Y264" s="82"/>
      <c r="Z264" s="287"/>
      <c r="AA264" s="82"/>
      <c r="AB264" s="287"/>
      <c r="AC264" s="82"/>
      <c r="AD264" s="287"/>
      <c r="AE264" s="82"/>
      <c r="AF264" s="287"/>
      <c r="AG264" s="82"/>
      <c r="AH264" s="287"/>
      <c r="AI264" s="82"/>
      <c r="AJ264" s="287"/>
      <c r="AK264" s="82"/>
      <c r="AL264" s="287"/>
      <c r="AM264" s="82"/>
      <c r="AN264" s="287"/>
      <c r="AO264" s="82"/>
      <c r="AP264" s="287"/>
      <c r="AQ264" s="82"/>
      <c r="AR264" s="287"/>
      <c r="AS264" s="82"/>
      <c r="AT264" s="287"/>
      <c r="AU264" s="82"/>
      <c r="AV264" s="50">
        <f>IFERROR(VLOOKUP(A264,'Site check'!A:Q,14,0),0)</f>
        <v>0</v>
      </c>
    </row>
    <row r="265" spans="1:48">
      <c r="A265" s="35"/>
      <c r="H265" s="140">
        <f t="shared" si="15"/>
        <v>0</v>
      </c>
      <c r="I265" s="82"/>
      <c r="J265" s="287"/>
      <c r="K265" s="82"/>
      <c r="L265" s="287"/>
      <c r="M265" s="82"/>
      <c r="N265" s="287"/>
      <c r="O265" s="82"/>
      <c r="P265" s="287"/>
      <c r="Q265" s="82"/>
      <c r="R265" s="287"/>
      <c r="S265" s="82"/>
      <c r="T265" s="287"/>
      <c r="U265" s="82"/>
      <c r="V265" s="287"/>
      <c r="W265" s="82"/>
      <c r="X265" s="287"/>
      <c r="Y265" s="82"/>
      <c r="Z265" s="287"/>
      <c r="AA265" s="82"/>
      <c r="AB265" s="287"/>
      <c r="AC265" s="82"/>
      <c r="AD265" s="287"/>
      <c r="AE265" s="82"/>
      <c r="AF265" s="287"/>
      <c r="AG265" s="82"/>
      <c r="AH265" s="287"/>
      <c r="AI265" s="82"/>
      <c r="AJ265" s="287"/>
      <c r="AK265" s="82"/>
      <c r="AL265" s="287"/>
      <c r="AM265" s="82"/>
      <c r="AN265" s="287"/>
      <c r="AO265" s="82"/>
      <c r="AP265" s="287"/>
      <c r="AQ265" s="82"/>
      <c r="AR265" s="287"/>
      <c r="AS265" s="82"/>
      <c r="AT265" s="287"/>
      <c r="AU265" s="82"/>
      <c r="AV265" s="50">
        <f>IFERROR(VLOOKUP(A265,'Site check'!A:Q,14,0),0)</f>
        <v>0</v>
      </c>
    </row>
    <row r="266" spans="1:48">
      <c r="A266" s="35"/>
      <c r="H266" s="140">
        <f t="shared" si="15"/>
        <v>0</v>
      </c>
      <c r="I266" s="82"/>
      <c r="J266" s="287"/>
      <c r="K266" s="82"/>
      <c r="L266" s="287"/>
      <c r="M266" s="82"/>
      <c r="N266" s="287"/>
      <c r="O266" s="82"/>
      <c r="P266" s="287"/>
      <c r="Q266" s="82"/>
      <c r="R266" s="287"/>
      <c r="S266" s="82"/>
      <c r="T266" s="287"/>
      <c r="U266" s="82"/>
      <c r="V266" s="287"/>
      <c r="W266" s="82"/>
      <c r="X266" s="287"/>
      <c r="Y266" s="82"/>
      <c r="Z266" s="287"/>
      <c r="AA266" s="82"/>
      <c r="AB266" s="287"/>
      <c r="AC266" s="82"/>
      <c r="AD266" s="287"/>
      <c r="AE266" s="82"/>
      <c r="AF266" s="287"/>
      <c r="AG266" s="82"/>
      <c r="AH266" s="287"/>
      <c r="AI266" s="82"/>
      <c r="AJ266" s="287"/>
      <c r="AK266" s="82"/>
      <c r="AL266" s="287"/>
      <c r="AM266" s="82"/>
      <c r="AN266" s="287"/>
      <c r="AO266" s="82"/>
      <c r="AP266" s="287"/>
      <c r="AQ266" s="82"/>
      <c r="AR266" s="287"/>
      <c r="AS266" s="82"/>
      <c r="AT266" s="287"/>
      <c r="AU266" s="82"/>
      <c r="AV266" s="50">
        <f>IFERROR(VLOOKUP(A266,'Site check'!A:Q,14,0),0)</f>
        <v>0</v>
      </c>
    </row>
    <row r="267" spans="1:48">
      <c r="A267" s="35"/>
      <c r="H267" s="140">
        <f t="shared" si="15"/>
        <v>0</v>
      </c>
      <c r="I267" s="82"/>
      <c r="J267" s="287"/>
      <c r="K267" s="82"/>
      <c r="L267" s="287"/>
      <c r="M267" s="82"/>
      <c r="N267" s="287"/>
      <c r="O267" s="82"/>
      <c r="P267" s="287"/>
      <c r="Q267" s="82"/>
      <c r="R267" s="287"/>
      <c r="S267" s="82"/>
      <c r="T267" s="287"/>
      <c r="U267" s="82"/>
      <c r="V267" s="287"/>
      <c r="W267" s="82"/>
      <c r="X267" s="287"/>
      <c r="Y267" s="82"/>
      <c r="Z267" s="287"/>
      <c r="AA267" s="82"/>
      <c r="AB267" s="287"/>
      <c r="AC267" s="82"/>
      <c r="AD267" s="287"/>
      <c r="AE267" s="82"/>
      <c r="AF267" s="287"/>
      <c r="AG267" s="82"/>
      <c r="AH267" s="287"/>
      <c r="AI267" s="82"/>
      <c r="AJ267" s="287"/>
      <c r="AK267" s="82"/>
      <c r="AL267" s="287"/>
      <c r="AM267" s="82"/>
      <c r="AN267" s="287"/>
      <c r="AO267" s="82"/>
      <c r="AP267" s="287"/>
      <c r="AQ267" s="82"/>
      <c r="AR267" s="287"/>
      <c r="AS267" s="82"/>
      <c r="AT267" s="287"/>
      <c r="AU267" s="82"/>
      <c r="AV267" s="50">
        <f>IFERROR(VLOOKUP(A267,'Site check'!A:Q,14,0),0)</f>
        <v>0</v>
      </c>
    </row>
    <row r="268" spans="1:48">
      <c r="H268" s="140">
        <f t="shared" si="15"/>
        <v>0</v>
      </c>
    </row>
    <row r="269" spans="1:48">
      <c r="A269" s="25"/>
      <c r="B269" s="25"/>
      <c r="C269" s="25"/>
      <c r="D269" s="25"/>
      <c r="E269" s="25"/>
      <c r="F269" s="25"/>
    </row>
  </sheetData>
  <sheetProtection algorithmName="SHA-512" hashValue="hxIxWUGWcRCOdlcLkuQiSquhnnajKYJ55cVctmx6PGyOitbhNkxny3WapKCmnpLWXSNMGI/aTiZ7fiIDUxZeAA==" saltValue="moUuhoM0eZT9lbuSZ+Etzg==" spinCount="100000" sheet="1" scenarios="1" formatCells="0" autoFilter="0"/>
  <autoFilter ref="A7:AK268" xr:uid="{00000000-0009-0000-0000-000003000000}"/>
  <mergeCells count="2">
    <mergeCell ref="J2:L2"/>
    <mergeCell ref="D1:H1"/>
  </mergeCells>
  <phoneticPr fontId="17" type="noConversion"/>
  <conditionalFormatting sqref="I127">
    <cfRule type="expression" dxfId="130" priority="1">
      <formula>$X127="Not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zoomScale="80" zoomScaleNormal="80" workbookViewId="0">
      <pane xSplit="1" ySplit="1" topLeftCell="K106" activePane="bottomRight" state="frozen"/>
      <selection pane="bottomRight" activeCell="K4" sqref="K4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757</v>
      </c>
      <c r="B1" t="s">
        <v>284</v>
      </c>
      <c r="C1" t="s">
        <v>269</v>
      </c>
      <c r="D1" s="52" t="s">
        <v>758</v>
      </c>
      <c r="E1" t="s">
        <v>294</v>
      </c>
      <c r="F1" t="s">
        <v>295</v>
      </c>
      <c r="G1" s="52" t="s">
        <v>287</v>
      </c>
      <c r="H1" s="52" t="s">
        <v>288</v>
      </c>
      <c r="I1" s="52" t="s">
        <v>289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759</v>
      </c>
      <c r="P1" s="11" t="s">
        <v>307</v>
      </c>
      <c r="Q1" s="65" t="s">
        <v>760</v>
      </c>
      <c r="R1" s="9" t="s">
        <v>309</v>
      </c>
      <c r="S1" s="13" t="s">
        <v>760</v>
      </c>
      <c r="T1" s="9" t="s">
        <v>309</v>
      </c>
      <c r="U1" s="13" t="s">
        <v>760</v>
      </c>
      <c r="V1" s="9" t="s">
        <v>309</v>
      </c>
      <c r="W1" s="13" t="s">
        <v>760</v>
      </c>
      <c r="X1" s="9" t="s">
        <v>309</v>
      </c>
      <c r="Y1" s="13" t="s">
        <v>760</v>
      </c>
      <c r="Z1" s="9" t="s">
        <v>309</v>
      </c>
      <c r="AA1" s="13" t="s">
        <v>760</v>
      </c>
      <c r="AB1" s="9" t="s">
        <v>309</v>
      </c>
      <c r="AC1" s="13" t="s">
        <v>760</v>
      </c>
      <c r="AD1" s="9" t="s">
        <v>309</v>
      </c>
      <c r="AE1" s="13" t="s">
        <v>760</v>
      </c>
      <c r="AF1" s="9" t="s">
        <v>309</v>
      </c>
      <c r="AG1" s="13" t="s">
        <v>760</v>
      </c>
      <c r="AH1" s="9" t="s">
        <v>309</v>
      </c>
      <c r="AI1" s="13" t="s">
        <v>760</v>
      </c>
      <c r="AJ1" s="9" t="s">
        <v>309</v>
      </c>
      <c r="AK1" s="13" t="s">
        <v>760</v>
      </c>
      <c r="AL1" s="9" t="s">
        <v>309</v>
      </c>
      <c r="AM1" s="13" t="s">
        <v>760</v>
      </c>
      <c r="AN1" s="9" t="s">
        <v>309</v>
      </c>
      <c r="AO1" s="13" t="s">
        <v>760</v>
      </c>
      <c r="AP1" s="9" t="s">
        <v>309</v>
      </c>
      <c r="AQ1" s="13" t="s">
        <v>760</v>
      </c>
      <c r="AR1" s="9" t="s">
        <v>309</v>
      </c>
      <c r="AS1" s="13" t="s">
        <v>760</v>
      </c>
      <c r="AT1" s="9"/>
      <c r="AU1" s="13" t="s">
        <v>760</v>
      </c>
      <c r="AV1" s="9"/>
      <c r="AW1" s="13" t="s">
        <v>760</v>
      </c>
      <c r="AX1" s="13" t="s">
        <v>761</v>
      </c>
      <c r="AY1" s="13" t="s">
        <v>762</v>
      </c>
      <c r="AZ1" s="49" t="s">
        <v>763</v>
      </c>
      <c r="BA1" s="49" t="s">
        <v>764</v>
      </c>
      <c r="BB1" s="52" t="s">
        <v>765</v>
      </c>
      <c r="BC1" s="52" t="s">
        <v>766</v>
      </c>
    </row>
    <row r="2" spans="1:55" ht="13.15">
      <c r="A2" t="s">
        <v>767</v>
      </c>
      <c r="B2" t="s">
        <v>77</v>
      </c>
      <c r="C2" s="52" t="s">
        <v>768</v>
      </c>
      <c r="D2" s="52" t="s">
        <v>768</v>
      </c>
      <c r="E2">
        <v>0</v>
      </c>
      <c r="F2">
        <v>0</v>
      </c>
      <c r="G2" s="64">
        <v>0</v>
      </c>
      <c r="H2">
        <v>300</v>
      </c>
      <c r="I2">
        <v>300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s="69">
        <f>SUM(AY2+BA2)</f>
        <v>0</v>
      </c>
      <c r="Q2" s="93"/>
      <c r="R2" s="81"/>
      <c r="S2" s="94"/>
      <c r="T2" s="81"/>
      <c r="U2" s="93"/>
      <c r="V2" s="81"/>
      <c r="W2" s="94"/>
      <c r="X2" s="81"/>
      <c r="Y2" s="93"/>
      <c r="Z2" s="81"/>
      <c r="AA2" s="94"/>
      <c r="AB2" s="81"/>
      <c r="AC2" s="93"/>
      <c r="AD2" s="81"/>
      <c r="AE2" s="94"/>
      <c r="AF2" s="81"/>
      <c r="AG2" s="93"/>
      <c r="AH2" s="81"/>
      <c r="AI2" s="94"/>
      <c r="AJ2" s="81"/>
      <c r="AK2" s="93"/>
      <c r="AL2" s="81"/>
      <c r="AM2" s="94"/>
      <c r="AN2" s="81"/>
      <c r="AO2" s="93"/>
      <c r="AP2" s="81"/>
      <c r="AQ2" s="94"/>
      <c r="AR2" s="81"/>
      <c r="AS2" s="94"/>
      <c r="AT2" s="306"/>
      <c r="AU2" s="94"/>
      <c r="AV2" s="306"/>
      <c r="AW2" s="94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">
        <v>769</v>
      </c>
      <c r="B3" t="s">
        <v>77</v>
      </c>
      <c r="C3" s="52" t="s">
        <v>768</v>
      </c>
      <c r="D3" s="52" t="s">
        <v>768</v>
      </c>
      <c r="E3">
        <v>0</v>
      </c>
      <c r="F3">
        <v>0</v>
      </c>
      <c r="G3" s="64">
        <v>0</v>
      </c>
      <c r="H3">
        <v>300</v>
      </c>
      <c r="I3">
        <v>300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 s="69">
        <f t="shared" ref="P3:P67" si="2">SUM(AY3+BA3)</f>
        <v>20.833333333333332</v>
      </c>
      <c r="Q3" s="104" t="s">
        <v>457</v>
      </c>
      <c r="R3" s="103">
        <v>1</v>
      </c>
      <c r="S3" s="94"/>
      <c r="T3" s="81"/>
      <c r="U3" s="93"/>
      <c r="V3" s="81"/>
      <c r="W3" s="94"/>
      <c r="X3" s="81"/>
      <c r="Y3" s="93"/>
      <c r="Z3" s="81"/>
      <c r="AA3" s="94"/>
      <c r="AB3" s="81"/>
      <c r="AC3" s="93"/>
      <c r="AD3" s="81"/>
      <c r="AE3" s="94"/>
      <c r="AF3" s="81"/>
      <c r="AG3" s="93"/>
      <c r="AH3" s="81"/>
      <c r="AI3" s="94"/>
      <c r="AJ3" s="81"/>
      <c r="AK3" s="93"/>
      <c r="AL3" s="81"/>
      <c r="AM3" s="94"/>
      <c r="AN3" s="81"/>
      <c r="AO3" s="93"/>
      <c r="AP3" s="81"/>
      <c r="AQ3" s="94"/>
      <c r="AR3" s="81"/>
      <c r="AS3" s="94"/>
      <c r="AT3" s="306"/>
      <c r="AU3" s="94"/>
      <c r="AV3" s="306"/>
      <c r="AW3" s="94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">
        <v>770</v>
      </c>
      <c r="B4" t="s">
        <v>77</v>
      </c>
      <c r="C4" s="52" t="s">
        <v>768</v>
      </c>
      <c r="D4" s="52" t="s">
        <v>768</v>
      </c>
      <c r="E4">
        <v>0</v>
      </c>
      <c r="F4">
        <v>0</v>
      </c>
      <c r="G4" s="64">
        <v>0</v>
      </c>
      <c r="H4">
        <v>300</v>
      </c>
      <c r="I4">
        <v>300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 s="69">
        <f t="shared" si="2"/>
        <v>0</v>
      </c>
      <c r="Q4" s="93"/>
      <c r="R4" s="81"/>
      <c r="S4" s="94"/>
      <c r="T4" s="81"/>
      <c r="U4" s="93"/>
      <c r="V4" s="81"/>
      <c r="W4" s="94"/>
      <c r="X4" s="81"/>
      <c r="Y4" s="93"/>
      <c r="Z4" s="81"/>
      <c r="AA4" s="94"/>
      <c r="AB4" s="81"/>
      <c r="AC4" s="93"/>
      <c r="AD4" s="81"/>
      <c r="AE4" s="94"/>
      <c r="AF4" s="81"/>
      <c r="AG4" s="93"/>
      <c r="AH4" s="81"/>
      <c r="AI4" s="94"/>
      <c r="AJ4" s="81"/>
      <c r="AK4" s="93"/>
      <c r="AL4" s="81"/>
      <c r="AM4" s="94"/>
      <c r="AN4" s="81"/>
      <c r="AO4" s="93"/>
      <c r="AP4" s="81"/>
      <c r="AQ4" s="94"/>
      <c r="AR4" s="81"/>
      <c r="AS4" s="94"/>
      <c r="AT4" s="306"/>
      <c r="AU4" s="94"/>
      <c r="AV4" s="306"/>
      <c r="AW4" s="94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">
        <v>771</v>
      </c>
      <c r="B5" t="s">
        <v>78</v>
      </c>
      <c r="C5" s="52" t="s">
        <v>772</v>
      </c>
      <c r="D5" s="52" t="s">
        <v>772</v>
      </c>
      <c r="E5">
        <v>40</v>
      </c>
      <c r="F5">
        <v>40</v>
      </c>
      <c r="G5" s="64">
        <v>44243</v>
      </c>
      <c r="H5">
        <v>300</v>
      </c>
      <c r="I5">
        <v>300</v>
      </c>
      <c r="J5">
        <v>8</v>
      </c>
      <c r="K5">
        <v>10</v>
      </c>
      <c r="L5">
        <v>1</v>
      </c>
      <c r="M5">
        <v>0</v>
      </c>
      <c r="N5">
        <v>0</v>
      </c>
      <c r="O5">
        <v>17</v>
      </c>
      <c r="P5" s="69">
        <f t="shared" si="2"/>
        <v>0</v>
      </c>
      <c r="Q5" s="84"/>
      <c r="R5" s="85"/>
      <c r="S5" s="94"/>
      <c r="T5" s="81"/>
      <c r="U5" s="93"/>
      <c r="V5" s="81"/>
      <c r="W5" s="94"/>
      <c r="X5" s="81"/>
      <c r="Y5" s="93"/>
      <c r="Z5" s="81"/>
      <c r="AA5" s="94"/>
      <c r="AB5" s="81"/>
      <c r="AC5" s="93"/>
      <c r="AD5" s="81"/>
      <c r="AE5" s="94"/>
      <c r="AF5" s="81"/>
      <c r="AG5" s="93"/>
      <c r="AH5" s="81"/>
      <c r="AI5" s="94"/>
      <c r="AJ5" s="81"/>
      <c r="AK5" s="93"/>
      <c r="AL5" s="81"/>
      <c r="AM5" s="94"/>
      <c r="AN5" s="81"/>
      <c r="AO5" s="93"/>
      <c r="AP5" s="81"/>
      <c r="AQ5" s="94"/>
      <c r="AR5" s="81"/>
      <c r="AS5" s="94"/>
      <c r="AT5" s="306"/>
      <c r="AU5" s="94"/>
      <c r="AV5" s="306"/>
      <c r="AW5" s="94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">
        <v>773</v>
      </c>
      <c r="B6" t="s">
        <v>82</v>
      </c>
      <c r="C6" s="52" t="s">
        <v>774</v>
      </c>
      <c r="D6" s="52" t="s">
        <v>774</v>
      </c>
      <c r="E6">
        <v>0</v>
      </c>
      <c r="F6">
        <v>0</v>
      </c>
      <c r="G6" s="64">
        <v>45055</v>
      </c>
      <c r="H6">
        <v>50</v>
      </c>
      <c r="I6">
        <v>50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 s="69">
        <f t="shared" si="2"/>
        <v>0</v>
      </c>
      <c r="Q6" s="93"/>
      <c r="R6" s="81"/>
      <c r="S6" s="94"/>
      <c r="T6" s="81"/>
      <c r="U6" s="93"/>
      <c r="V6" s="81"/>
      <c r="W6" s="94"/>
      <c r="X6" s="81"/>
      <c r="Y6" s="93"/>
      <c r="Z6" s="81"/>
      <c r="AA6" s="94"/>
      <c r="AB6" s="81"/>
      <c r="AC6" s="93"/>
      <c r="AD6" s="81"/>
      <c r="AE6" s="94"/>
      <c r="AF6" s="81"/>
      <c r="AG6" s="93"/>
      <c r="AH6" s="81"/>
      <c r="AI6" s="94"/>
      <c r="AJ6" s="81"/>
      <c r="AK6" s="93"/>
      <c r="AL6" s="81"/>
      <c r="AM6" s="94"/>
      <c r="AN6" s="81"/>
      <c r="AO6" s="93"/>
      <c r="AP6" s="81"/>
      <c r="AQ6" s="94"/>
      <c r="AR6" s="81"/>
      <c r="AS6" s="94"/>
      <c r="AT6" s="306"/>
      <c r="AU6" s="94"/>
      <c r="AV6" s="306"/>
      <c r="AW6" s="94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">
        <v>775</v>
      </c>
      <c r="B7" t="s">
        <v>82</v>
      </c>
      <c r="C7" s="52" t="s">
        <v>774</v>
      </c>
      <c r="D7" s="52" t="s">
        <v>774</v>
      </c>
      <c r="E7">
        <v>0</v>
      </c>
      <c r="F7">
        <v>0</v>
      </c>
      <c r="G7" s="64">
        <v>44258</v>
      </c>
      <c r="H7">
        <v>300</v>
      </c>
      <c r="I7">
        <v>300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69">
        <f t="shared" si="2"/>
        <v>0</v>
      </c>
      <c r="Q7" s="93"/>
      <c r="R7" s="81"/>
      <c r="S7" s="94"/>
      <c r="T7" s="81"/>
      <c r="U7" s="93"/>
      <c r="V7" s="81"/>
      <c r="W7" s="94"/>
      <c r="X7" s="81"/>
      <c r="Y7" s="93"/>
      <c r="Z7" s="81"/>
      <c r="AA7" s="94"/>
      <c r="AB7" s="81"/>
      <c r="AC7" s="93"/>
      <c r="AD7" s="81"/>
      <c r="AE7" s="94"/>
      <c r="AF7" s="81"/>
      <c r="AG7" s="93"/>
      <c r="AH7" s="81"/>
      <c r="AI7" s="94"/>
      <c r="AJ7" s="81"/>
      <c r="AK7" s="93"/>
      <c r="AL7" s="81"/>
      <c r="AM7" s="94"/>
      <c r="AN7" s="81"/>
      <c r="AO7" s="93"/>
      <c r="AP7" s="81"/>
      <c r="AQ7" s="94"/>
      <c r="AR7" s="81"/>
      <c r="AS7" s="94"/>
      <c r="AT7" s="306"/>
      <c r="AU7" s="94"/>
      <c r="AV7" s="306"/>
      <c r="AW7" s="94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">
        <v>776</v>
      </c>
      <c r="B8" t="s">
        <v>82</v>
      </c>
      <c r="C8" s="52" t="s">
        <v>774</v>
      </c>
      <c r="D8" s="52" t="s">
        <v>774</v>
      </c>
      <c r="E8">
        <v>0</v>
      </c>
      <c r="F8">
        <v>0</v>
      </c>
      <c r="G8" s="64">
        <v>44258</v>
      </c>
      <c r="H8">
        <v>300</v>
      </c>
      <c r="I8">
        <v>300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 s="69">
        <f t="shared" si="2"/>
        <v>0</v>
      </c>
      <c r="Q8" s="93"/>
      <c r="R8" s="81"/>
      <c r="S8" s="94"/>
      <c r="T8" s="81"/>
      <c r="U8" s="93"/>
      <c r="V8" s="81"/>
      <c r="W8" s="94"/>
      <c r="X8" s="81"/>
      <c r="Y8" s="93"/>
      <c r="Z8" s="81"/>
      <c r="AA8" s="94"/>
      <c r="AB8" s="81"/>
      <c r="AC8" s="93"/>
      <c r="AD8" s="81"/>
      <c r="AE8" s="94"/>
      <c r="AF8" s="81"/>
      <c r="AG8" s="93"/>
      <c r="AH8" s="81"/>
      <c r="AI8" s="94"/>
      <c r="AJ8" s="81"/>
      <c r="AK8" s="93"/>
      <c r="AL8" s="81"/>
      <c r="AM8" s="94"/>
      <c r="AN8" s="81"/>
      <c r="AO8" s="93"/>
      <c r="AP8" s="81"/>
      <c r="AQ8" s="94"/>
      <c r="AR8" s="81"/>
      <c r="AS8" s="94"/>
      <c r="AT8" s="306"/>
      <c r="AU8" s="94"/>
      <c r="AV8" s="306"/>
      <c r="AW8" s="94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">
        <v>777</v>
      </c>
      <c r="B9" t="s">
        <v>82</v>
      </c>
      <c r="C9" s="52" t="s">
        <v>774</v>
      </c>
      <c r="D9" s="52" t="s">
        <v>774</v>
      </c>
      <c r="E9">
        <v>0</v>
      </c>
      <c r="F9">
        <v>0</v>
      </c>
      <c r="G9" s="64">
        <v>45055</v>
      </c>
      <c r="H9">
        <v>375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 s="69">
        <f t="shared" si="2"/>
        <v>0</v>
      </c>
      <c r="Q9" s="93"/>
      <c r="R9" s="81"/>
      <c r="S9" s="94"/>
      <c r="T9" s="81"/>
      <c r="U9" s="93"/>
      <c r="V9" s="81"/>
      <c r="W9" s="94"/>
      <c r="X9" s="81"/>
      <c r="Y9" s="93"/>
      <c r="Z9" s="81"/>
      <c r="AA9" s="94"/>
      <c r="AB9" s="81"/>
      <c r="AC9" s="93"/>
      <c r="AD9" s="81"/>
      <c r="AE9" s="94"/>
      <c r="AF9" s="81"/>
      <c r="AG9" s="93"/>
      <c r="AH9" s="81"/>
      <c r="AI9" s="94"/>
      <c r="AJ9" s="81"/>
      <c r="AK9" s="93"/>
      <c r="AL9" s="81"/>
      <c r="AM9" s="94"/>
      <c r="AN9" s="81"/>
      <c r="AO9" s="93"/>
      <c r="AP9" s="81"/>
      <c r="AQ9" s="94"/>
      <c r="AR9" s="81"/>
      <c r="AS9" s="94"/>
      <c r="AT9" s="306"/>
      <c r="AU9" s="94"/>
      <c r="AV9" s="306"/>
      <c r="AW9" s="94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">
        <v>778</v>
      </c>
      <c r="B10" t="s">
        <v>82</v>
      </c>
      <c r="C10" s="52" t="s">
        <v>774</v>
      </c>
      <c r="D10" s="52" t="s">
        <v>774</v>
      </c>
      <c r="E10">
        <v>0</v>
      </c>
      <c r="F10">
        <v>0</v>
      </c>
      <c r="G10" s="64">
        <v>0</v>
      </c>
      <c r="H10">
        <v>300</v>
      </c>
      <c r="I10">
        <v>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69">
        <f t="shared" si="2"/>
        <v>0</v>
      </c>
      <c r="Q10" s="93"/>
      <c r="R10" s="81"/>
      <c r="S10" s="94"/>
      <c r="T10" s="81"/>
      <c r="U10" s="93"/>
      <c r="V10" s="81"/>
      <c r="W10" s="94"/>
      <c r="X10" s="81"/>
      <c r="Y10" s="93"/>
      <c r="Z10" s="81"/>
      <c r="AA10" s="94"/>
      <c r="AB10" s="81"/>
      <c r="AC10" s="93"/>
      <c r="AD10" s="81"/>
      <c r="AE10" s="94"/>
      <c r="AF10" s="81"/>
      <c r="AG10" s="93"/>
      <c r="AH10" s="81"/>
      <c r="AI10" s="94"/>
      <c r="AJ10" s="81"/>
      <c r="AK10" s="93"/>
      <c r="AL10" s="81"/>
      <c r="AM10" s="94"/>
      <c r="AN10" s="81"/>
      <c r="AO10" s="93"/>
      <c r="AP10" s="81"/>
      <c r="AQ10" s="94"/>
      <c r="AR10" s="81"/>
      <c r="AS10" s="94"/>
      <c r="AT10" s="306"/>
      <c r="AU10" s="94"/>
      <c r="AV10" s="306"/>
      <c r="AW10" s="94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">
        <v>779</v>
      </c>
      <c r="B11" t="s">
        <v>153</v>
      </c>
      <c r="C11" s="52" t="s">
        <v>780</v>
      </c>
      <c r="D11" s="52" t="s">
        <v>780</v>
      </c>
      <c r="E11" t="s">
        <v>781</v>
      </c>
      <c r="F11">
        <v>0</v>
      </c>
      <c r="G11" s="6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69">
        <f t="shared" si="2"/>
        <v>0</v>
      </c>
      <c r="Q11" s="93"/>
      <c r="R11" s="81"/>
      <c r="S11" s="94"/>
      <c r="T11" s="81"/>
      <c r="U11" s="93"/>
      <c r="V11" s="81"/>
      <c r="W11" s="94"/>
      <c r="X11" s="81"/>
      <c r="Y11" s="93"/>
      <c r="Z11" s="81"/>
      <c r="AA11" s="94"/>
      <c r="AB11" s="81"/>
      <c r="AC11" s="93"/>
      <c r="AD11" s="81"/>
      <c r="AE11" s="94"/>
      <c r="AF11" s="81"/>
      <c r="AG11" s="93"/>
      <c r="AH11" s="81"/>
      <c r="AI11" s="94"/>
      <c r="AJ11" s="81"/>
      <c r="AK11" s="93"/>
      <c r="AL11" s="81"/>
      <c r="AM11" s="94"/>
      <c r="AN11" s="81"/>
      <c r="AO11" s="93"/>
      <c r="AP11" s="81"/>
      <c r="AQ11" s="94"/>
      <c r="AR11" s="81"/>
      <c r="AS11" s="94"/>
      <c r="AT11" s="306"/>
      <c r="AU11" s="94"/>
      <c r="AV11" s="306"/>
      <c r="AW11" s="94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">
        <v>782</v>
      </c>
      <c r="B12" t="s">
        <v>184</v>
      </c>
      <c r="C12" s="52" t="s">
        <v>783</v>
      </c>
      <c r="D12" s="52" t="s">
        <v>783</v>
      </c>
      <c r="E12">
        <v>20</v>
      </c>
      <c r="F12">
        <v>20</v>
      </c>
      <c r="G12" s="64">
        <v>44118</v>
      </c>
      <c r="H12">
        <v>300</v>
      </c>
      <c r="I12">
        <v>300</v>
      </c>
      <c r="J12">
        <v>10</v>
      </c>
      <c r="K12">
        <v>6</v>
      </c>
      <c r="L12">
        <v>4</v>
      </c>
      <c r="M12">
        <v>0</v>
      </c>
      <c r="N12">
        <v>0</v>
      </c>
      <c r="O12">
        <v>20</v>
      </c>
      <c r="P12" s="69">
        <f t="shared" si="2"/>
        <v>104.16666666666667</v>
      </c>
      <c r="Q12" s="82" t="s">
        <v>645</v>
      </c>
      <c r="R12" s="83">
        <v>5</v>
      </c>
      <c r="S12" s="94"/>
      <c r="T12" s="81"/>
      <c r="U12" s="93"/>
      <c r="V12" s="81"/>
      <c r="W12" s="94"/>
      <c r="X12" s="81"/>
      <c r="Y12" s="93"/>
      <c r="Z12" s="81"/>
      <c r="AA12" s="94"/>
      <c r="AB12" s="81"/>
      <c r="AC12" s="93"/>
      <c r="AD12" s="81"/>
      <c r="AE12" s="94"/>
      <c r="AF12" s="81"/>
      <c r="AG12" s="93"/>
      <c r="AH12" s="81"/>
      <c r="AI12" s="94"/>
      <c r="AJ12" s="81"/>
      <c r="AK12" s="93"/>
      <c r="AL12" s="81"/>
      <c r="AM12" s="94"/>
      <c r="AN12" s="81"/>
      <c r="AO12" s="93"/>
      <c r="AP12" s="81"/>
      <c r="AQ12" s="94"/>
      <c r="AR12" s="81"/>
      <c r="AS12" s="94"/>
      <c r="AT12" s="306"/>
      <c r="AU12" s="94"/>
      <c r="AV12" s="306"/>
      <c r="AW12" s="94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">
        <v>784</v>
      </c>
      <c r="B13" t="s">
        <v>185</v>
      </c>
      <c r="C13" s="52" t="s">
        <v>785</v>
      </c>
      <c r="D13" s="52" t="s">
        <v>785</v>
      </c>
      <c r="E13">
        <v>0</v>
      </c>
      <c r="F13">
        <v>0</v>
      </c>
      <c r="G13" s="64">
        <v>0</v>
      </c>
      <c r="H13">
        <v>300</v>
      </c>
      <c r="I13">
        <v>300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 s="69">
        <f t="shared" si="2"/>
        <v>0</v>
      </c>
      <c r="Q13" s="93"/>
      <c r="R13" s="81"/>
      <c r="S13" s="94"/>
      <c r="T13" s="81"/>
      <c r="U13" s="93"/>
      <c r="V13" s="81"/>
      <c r="W13" s="94"/>
      <c r="X13" s="81"/>
      <c r="Y13" s="93"/>
      <c r="Z13" s="81"/>
      <c r="AA13" s="94"/>
      <c r="AB13" s="81"/>
      <c r="AC13" s="93"/>
      <c r="AD13" s="81"/>
      <c r="AE13" s="94"/>
      <c r="AF13" s="81"/>
      <c r="AG13" s="93"/>
      <c r="AH13" s="81"/>
      <c r="AI13" s="94"/>
      <c r="AJ13" s="81"/>
      <c r="AK13" s="93"/>
      <c r="AL13" s="81"/>
      <c r="AM13" s="94"/>
      <c r="AN13" s="81"/>
      <c r="AO13" s="93"/>
      <c r="AP13" s="81"/>
      <c r="AQ13" s="94"/>
      <c r="AR13" s="81"/>
      <c r="AS13" s="94"/>
      <c r="AT13" s="306"/>
      <c r="AU13" s="94"/>
      <c r="AV13" s="306"/>
      <c r="AW13" s="94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">
        <v>786</v>
      </c>
      <c r="B14" t="s">
        <v>185</v>
      </c>
      <c r="C14" s="52" t="s">
        <v>785</v>
      </c>
      <c r="D14" s="52" t="s">
        <v>785</v>
      </c>
      <c r="E14">
        <v>0</v>
      </c>
      <c r="F14">
        <v>0</v>
      </c>
      <c r="G14" s="64">
        <v>0</v>
      </c>
      <c r="H14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69">
        <f t="shared" si="2"/>
        <v>0</v>
      </c>
      <c r="Q14" s="93"/>
      <c r="R14" s="81"/>
      <c r="S14" s="94"/>
      <c r="T14" s="81"/>
      <c r="U14" s="93"/>
      <c r="V14" s="81"/>
      <c r="W14" s="94"/>
      <c r="X14" s="81"/>
      <c r="Y14" s="93"/>
      <c r="Z14" s="81"/>
      <c r="AA14" s="94"/>
      <c r="AB14" s="81"/>
      <c r="AC14" s="93"/>
      <c r="AD14" s="81"/>
      <c r="AE14" s="94"/>
      <c r="AF14" s="81"/>
      <c r="AG14" s="93"/>
      <c r="AH14" s="81"/>
      <c r="AI14" s="94"/>
      <c r="AJ14" s="81"/>
      <c r="AK14" s="93"/>
      <c r="AL14" s="81"/>
      <c r="AM14" s="94"/>
      <c r="AN14" s="81"/>
      <c r="AO14" s="93"/>
      <c r="AP14" s="81"/>
      <c r="AQ14" s="94"/>
      <c r="AR14" s="81"/>
      <c r="AS14" s="94"/>
      <c r="AT14" s="306"/>
      <c r="AU14" s="94"/>
      <c r="AV14" s="306"/>
      <c r="AW14" s="94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">
        <v>787</v>
      </c>
      <c r="B15" t="s">
        <v>185</v>
      </c>
      <c r="C15" s="52" t="s">
        <v>785</v>
      </c>
      <c r="D15" s="52" t="s">
        <v>785</v>
      </c>
      <c r="E15">
        <v>0</v>
      </c>
      <c r="F15">
        <v>0</v>
      </c>
      <c r="G15" s="64">
        <v>0</v>
      </c>
      <c r="H15">
        <v>300</v>
      </c>
      <c r="I15">
        <v>300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69">
        <f t="shared" si="2"/>
        <v>0</v>
      </c>
      <c r="Q15" s="93"/>
      <c r="R15" s="81"/>
      <c r="S15" s="94"/>
      <c r="T15" s="81"/>
      <c r="U15" s="93"/>
      <c r="V15" s="81"/>
      <c r="W15" s="94"/>
      <c r="X15" s="81"/>
      <c r="Y15" s="93"/>
      <c r="Z15" s="81"/>
      <c r="AA15" s="94"/>
      <c r="AB15" s="81"/>
      <c r="AC15" s="93"/>
      <c r="AD15" s="81"/>
      <c r="AE15" s="94"/>
      <c r="AF15" s="81"/>
      <c r="AG15" s="93"/>
      <c r="AH15" s="81"/>
      <c r="AI15" s="94"/>
      <c r="AJ15" s="81"/>
      <c r="AK15" s="93"/>
      <c r="AL15" s="81"/>
      <c r="AM15" s="94"/>
      <c r="AN15" s="81"/>
      <c r="AO15" s="93"/>
      <c r="AP15" s="81"/>
      <c r="AQ15" s="94"/>
      <c r="AR15" s="81"/>
      <c r="AS15" s="94"/>
      <c r="AT15" s="306"/>
      <c r="AU15" s="94"/>
      <c r="AV15" s="306"/>
      <c r="AW15" s="94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">
        <v>788</v>
      </c>
      <c r="B16" t="s">
        <v>185</v>
      </c>
      <c r="C16" s="52" t="s">
        <v>785</v>
      </c>
      <c r="D16" s="52" t="s">
        <v>785</v>
      </c>
      <c r="E16">
        <v>0</v>
      </c>
      <c r="F16">
        <v>0</v>
      </c>
      <c r="G16" s="64">
        <v>0</v>
      </c>
      <c r="H16">
        <v>300</v>
      </c>
      <c r="I16">
        <v>300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 s="69">
        <f t="shared" si="2"/>
        <v>0</v>
      </c>
      <c r="Q16" s="93"/>
      <c r="R16" s="81"/>
      <c r="S16" s="94"/>
      <c r="T16" s="81"/>
      <c r="U16" s="93"/>
      <c r="V16" s="81"/>
      <c r="W16" s="94"/>
      <c r="X16" s="81"/>
      <c r="Y16" s="93"/>
      <c r="Z16" s="81"/>
      <c r="AA16" s="94"/>
      <c r="AB16" s="81"/>
      <c r="AC16" s="93"/>
      <c r="AD16" s="81"/>
      <c r="AE16" s="94"/>
      <c r="AF16" s="81"/>
      <c r="AG16" s="93"/>
      <c r="AH16" s="81"/>
      <c r="AI16" s="94"/>
      <c r="AJ16" s="81"/>
      <c r="AK16" s="93"/>
      <c r="AL16" s="81"/>
      <c r="AM16" s="94"/>
      <c r="AN16" s="81"/>
      <c r="AO16" s="93"/>
      <c r="AP16" s="81"/>
      <c r="AQ16" s="94"/>
      <c r="AR16" s="81"/>
      <c r="AS16" s="94"/>
      <c r="AT16" s="306"/>
      <c r="AU16" s="94"/>
      <c r="AV16" s="306"/>
      <c r="AW16" s="94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">
        <v>789</v>
      </c>
      <c r="B17" t="s">
        <v>205</v>
      </c>
      <c r="C17" s="52" t="s">
        <v>790</v>
      </c>
      <c r="D17" s="52" t="s">
        <v>790</v>
      </c>
      <c r="E17">
        <v>85</v>
      </c>
      <c r="F17">
        <v>85</v>
      </c>
      <c r="G17" s="64">
        <v>45096</v>
      </c>
      <c r="H17">
        <v>300</v>
      </c>
      <c r="I17">
        <v>300</v>
      </c>
      <c r="J17">
        <v>0</v>
      </c>
      <c r="K17">
        <v>2</v>
      </c>
      <c r="L17">
        <v>0</v>
      </c>
      <c r="M17">
        <v>10</v>
      </c>
      <c r="N17">
        <v>9</v>
      </c>
      <c r="O17">
        <v>0</v>
      </c>
      <c r="P17" s="69">
        <f t="shared" si="2"/>
        <v>62.5</v>
      </c>
      <c r="Q17" s="109" t="s">
        <v>668</v>
      </c>
      <c r="R17" s="261">
        <v>2</v>
      </c>
      <c r="S17" s="262" t="s">
        <v>669</v>
      </c>
      <c r="T17" s="261">
        <v>1</v>
      </c>
      <c r="U17" s="93"/>
      <c r="V17" s="81"/>
      <c r="W17" s="94"/>
      <c r="X17" s="81"/>
      <c r="Y17" s="93"/>
      <c r="Z17" s="81"/>
      <c r="AA17" s="94"/>
      <c r="AB17" s="81"/>
      <c r="AC17" s="93"/>
      <c r="AD17" s="81"/>
      <c r="AE17" s="94"/>
      <c r="AF17" s="81"/>
      <c r="AG17" s="93"/>
      <c r="AH17" s="81"/>
      <c r="AI17" s="94"/>
      <c r="AJ17" s="81"/>
      <c r="AK17" s="93"/>
      <c r="AL17" s="81"/>
      <c r="AM17" s="94"/>
      <c r="AN17" s="81"/>
      <c r="AO17" s="93"/>
      <c r="AP17" s="81"/>
      <c r="AQ17" s="94"/>
      <c r="AR17" s="81"/>
      <c r="AS17" s="94"/>
      <c r="AT17" s="306"/>
      <c r="AU17" s="94"/>
      <c r="AV17" s="306"/>
      <c r="AW17" s="94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">
        <v>791</v>
      </c>
      <c r="B18" t="s">
        <v>205</v>
      </c>
      <c r="C18" s="52" t="s">
        <v>790</v>
      </c>
      <c r="D18" s="52" t="s">
        <v>790</v>
      </c>
      <c r="E18">
        <v>100</v>
      </c>
      <c r="F18">
        <v>105</v>
      </c>
      <c r="G18" s="64">
        <v>45096</v>
      </c>
      <c r="H18">
        <v>300</v>
      </c>
      <c r="I18">
        <v>300</v>
      </c>
      <c r="J18">
        <v>5</v>
      </c>
      <c r="K18">
        <v>1</v>
      </c>
      <c r="L18">
        <v>1</v>
      </c>
      <c r="M18">
        <v>10</v>
      </c>
      <c r="N18">
        <v>3</v>
      </c>
      <c r="O18">
        <v>0</v>
      </c>
      <c r="P18" s="69">
        <f t="shared" si="2"/>
        <v>0</v>
      </c>
      <c r="Q18" s="93"/>
      <c r="R18" s="81"/>
      <c r="S18" s="94"/>
      <c r="T18" s="81"/>
      <c r="U18" s="93"/>
      <c r="V18" s="81"/>
      <c r="W18" s="94"/>
      <c r="X18" s="81"/>
      <c r="Y18" s="93"/>
      <c r="Z18" s="81"/>
      <c r="AA18" s="94"/>
      <c r="AB18" s="81"/>
      <c r="AC18" s="93"/>
      <c r="AD18" s="81"/>
      <c r="AE18" s="94"/>
      <c r="AF18" s="81"/>
      <c r="AG18" s="93"/>
      <c r="AH18" s="81"/>
      <c r="AI18" s="94"/>
      <c r="AJ18" s="81"/>
      <c r="AK18" s="93"/>
      <c r="AL18" s="81"/>
      <c r="AM18" s="94"/>
      <c r="AN18" s="81"/>
      <c r="AO18" s="93"/>
      <c r="AP18" s="81"/>
      <c r="AQ18" s="94"/>
      <c r="AR18" s="81"/>
      <c r="AS18" s="94"/>
      <c r="AT18" s="306"/>
      <c r="AU18" s="94"/>
      <c r="AV18" s="306"/>
      <c r="AW18" s="94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">
        <v>792</v>
      </c>
      <c r="B19" t="s">
        <v>265</v>
      </c>
      <c r="C19" s="52" t="s">
        <v>793</v>
      </c>
      <c r="D19" s="52" t="s">
        <v>793</v>
      </c>
      <c r="E19">
        <v>0</v>
      </c>
      <c r="F19">
        <v>0</v>
      </c>
      <c r="G19" s="64">
        <v>0</v>
      </c>
      <c r="H19">
        <v>300</v>
      </c>
      <c r="I19">
        <v>300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69">
        <f t="shared" si="2"/>
        <v>0</v>
      </c>
      <c r="Q19" s="93"/>
      <c r="R19" s="81"/>
      <c r="S19" s="94"/>
      <c r="T19" s="81"/>
      <c r="U19" s="93"/>
      <c r="V19" s="81"/>
      <c r="W19" s="94"/>
      <c r="X19" s="81"/>
      <c r="Y19" s="93"/>
      <c r="Z19" s="81"/>
      <c r="AA19" s="94"/>
      <c r="AB19" s="81"/>
      <c r="AC19" s="93"/>
      <c r="AD19" s="81"/>
      <c r="AE19" s="94"/>
      <c r="AF19" s="81"/>
      <c r="AG19" s="93"/>
      <c r="AH19" s="81"/>
      <c r="AI19" s="94"/>
      <c r="AJ19" s="81"/>
      <c r="AK19" s="93"/>
      <c r="AL19" s="81"/>
      <c r="AM19" s="94"/>
      <c r="AN19" s="81"/>
      <c r="AO19" s="93"/>
      <c r="AP19" s="81"/>
      <c r="AQ19" s="94"/>
      <c r="AR19" s="81"/>
      <c r="AS19" s="94"/>
      <c r="AT19" s="306"/>
      <c r="AU19" s="94"/>
      <c r="AV19" s="306"/>
      <c r="AW19" s="94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">
        <v>794</v>
      </c>
      <c r="B20" t="s">
        <v>265</v>
      </c>
      <c r="C20" s="52" t="s">
        <v>793</v>
      </c>
      <c r="D20" s="52" t="s">
        <v>793</v>
      </c>
      <c r="E20">
        <v>0</v>
      </c>
      <c r="F20">
        <v>0</v>
      </c>
      <c r="G20" s="64">
        <v>0</v>
      </c>
      <c r="H20">
        <v>300</v>
      </c>
      <c r="I20">
        <v>300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69">
        <f t="shared" si="2"/>
        <v>20.833333333333332</v>
      </c>
      <c r="Q20" s="109" t="s">
        <v>754</v>
      </c>
      <c r="R20" s="261">
        <v>1</v>
      </c>
      <c r="S20" s="94"/>
      <c r="T20" s="81"/>
      <c r="U20" s="93"/>
      <c r="V20" s="81"/>
      <c r="W20" s="94"/>
      <c r="X20" s="81"/>
      <c r="Y20" s="93"/>
      <c r="Z20" s="81"/>
      <c r="AA20" s="94"/>
      <c r="AB20" s="81"/>
      <c r="AC20" s="93"/>
      <c r="AD20" s="81"/>
      <c r="AE20" s="94"/>
      <c r="AF20" s="81"/>
      <c r="AG20" s="93"/>
      <c r="AH20" s="81"/>
      <c r="AI20" s="94"/>
      <c r="AJ20" s="81"/>
      <c r="AK20" s="93"/>
      <c r="AL20" s="81"/>
      <c r="AM20" s="94"/>
      <c r="AN20" s="81"/>
      <c r="AO20" s="93"/>
      <c r="AP20" s="81"/>
      <c r="AQ20" s="94"/>
      <c r="AR20" s="81"/>
      <c r="AS20" s="94"/>
      <c r="AT20" s="306"/>
      <c r="AU20" s="94"/>
      <c r="AV20" s="306"/>
      <c r="AW20" s="94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">
        <v>795</v>
      </c>
      <c r="B21" t="s">
        <v>265</v>
      </c>
      <c r="C21" s="52" t="s">
        <v>793</v>
      </c>
      <c r="D21" s="52" t="s">
        <v>793</v>
      </c>
      <c r="E21">
        <v>25</v>
      </c>
      <c r="F21">
        <v>25</v>
      </c>
      <c r="G21" s="64">
        <v>45056</v>
      </c>
      <c r="H21">
        <v>300</v>
      </c>
      <c r="I21">
        <v>300</v>
      </c>
      <c r="J21">
        <v>0</v>
      </c>
      <c r="K21">
        <v>1</v>
      </c>
      <c r="L21">
        <v>5</v>
      </c>
      <c r="M21">
        <v>2</v>
      </c>
      <c r="N21">
        <v>0</v>
      </c>
      <c r="O21">
        <v>0</v>
      </c>
      <c r="P21" s="69">
        <f t="shared" si="2"/>
        <v>0</v>
      </c>
      <c r="Q21" s="93"/>
      <c r="R21" s="81"/>
      <c r="S21" s="94"/>
      <c r="T21" s="81"/>
      <c r="U21" s="93"/>
      <c r="V21" s="81"/>
      <c r="W21" s="94"/>
      <c r="X21" s="81"/>
      <c r="Y21" s="93"/>
      <c r="Z21" s="81"/>
      <c r="AA21" s="94"/>
      <c r="AB21" s="81"/>
      <c r="AC21" s="93"/>
      <c r="AD21" s="81"/>
      <c r="AE21" s="94"/>
      <c r="AF21" s="81"/>
      <c r="AG21" s="93"/>
      <c r="AH21" s="81"/>
      <c r="AI21" s="94"/>
      <c r="AJ21" s="81"/>
      <c r="AK21" s="93"/>
      <c r="AL21" s="81"/>
      <c r="AM21" s="94"/>
      <c r="AN21" s="81"/>
      <c r="AO21" s="93"/>
      <c r="AP21" s="81"/>
      <c r="AQ21" s="94"/>
      <c r="AR21" s="81"/>
      <c r="AS21" s="94"/>
      <c r="AT21" s="306"/>
      <c r="AU21" s="94"/>
      <c r="AV21" s="306"/>
      <c r="AW21" s="94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">
        <v>796</v>
      </c>
      <c r="B22" t="s">
        <v>41</v>
      </c>
      <c r="C22" s="52" t="s">
        <v>797</v>
      </c>
      <c r="D22" s="52" t="s">
        <v>797</v>
      </c>
      <c r="E22" t="s">
        <v>798</v>
      </c>
      <c r="F22">
        <v>0</v>
      </c>
      <c r="G22" s="6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69">
        <f t="shared" si="2"/>
        <v>83.333333333333329</v>
      </c>
      <c r="Q22" s="93" t="s">
        <v>799</v>
      </c>
      <c r="R22" s="81">
        <v>4</v>
      </c>
      <c r="S22" s="94"/>
      <c r="T22" s="81"/>
      <c r="U22" s="93"/>
      <c r="V22" s="81"/>
      <c r="W22" s="94"/>
      <c r="X22" s="81"/>
      <c r="Y22" s="93"/>
      <c r="Z22" s="81"/>
      <c r="AA22" s="94"/>
      <c r="AB22" s="81"/>
      <c r="AC22" s="93"/>
      <c r="AD22" s="81"/>
      <c r="AE22" s="94"/>
      <c r="AF22" s="81"/>
      <c r="AG22" s="93"/>
      <c r="AH22" s="81"/>
      <c r="AI22" s="94"/>
      <c r="AJ22" s="81"/>
      <c r="AK22" s="93"/>
      <c r="AL22" s="81"/>
      <c r="AM22" s="94"/>
      <c r="AN22" s="81"/>
      <c r="AO22" s="93"/>
      <c r="AP22" s="81"/>
      <c r="AQ22" s="94"/>
      <c r="AR22" s="81"/>
      <c r="AS22" s="94"/>
      <c r="AT22" s="306"/>
      <c r="AU22" s="94"/>
      <c r="AV22" s="306"/>
      <c r="AW22" s="94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">
        <v>800</v>
      </c>
      <c r="B23" t="s">
        <v>28</v>
      </c>
      <c r="C23" s="52" t="s">
        <v>801</v>
      </c>
      <c r="D23" s="52" t="s">
        <v>801</v>
      </c>
      <c r="E23">
        <v>67.599999999999994</v>
      </c>
      <c r="F23">
        <v>55.5</v>
      </c>
      <c r="G23" s="64">
        <v>45268</v>
      </c>
      <c r="H23">
        <v>360</v>
      </c>
      <c r="I23">
        <v>360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69">
        <f t="shared" si="2"/>
        <v>239.58333333333334</v>
      </c>
      <c r="Q23" s="82" t="s">
        <v>320</v>
      </c>
      <c r="R23" s="83">
        <v>2.6</v>
      </c>
      <c r="S23" s="82" t="s">
        <v>321</v>
      </c>
      <c r="T23" s="83">
        <v>5.4</v>
      </c>
      <c r="U23" s="259" t="s">
        <v>322</v>
      </c>
      <c r="V23" s="289">
        <v>1.6</v>
      </c>
      <c r="W23" s="88" t="s">
        <v>323</v>
      </c>
      <c r="X23" s="89">
        <v>1.9</v>
      </c>
      <c r="Y23" s="93"/>
      <c r="Z23" s="81"/>
      <c r="AA23" s="94"/>
      <c r="AB23" s="81"/>
      <c r="AC23" s="93"/>
      <c r="AD23" s="81"/>
      <c r="AE23" s="94"/>
      <c r="AF23" s="81"/>
      <c r="AG23" s="93"/>
      <c r="AH23" s="81"/>
      <c r="AI23" s="94"/>
      <c r="AJ23" s="81"/>
      <c r="AK23" s="93"/>
      <c r="AL23" s="81"/>
      <c r="AM23" s="94"/>
      <c r="AN23" s="81"/>
      <c r="AO23" s="93"/>
      <c r="AP23" s="81"/>
      <c r="AQ23" s="94"/>
      <c r="AR23" s="81"/>
      <c r="AS23" s="94"/>
      <c r="AT23" s="306"/>
      <c r="AU23" s="94"/>
      <c r="AV23" s="306"/>
      <c r="AW23" s="94"/>
      <c r="AX23" s="66">
        <f t="shared" si="3"/>
        <v>11.5</v>
      </c>
      <c r="AY23" s="78">
        <f t="shared" si="4"/>
        <v>239.58333333333334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187.39166666666665</v>
      </c>
      <c r="BC23" s="53">
        <f t="shared" si="1"/>
        <v>175.29166666666669</v>
      </c>
    </row>
    <row r="24" spans="1:55" ht="13.15">
      <c r="A24" t="s">
        <v>802</v>
      </c>
      <c r="B24" t="s">
        <v>28</v>
      </c>
      <c r="C24" s="52" t="s">
        <v>801</v>
      </c>
      <c r="D24" s="52" t="s">
        <v>801</v>
      </c>
      <c r="E24">
        <v>260</v>
      </c>
      <c r="F24">
        <v>250</v>
      </c>
      <c r="G24" s="64">
        <v>44182</v>
      </c>
      <c r="H24">
        <v>300</v>
      </c>
      <c r="I24">
        <v>300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s="69">
        <f t="shared" si="2"/>
        <v>0</v>
      </c>
      <c r="Q24" s="93"/>
      <c r="R24" s="81"/>
      <c r="S24" s="94"/>
      <c r="T24" s="81"/>
      <c r="U24" s="93"/>
      <c r="V24" s="81"/>
      <c r="W24" s="94"/>
      <c r="X24" s="81"/>
      <c r="Y24" s="93"/>
      <c r="Z24" s="81"/>
      <c r="AA24" s="94"/>
      <c r="AB24" s="81"/>
      <c r="AC24" s="93"/>
      <c r="AD24" s="81"/>
      <c r="AE24" s="94"/>
      <c r="AF24" s="81"/>
      <c r="AG24" s="93"/>
      <c r="AH24" s="81"/>
      <c r="AI24" s="94"/>
      <c r="AJ24" s="81"/>
      <c r="AK24" s="93"/>
      <c r="AL24" s="81"/>
      <c r="AM24" s="94"/>
      <c r="AN24" s="81"/>
      <c r="AO24" s="93"/>
      <c r="AP24" s="81"/>
      <c r="AQ24" s="94"/>
      <c r="AR24" s="81"/>
      <c r="AS24" s="94"/>
      <c r="AT24" s="306"/>
      <c r="AU24" s="94"/>
      <c r="AV24" s="306"/>
      <c r="AW24" s="94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">
        <v>803</v>
      </c>
      <c r="B25" t="s">
        <v>28</v>
      </c>
      <c r="C25" s="52" t="s">
        <v>801</v>
      </c>
      <c r="D25" s="52" t="s">
        <v>801</v>
      </c>
      <c r="E25">
        <v>100</v>
      </c>
      <c r="F25">
        <v>100</v>
      </c>
      <c r="G25" s="64">
        <v>45078</v>
      </c>
      <c r="H25">
        <v>300</v>
      </c>
      <c r="I25">
        <v>300</v>
      </c>
      <c r="J25">
        <v>1</v>
      </c>
      <c r="K25">
        <v>0</v>
      </c>
      <c r="L25">
        <v>0</v>
      </c>
      <c r="M25">
        <v>17</v>
      </c>
      <c r="N25">
        <v>8</v>
      </c>
      <c r="O25">
        <v>0</v>
      </c>
      <c r="P25" s="69">
        <f t="shared" si="2"/>
        <v>0</v>
      </c>
      <c r="Q25" s="93"/>
      <c r="R25" s="81"/>
      <c r="S25" s="94"/>
      <c r="T25" s="81"/>
      <c r="U25" s="93"/>
      <c r="V25" s="81"/>
      <c r="W25" s="94"/>
      <c r="X25" s="81"/>
      <c r="Y25" s="93"/>
      <c r="Z25" s="81"/>
      <c r="AA25" s="94"/>
      <c r="AB25" s="81"/>
      <c r="AC25" s="93"/>
      <c r="AD25" s="81"/>
      <c r="AE25" s="94"/>
      <c r="AF25" s="81"/>
      <c r="AG25" s="93"/>
      <c r="AH25" s="81"/>
      <c r="AI25" s="94"/>
      <c r="AJ25" s="81"/>
      <c r="AK25" s="93"/>
      <c r="AL25" s="81"/>
      <c r="AM25" s="94"/>
      <c r="AN25" s="81"/>
      <c r="AO25" s="93"/>
      <c r="AP25" s="81"/>
      <c r="AQ25" s="94"/>
      <c r="AR25" s="81"/>
      <c r="AS25" s="94"/>
      <c r="AT25" s="306"/>
      <c r="AU25" s="94"/>
      <c r="AV25" s="306"/>
      <c r="AW25" s="94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">
        <v>804</v>
      </c>
      <c r="B26" t="s">
        <v>28</v>
      </c>
      <c r="C26" s="52" t="s">
        <v>801</v>
      </c>
      <c r="D26" s="52" t="s">
        <v>801</v>
      </c>
      <c r="E26">
        <v>140</v>
      </c>
      <c r="F26">
        <v>190</v>
      </c>
      <c r="G26" s="64">
        <v>45078</v>
      </c>
      <c r="H26">
        <v>300</v>
      </c>
      <c r="I26">
        <v>300</v>
      </c>
      <c r="J26">
        <v>3</v>
      </c>
      <c r="K26">
        <v>6</v>
      </c>
      <c r="L26">
        <v>0</v>
      </c>
      <c r="M26">
        <v>3</v>
      </c>
      <c r="N26">
        <v>12</v>
      </c>
      <c r="O26">
        <v>0</v>
      </c>
      <c r="P26" s="69">
        <f t="shared" si="2"/>
        <v>41.666666666666664</v>
      </c>
      <c r="Q26" s="104" t="s">
        <v>324</v>
      </c>
      <c r="R26" s="103">
        <v>1</v>
      </c>
      <c r="S26" s="84" t="s">
        <v>325</v>
      </c>
      <c r="T26" s="85">
        <v>1</v>
      </c>
      <c r="U26" s="93"/>
      <c r="V26" s="81"/>
      <c r="W26" s="94"/>
      <c r="X26" s="81"/>
      <c r="Y26" s="93"/>
      <c r="Z26" s="81"/>
      <c r="AA26" s="94"/>
      <c r="AB26" s="81"/>
      <c r="AC26" s="93"/>
      <c r="AD26" s="81"/>
      <c r="AE26" s="94"/>
      <c r="AF26" s="81"/>
      <c r="AG26" s="93"/>
      <c r="AH26" s="81"/>
      <c r="AI26" s="94"/>
      <c r="AJ26" s="81"/>
      <c r="AK26" s="93"/>
      <c r="AL26" s="81"/>
      <c r="AM26" s="94"/>
      <c r="AN26" s="81"/>
      <c r="AO26" s="93"/>
      <c r="AP26" s="81"/>
      <c r="AQ26" s="94"/>
      <c r="AR26" s="81"/>
      <c r="AS26" s="94"/>
      <c r="AT26" s="306"/>
      <c r="AU26" s="94"/>
      <c r="AV26" s="306"/>
      <c r="AW26" s="94"/>
      <c r="AX26" s="66">
        <f t="shared" si="3"/>
        <v>2</v>
      </c>
      <c r="AY26" s="78">
        <f t="shared" si="4"/>
        <v>41.666666666666664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160.83333333333334</v>
      </c>
      <c r="BC26" s="53">
        <f t="shared" si="1"/>
        <v>210.83333333333334</v>
      </c>
    </row>
    <row r="27" spans="1:55" ht="13.15">
      <c r="A27" t="s">
        <v>805</v>
      </c>
      <c r="B27" t="s">
        <v>28</v>
      </c>
      <c r="C27" s="52" t="s">
        <v>801</v>
      </c>
      <c r="D27" s="52" t="s">
        <v>801</v>
      </c>
      <c r="E27">
        <v>110</v>
      </c>
      <c r="F27">
        <v>120</v>
      </c>
      <c r="G27" s="64">
        <v>45084</v>
      </c>
      <c r="H27">
        <v>300</v>
      </c>
      <c r="I27">
        <v>300</v>
      </c>
      <c r="J27">
        <v>5</v>
      </c>
      <c r="K27">
        <v>6</v>
      </c>
      <c r="L27">
        <v>0</v>
      </c>
      <c r="M27">
        <v>2</v>
      </c>
      <c r="N27">
        <v>10</v>
      </c>
      <c r="O27">
        <v>0</v>
      </c>
      <c r="P27" s="69">
        <f t="shared" si="2"/>
        <v>0</v>
      </c>
      <c r="Q27" s="93"/>
      <c r="R27" s="81"/>
      <c r="S27" s="94"/>
      <c r="T27" s="81"/>
      <c r="U27" s="93"/>
      <c r="V27" s="81"/>
      <c r="W27" s="94"/>
      <c r="X27" s="81"/>
      <c r="Y27" s="93"/>
      <c r="Z27" s="81"/>
      <c r="AA27" s="94"/>
      <c r="AB27" s="81"/>
      <c r="AC27" s="93"/>
      <c r="AD27" s="81"/>
      <c r="AE27" s="94"/>
      <c r="AF27" s="81"/>
      <c r="AG27" s="93"/>
      <c r="AH27" s="81"/>
      <c r="AI27" s="94"/>
      <c r="AJ27" s="81"/>
      <c r="AK27" s="93"/>
      <c r="AL27" s="81"/>
      <c r="AM27" s="94"/>
      <c r="AN27" s="81"/>
      <c r="AO27" s="93"/>
      <c r="AP27" s="81"/>
      <c r="AQ27" s="94"/>
      <c r="AR27" s="81"/>
      <c r="AS27" s="94"/>
      <c r="AT27" s="306"/>
      <c r="AU27" s="94"/>
      <c r="AV27" s="306"/>
      <c r="AW27" s="94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">
        <v>806</v>
      </c>
      <c r="B28" t="s">
        <v>28</v>
      </c>
      <c r="C28" s="52" t="s">
        <v>801</v>
      </c>
      <c r="D28" s="52" t="s">
        <v>801</v>
      </c>
      <c r="E28">
        <v>74</v>
      </c>
      <c r="F28">
        <v>73</v>
      </c>
      <c r="G28" s="64">
        <v>45078</v>
      </c>
      <c r="H28">
        <v>200</v>
      </c>
      <c r="I28">
        <v>200</v>
      </c>
      <c r="J28">
        <v>0</v>
      </c>
      <c r="K28">
        <v>0</v>
      </c>
      <c r="L28">
        <v>4</v>
      </c>
      <c r="M28">
        <v>0</v>
      </c>
      <c r="N28">
        <v>0</v>
      </c>
      <c r="O28">
        <v>23</v>
      </c>
      <c r="P28" s="69">
        <f t="shared" si="2"/>
        <v>0</v>
      </c>
      <c r="Q28" s="93"/>
      <c r="R28" s="81"/>
      <c r="S28" s="94"/>
      <c r="T28" s="81"/>
      <c r="U28" s="93"/>
      <c r="V28" s="81"/>
      <c r="W28" s="94"/>
      <c r="X28" s="81"/>
      <c r="Y28" s="93"/>
      <c r="Z28" s="81"/>
      <c r="AA28" s="94"/>
      <c r="AB28" s="81"/>
      <c r="AC28" s="93"/>
      <c r="AD28" s="81"/>
      <c r="AE28" s="94"/>
      <c r="AF28" s="81"/>
      <c r="AG28" s="93"/>
      <c r="AH28" s="81"/>
      <c r="AI28" s="94"/>
      <c r="AJ28" s="81"/>
      <c r="AK28" s="93"/>
      <c r="AL28" s="81"/>
      <c r="AM28" s="94"/>
      <c r="AN28" s="81"/>
      <c r="AO28" s="93"/>
      <c r="AP28" s="81"/>
      <c r="AQ28" s="94"/>
      <c r="AR28" s="81"/>
      <c r="AS28" s="94"/>
      <c r="AT28" s="306"/>
      <c r="AU28" s="94"/>
      <c r="AV28" s="306"/>
      <c r="AW28" s="94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">
        <v>807</v>
      </c>
      <c r="B29" t="s">
        <v>49</v>
      </c>
      <c r="C29" s="52" t="s">
        <v>808</v>
      </c>
      <c r="D29" s="52" t="s">
        <v>808</v>
      </c>
      <c r="E29" t="s">
        <v>809</v>
      </c>
      <c r="F29" t="s">
        <v>809</v>
      </c>
      <c r="G29" s="64">
        <v>42816</v>
      </c>
      <c r="H29">
        <v>375</v>
      </c>
      <c r="I29">
        <v>375</v>
      </c>
      <c r="J29">
        <v>0</v>
      </c>
      <c r="K29">
        <v>7</v>
      </c>
      <c r="L29">
        <v>1</v>
      </c>
      <c r="M29">
        <v>0</v>
      </c>
      <c r="N29">
        <v>1</v>
      </c>
      <c r="O29">
        <v>0</v>
      </c>
      <c r="P29" s="69">
        <f t="shared" si="2"/>
        <v>20.833333333333332</v>
      </c>
      <c r="Q29" s="84" t="s">
        <v>367</v>
      </c>
      <c r="R29" s="292">
        <v>1</v>
      </c>
      <c r="S29" s="94"/>
      <c r="T29" s="81"/>
      <c r="U29" s="93"/>
      <c r="V29" s="81"/>
      <c r="W29" s="94"/>
      <c r="X29" s="81"/>
      <c r="Y29" s="93"/>
      <c r="Z29" s="81"/>
      <c r="AA29" s="94"/>
      <c r="AB29" s="81"/>
      <c r="AC29" s="93"/>
      <c r="AD29" s="81"/>
      <c r="AE29" s="94"/>
      <c r="AF29" s="81"/>
      <c r="AG29" s="93"/>
      <c r="AH29" s="81"/>
      <c r="AI29" s="94"/>
      <c r="AJ29" s="81"/>
      <c r="AK29" s="93"/>
      <c r="AL29" s="81"/>
      <c r="AM29" s="94"/>
      <c r="AN29" s="81"/>
      <c r="AO29" s="93"/>
      <c r="AP29" s="81"/>
      <c r="AQ29" s="94"/>
      <c r="AR29" s="81"/>
      <c r="AS29" s="94"/>
      <c r="AT29" s="306"/>
      <c r="AU29" s="94"/>
      <c r="AV29" s="306"/>
      <c r="AW29" s="94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">
        <v>810</v>
      </c>
      <c r="B30" t="s">
        <v>69</v>
      </c>
      <c r="C30" s="52" t="s">
        <v>811</v>
      </c>
      <c r="D30" s="52" t="s">
        <v>811</v>
      </c>
      <c r="E30">
        <v>280.29999999999995</v>
      </c>
      <c r="F30">
        <v>254.3</v>
      </c>
      <c r="G30" s="64">
        <v>45272</v>
      </c>
      <c r="H30">
        <v>600</v>
      </c>
      <c r="I30">
        <v>600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69">
        <f t="shared" si="2"/>
        <v>719.79166666666663</v>
      </c>
      <c r="Q30" s="82" t="s">
        <v>420</v>
      </c>
      <c r="R30" s="287">
        <v>1</v>
      </c>
      <c r="S30" s="82" t="s">
        <v>421</v>
      </c>
      <c r="T30" s="287">
        <v>1.8</v>
      </c>
      <c r="U30" s="82" t="s">
        <v>422</v>
      </c>
      <c r="V30" s="287">
        <v>1.2</v>
      </c>
      <c r="W30" s="82" t="s">
        <v>423</v>
      </c>
      <c r="X30" s="287">
        <v>10.9</v>
      </c>
      <c r="Y30" s="90" t="s">
        <v>425</v>
      </c>
      <c r="Z30" s="91">
        <v>2.2999999999999998</v>
      </c>
      <c r="AA30" s="90" t="s">
        <v>426</v>
      </c>
      <c r="AB30" s="290">
        <v>2.65</v>
      </c>
      <c r="AC30" s="90" t="s">
        <v>812</v>
      </c>
      <c r="AD30" s="290">
        <v>0.8</v>
      </c>
      <c r="AE30" s="116" t="s">
        <v>428</v>
      </c>
      <c r="AF30" s="117">
        <v>2</v>
      </c>
      <c r="AG30" s="86" t="s">
        <v>813</v>
      </c>
      <c r="AH30" s="87">
        <v>2.4</v>
      </c>
      <c r="AI30" s="86" t="s">
        <v>432</v>
      </c>
      <c r="AJ30" s="87">
        <v>3.1</v>
      </c>
      <c r="AK30" s="82" t="s">
        <v>419</v>
      </c>
      <c r="AL30" s="287">
        <v>2.5</v>
      </c>
      <c r="AM30" s="88" t="s">
        <v>433</v>
      </c>
      <c r="AN30" s="289">
        <v>3.9</v>
      </c>
      <c r="AO30" s="93"/>
      <c r="AP30" s="81"/>
      <c r="AQ30" s="94"/>
      <c r="AR30" s="81"/>
      <c r="AS30" s="94"/>
      <c r="AT30" s="306"/>
      <c r="AU30" s="94"/>
      <c r="AV30" s="306"/>
      <c r="AW30" s="94"/>
      <c r="AX30" s="66">
        <f t="shared" si="3"/>
        <v>34.549999999999997</v>
      </c>
      <c r="AY30" s="78">
        <f t="shared" si="4"/>
        <v>719.79166666666663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640.19583333333321</v>
      </c>
      <c r="BC30" s="53">
        <f t="shared" si="1"/>
        <v>614.19583333333333</v>
      </c>
    </row>
    <row r="31" spans="1:55" ht="13.15">
      <c r="A31" t="s">
        <v>814</v>
      </c>
      <c r="B31" t="s">
        <v>68</v>
      </c>
      <c r="C31" s="52" t="s">
        <v>811</v>
      </c>
      <c r="D31" s="52" t="s">
        <v>811</v>
      </c>
      <c r="E31">
        <v>250</v>
      </c>
      <c r="F31">
        <v>250</v>
      </c>
      <c r="G31" s="64">
        <v>44258</v>
      </c>
      <c r="H31">
        <v>300</v>
      </c>
      <c r="I31">
        <v>300</v>
      </c>
      <c r="J31">
        <v>0</v>
      </c>
      <c r="K31">
        <v>0</v>
      </c>
      <c r="L31">
        <v>0</v>
      </c>
      <c r="M31">
        <v>0</v>
      </c>
      <c r="N31">
        <v>6</v>
      </c>
      <c r="O31">
        <v>13</v>
      </c>
      <c r="P31" s="69">
        <f t="shared" si="2"/>
        <v>0</v>
      </c>
      <c r="Q31" s="93"/>
      <c r="R31" s="81"/>
      <c r="S31" s="94"/>
      <c r="T31" s="81"/>
      <c r="U31" s="93"/>
      <c r="V31" s="81"/>
      <c r="W31" s="94"/>
      <c r="X31" s="81"/>
      <c r="Y31" s="93"/>
      <c r="Z31" s="81"/>
      <c r="AA31" s="94"/>
      <c r="AB31" s="81"/>
      <c r="AC31" s="93"/>
      <c r="AD31" s="81"/>
      <c r="AE31" s="94"/>
      <c r="AF31" s="81"/>
      <c r="AG31" s="93"/>
      <c r="AH31" s="81"/>
      <c r="AI31" s="94"/>
      <c r="AJ31" s="81"/>
      <c r="AK31" s="93"/>
      <c r="AL31" s="81"/>
      <c r="AM31" s="94"/>
      <c r="AN31" s="81"/>
      <c r="AO31" s="93"/>
      <c r="AP31" s="81"/>
      <c r="AQ31" s="94"/>
      <c r="AR31" s="81"/>
      <c r="AS31" s="94"/>
      <c r="AT31" s="306"/>
      <c r="AU31" s="94"/>
      <c r="AV31" s="306"/>
      <c r="AW31" s="94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">
        <v>815</v>
      </c>
      <c r="B32" t="s">
        <v>68</v>
      </c>
      <c r="C32" s="52" t="s">
        <v>811</v>
      </c>
      <c r="D32" s="52" t="s">
        <v>811</v>
      </c>
      <c r="E32">
        <v>250</v>
      </c>
      <c r="F32">
        <v>250</v>
      </c>
      <c r="G32" s="64">
        <v>44258</v>
      </c>
      <c r="H32">
        <v>300</v>
      </c>
      <c r="I32">
        <v>300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 s="69">
        <f t="shared" si="2"/>
        <v>0</v>
      </c>
      <c r="Q32" s="93"/>
      <c r="R32" s="81"/>
      <c r="S32" s="94"/>
      <c r="T32" s="81"/>
      <c r="U32" s="93"/>
      <c r="V32" s="81"/>
      <c r="W32" s="94"/>
      <c r="X32" s="81"/>
      <c r="Y32" s="93"/>
      <c r="Z32" s="81"/>
      <c r="AA32" s="94"/>
      <c r="AB32" s="81"/>
      <c r="AC32" s="93"/>
      <c r="AD32" s="81"/>
      <c r="AE32" s="94"/>
      <c r="AF32" s="81"/>
      <c r="AG32" s="93"/>
      <c r="AH32" s="81"/>
      <c r="AI32" s="94"/>
      <c r="AJ32" s="81"/>
      <c r="AK32" s="93"/>
      <c r="AL32" s="81"/>
      <c r="AM32" s="94"/>
      <c r="AN32" s="81"/>
      <c r="AO32" s="93"/>
      <c r="AP32" s="81"/>
      <c r="AQ32" s="94"/>
      <c r="AR32" s="81"/>
      <c r="AS32" s="94"/>
      <c r="AT32" s="306"/>
      <c r="AU32" s="94"/>
      <c r="AV32" s="306"/>
      <c r="AW32" s="94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">
        <v>816</v>
      </c>
      <c r="B33" t="s">
        <v>85</v>
      </c>
      <c r="C33" s="52" t="s">
        <v>817</v>
      </c>
      <c r="D33" s="52" t="s">
        <v>817</v>
      </c>
      <c r="E33">
        <v>50</v>
      </c>
      <c r="F33">
        <v>50</v>
      </c>
      <c r="G33" s="64">
        <v>44966</v>
      </c>
      <c r="H33">
        <v>300</v>
      </c>
      <c r="I33">
        <v>300</v>
      </c>
      <c r="J33">
        <v>5</v>
      </c>
      <c r="K33">
        <v>0</v>
      </c>
      <c r="L33">
        <v>6</v>
      </c>
      <c r="M33">
        <v>16</v>
      </c>
      <c r="N33">
        <v>12</v>
      </c>
      <c r="O33">
        <v>0</v>
      </c>
      <c r="P33" s="69">
        <f t="shared" si="2"/>
        <v>52.083333333333336</v>
      </c>
      <c r="Q33" s="82" t="s">
        <v>463</v>
      </c>
      <c r="R33" s="83">
        <v>1</v>
      </c>
      <c r="S33" s="82" t="s">
        <v>470</v>
      </c>
      <c r="T33" s="83">
        <v>1.5</v>
      </c>
      <c r="U33" s="93"/>
      <c r="V33" s="81"/>
      <c r="W33" s="94"/>
      <c r="X33" s="81"/>
      <c r="Y33" s="93"/>
      <c r="Z33" s="81"/>
      <c r="AA33" s="94"/>
      <c r="AB33" s="81"/>
      <c r="AC33" s="93"/>
      <c r="AD33" s="81"/>
      <c r="AE33" s="94"/>
      <c r="AF33" s="81"/>
      <c r="AG33" s="93"/>
      <c r="AH33" s="81"/>
      <c r="AI33" s="94"/>
      <c r="AJ33" s="81"/>
      <c r="AK33" s="93"/>
      <c r="AL33" s="81"/>
      <c r="AM33" s="94"/>
      <c r="AN33" s="81"/>
      <c r="AO33" s="93"/>
      <c r="AP33" s="81"/>
      <c r="AQ33" s="94"/>
      <c r="AR33" s="81"/>
      <c r="AS33" s="94"/>
      <c r="AT33" s="306"/>
      <c r="AU33" s="94"/>
      <c r="AV33" s="306"/>
      <c r="AW33" s="94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">
        <v>818</v>
      </c>
      <c r="B34" t="s">
        <v>85</v>
      </c>
      <c r="C34" s="52" t="s">
        <v>817</v>
      </c>
      <c r="D34" s="52" t="s">
        <v>817</v>
      </c>
      <c r="E34">
        <v>90</v>
      </c>
      <c r="F34">
        <v>100</v>
      </c>
      <c r="G34" s="64">
        <v>45071</v>
      </c>
      <c r="H34">
        <v>300</v>
      </c>
      <c r="I34">
        <v>300</v>
      </c>
      <c r="J34">
        <v>1</v>
      </c>
      <c r="K34">
        <v>2</v>
      </c>
      <c r="L34">
        <v>0</v>
      </c>
      <c r="M34">
        <v>20</v>
      </c>
      <c r="N34">
        <v>12</v>
      </c>
      <c r="O34">
        <v>0</v>
      </c>
      <c r="P34" s="69">
        <f t="shared" si="2"/>
        <v>291.66666666666669</v>
      </c>
      <c r="Q34" s="82" t="s">
        <v>465</v>
      </c>
      <c r="R34" s="267">
        <v>2</v>
      </c>
      <c r="S34" s="269" t="s">
        <v>466</v>
      </c>
      <c r="T34" s="267">
        <v>2</v>
      </c>
      <c r="U34" s="269" t="s">
        <v>468</v>
      </c>
      <c r="V34" s="267">
        <v>2</v>
      </c>
      <c r="W34" s="102" t="s">
        <v>466</v>
      </c>
      <c r="X34" s="103">
        <v>2</v>
      </c>
      <c r="Y34" s="269" t="s">
        <v>467</v>
      </c>
      <c r="Z34" s="81">
        <v>2</v>
      </c>
      <c r="AA34" s="269" t="s">
        <v>819</v>
      </c>
      <c r="AB34" s="81">
        <v>2</v>
      </c>
      <c r="AC34" s="269" t="s">
        <v>467</v>
      </c>
      <c r="AD34" s="81">
        <v>2</v>
      </c>
      <c r="AE34" s="94"/>
      <c r="AF34" s="81"/>
      <c r="AG34" s="93"/>
      <c r="AH34" s="81"/>
      <c r="AI34" s="94"/>
      <c r="AJ34" s="81"/>
      <c r="AK34" s="93"/>
      <c r="AL34" s="81"/>
      <c r="AM34" s="94"/>
      <c r="AN34" s="81"/>
      <c r="AO34" s="93"/>
      <c r="AP34" s="81"/>
      <c r="AQ34" s="94"/>
      <c r="AR34" s="81"/>
      <c r="AS34" s="94"/>
      <c r="AT34" s="306"/>
      <c r="AU34" s="94"/>
      <c r="AV34" s="306"/>
      <c r="AW34" s="94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">
        <v>820</v>
      </c>
      <c r="B35" t="s">
        <v>85</v>
      </c>
      <c r="C35" s="52" t="s">
        <v>817</v>
      </c>
      <c r="D35" s="52" t="s">
        <v>817</v>
      </c>
      <c r="E35">
        <v>80</v>
      </c>
      <c r="F35">
        <v>80</v>
      </c>
      <c r="G35" s="64">
        <v>44966</v>
      </c>
      <c r="H35">
        <v>300</v>
      </c>
      <c r="I35">
        <v>300</v>
      </c>
      <c r="J35">
        <v>4</v>
      </c>
      <c r="K35">
        <v>0</v>
      </c>
      <c r="L35">
        <v>0</v>
      </c>
      <c r="M35">
        <v>4</v>
      </c>
      <c r="N35">
        <v>11</v>
      </c>
      <c r="O35">
        <v>0</v>
      </c>
      <c r="P35" s="69">
        <f t="shared" si="2"/>
        <v>0</v>
      </c>
      <c r="Q35" s="93"/>
      <c r="R35" s="81"/>
      <c r="S35" s="94"/>
      <c r="T35" s="81"/>
      <c r="U35" s="93"/>
      <c r="V35" s="81"/>
      <c r="W35" s="94"/>
      <c r="X35" s="81"/>
      <c r="Y35" s="93"/>
      <c r="Z35" s="81"/>
      <c r="AA35" s="94"/>
      <c r="AB35" s="81"/>
      <c r="AC35" s="93"/>
      <c r="AD35" s="81"/>
      <c r="AE35" s="94"/>
      <c r="AF35" s="81"/>
      <c r="AG35" s="93"/>
      <c r="AH35" s="81"/>
      <c r="AI35" s="94"/>
      <c r="AJ35" s="81"/>
      <c r="AK35" s="93"/>
      <c r="AL35" s="81"/>
      <c r="AM35" s="94"/>
      <c r="AN35" s="81"/>
      <c r="AO35" s="93"/>
      <c r="AP35" s="81"/>
      <c r="AQ35" s="94"/>
      <c r="AR35" s="81"/>
      <c r="AS35" s="94"/>
      <c r="AT35" s="306"/>
      <c r="AU35" s="94"/>
      <c r="AV35" s="306"/>
      <c r="AW35" s="94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">
        <v>821</v>
      </c>
      <c r="B36" t="s">
        <v>85</v>
      </c>
      <c r="C36" s="52" t="s">
        <v>817</v>
      </c>
      <c r="D36" s="52" t="s">
        <v>817</v>
      </c>
      <c r="E36">
        <v>60</v>
      </c>
      <c r="F36">
        <v>60</v>
      </c>
      <c r="G36" s="64">
        <v>44966</v>
      </c>
      <c r="H36">
        <v>300</v>
      </c>
      <c r="I36">
        <v>300</v>
      </c>
      <c r="J36">
        <v>4</v>
      </c>
      <c r="K36">
        <v>4</v>
      </c>
      <c r="L36">
        <v>3</v>
      </c>
      <c r="M36">
        <v>6</v>
      </c>
      <c r="N36">
        <v>0</v>
      </c>
      <c r="O36">
        <v>20</v>
      </c>
      <c r="P36" s="69">
        <f t="shared" si="2"/>
        <v>0</v>
      </c>
      <c r="Q36" s="93"/>
      <c r="R36" s="81"/>
      <c r="S36" s="94"/>
      <c r="T36" s="81"/>
      <c r="U36" s="93"/>
      <c r="V36" s="81"/>
      <c r="W36" s="94"/>
      <c r="X36" s="81"/>
      <c r="Y36" s="93"/>
      <c r="Z36" s="81"/>
      <c r="AA36" s="94"/>
      <c r="AB36" s="81"/>
      <c r="AC36" s="93"/>
      <c r="AD36" s="81"/>
      <c r="AE36" s="94"/>
      <c r="AF36" s="81"/>
      <c r="AG36" s="93"/>
      <c r="AH36" s="81"/>
      <c r="AI36" s="94"/>
      <c r="AJ36" s="81"/>
      <c r="AK36" s="93"/>
      <c r="AL36" s="81"/>
      <c r="AM36" s="94"/>
      <c r="AN36" s="81"/>
      <c r="AO36" s="93"/>
      <c r="AP36" s="81"/>
      <c r="AQ36" s="94"/>
      <c r="AR36" s="81"/>
      <c r="AS36" s="94"/>
      <c r="AT36" s="306"/>
      <c r="AU36" s="94"/>
      <c r="AV36" s="306"/>
      <c r="AW36" s="94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">
        <v>822</v>
      </c>
      <c r="B37" t="s">
        <v>85</v>
      </c>
      <c r="C37" s="52" t="s">
        <v>817</v>
      </c>
      <c r="D37" s="52" t="s">
        <v>817</v>
      </c>
      <c r="E37">
        <v>10</v>
      </c>
      <c r="F37">
        <v>10</v>
      </c>
      <c r="G37" s="64">
        <v>44966</v>
      </c>
      <c r="H37">
        <v>250</v>
      </c>
      <c r="I37">
        <v>250</v>
      </c>
      <c r="J37">
        <v>0</v>
      </c>
      <c r="K37">
        <v>0</v>
      </c>
      <c r="L37">
        <v>4</v>
      </c>
      <c r="M37">
        <v>4</v>
      </c>
      <c r="N37">
        <v>6</v>
      </c>
      <c r="O37">
        <v>29</v>
      </c>
      <c r="P37" s="69">
        <f t="shared" si="2"/>
        <v>0</v>
      </c>
      <c r="Q37" s="93"/>
      <c r="R37" s="81"/>
      <c r="S37" s="94"/>
      <c r="T37" s="81"/>
      <c r="U37" s="93"/>
      <c r="V37" s="81"/>
      <c r="W37" s="94"/>
      <c r="X37" s="81"/>
      <c r="Y37" s="93"/>
      <c r="Z37" s="81"/>
      <c r="AA37" s="94"/>
      <c r="AB37" s="81"/>
      <c r="AC37" s="93"/>
      <c r="AD37" s="81"/>
      <c r="AE37" s="94"/>
      <c r="AF37" s="81"/>
      <c r="AG37" s="93"/>
      <c r="AH37" s="81"/>
      <c r="AI37" s="94"/>
      <c r="AJ37" s="81"/>
      <c r="AK37" s="93"/>
      <c r="AL37" s="81"/>
      <c r="AM37" s="94"/>
      <c r="AN37" s="81"/>
      <c r="AO37" s="93"/>
      <c r="AP37" s="81"/>
      <c r="AQ37" s="94"/>
      <c r="AR37" s="81"/>
      <c r="AS37" s="94"/>
      <c r="AT37" s="306"/>
      <c r="AU37" s="94"/>
      <c r="AV37" s="306"/>
      <c r="AW37" s="94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">
        <v>823</v>
      </c>
      <c r="B38" t="s">
        <v>85</v>
      </c>
      <c r="C38" s="52" t="s">
        <v>817</v>
      </c>
      <c r="D38" s="52" t="s">
        <v>817</v>
      </c>
      <c r="E38">
        <v>180</v>
      </c>
      <c r="F38">
        <v>180</v>
      </c>
      <c r="G38" s="64">
        <v>44966</v>
      </c>
      <c r="H38">
        <v>300</v>
      </c>
      <c r="I38">
        <v>300</v>
      </c>
      <c r="J38">
        <v>7</v>
      </c>
      <c r="K38">
        <v>0</v>
      </c>
      <c r="L38">
        <v>5</v>
      </c>
      <c r="M38">
        <v>0</v>
      </c>
      <c r="N38">
        <v>0</v>
      </c>
      <c r="O38">
        <v>17</v>
      </c>
      <c r="P38" s="69">
        <f t="shared" si="2"/>
        <v>22.916666666666668</v>
      </c>
      <c r="Q38" s="93" t="s">
        <v>469</v>
      </c>
      <c r="R38" s="81">
        <v>1.1000000000000001</v>
      </c>
      <c r="S38" s="94"/>
      <c r="T38" s="81"/>
      <c r="U38" s="93"/>
      <c r="V38" s="81"/>
      <c r="W38" s="94"/>
      <c r="X38" s="81"/>
      <c r="Y38" s="93"/>
      <c r="Z38" s="81"/>
      <c r="AA38" s="94"/>
      <c r="AB38" s="81"/>
      <c r="AC38" s="93"/>
      <c r="AD38" s="81"/>
      <c r="AE38" s="94"/>
      <c r="AF38" s="81"/>
      <c r="AG38" s="93"/>
      <c r="AH38" s="81"/>
      <c r="AI38" s="94"/>
      <c r="AJ38" s="81"/>
      <c r="AK38" s="93"/>
      <c r="AL38" s="81"/>
      <c r="AM38" s="94"/>
      <c r="AN38" s="81"/>
      <c r="AO38" s="93"/>
      <c r="AP38" s="81"/>
      <c r="AQ38" s="94"/>
      <c r="AR38" s="81"/>
      <c r="AS38" s="94"/>
      <c r="AT38" s="306"/>
      <c r="AU38" s="94"/>
      <c r="AV38" s="306"/>
      <c r="AW38" s="94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">
        <v>824</v>
      </c>
      <c r="B39" t="s">
        <v>85</v>
      </c>
      <c r="C39" s="52" t="s">
        <v>817</v>
      </c>
      <c r="D39" s="52" t="s">
        <v>817</v>
      </c>
      <c r="E39">
        <v>320</v>
      </c>
      <c r="F39">
        <v>320</v>
      </c>
      <c r="G39" s="64">
        <v>44966</v>
      </c>
      <c r="H39">
        <v>300</v>
      </c>
      <c r="I39">
        <v>300</v>
      </c>
      <c r="J39">
        <v>3</v>
      </c>
      <c r="K39">
        <v>2</v>
      </c>
      <c r="L39">
        <v>0</v>
      </c>
      <c r="M39">
        <v>0</v>
      </c>
      <c r="N39">
        <v>5</v>
      </c>
      <c r="O39">
        <v>10</v>
      </c>
      <c r="P39" s="69">
        <f t="shared" si="2"/>
        <v>0</v>
      </c>
      <c r="Q39" s="93"/>
      <c r="R39" s="81"/>
      <c r="S39" s="94"/>
      <c r="T39" s="81"/>
      <c r="U39" s="93"/>
      <c r="V39" s="81"/>
      <c r="W39" s="94"/>
      <c r="X39" s="81"/>
      <c r="Y39" s="93"/>
      <c r="Z39" s="81"/>
      <c r="AA39" s="94"/>
      <c r="AB39" s="81"/>
      <c r="AC39" s="93"/>
      <c r="AD39" s="81"/>
      <c r="AE39" s="94"/>
      <c r="AF39" s="81"/>
      <c r="AG39" s="93"/>
      <c r="AH39" s="81"/>
      <c r="AI39" s="94"/>
      <c r="AJ39" s="81"/>
      <c r="AK39" s="93"/>
      <c r="AL39" s="81"/>
      <c r="AM39" s="94"/>
      <c r="AN39" s="81"/>
      <c r="AO39" s="93"/>
      <c r="AP39" s="81"/>
      <c r="AQ39" s="94"/>
      <c r="AR39" s="81"/>
      <c r="AS39" s="94"/>
      <c r="AT39" s="306"/>
      <c r="AU39" s="94"/>
      <c r="AV39" s="306"/>
      <c r="AW39" s="94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">
        <v>825</v>
      </c>
      <c r="B40" t="s">
        <v>85</v>
      </c>
      <c r="C40" s="52" t="s">
        <v>817</v>
      </c>
      <c r="D40" s="52" t="s">
        <v>817</v>
      </c>
      <c r="E40">
        <v>50</v>
      </c>
      <c r="F40">
        <v>40</v>
      </c>
      <c r="G40" s="64">
        <v>44469</v>
      </c>
      <c r="H40">
        <v>300</v>
      </c>
      <c r="I40">
        <v>300</v>
      </c>
      <c r="J40">
        <v>1</v>
      </c>
      <c r="K40">
        <v>0</v>
      </c>
      <c r="L40">
        <v>0</v>
      </c>
      <c r="M40">
        <v>0</v>
      </c>
      <c r="N40">
        <v>4</v>
      </c>
      <c r="O40">
        <v>43</v>
      </c>
      <c r="P40" s="69">
        <f t="shared" si="2"/>
        <v>0</v>
      </c>
      <c r="Q40" s="93"/>
      <c r="R40" s="81"/>
      <c r="S40" s="94"/>
      <c r="T40" s="81"/>
      <c r="U40" s="93"/>
      <c r="V40" s="81"/>
      <c r="W40" s="94"/>
      <c r="X40" s="81"/>
      <c r="Y40" s="93"/>
      <c r="Z40" s="81"/>
      <c r="AA40" s="94"/>
      <c r="AB40" s="81"/>
      <c r="AC40" s="93"/>
      <c r="AD40" s="81"/>
      <c r="AE40" s="94"/>
      <c r="AF40" s="81"/>
      <c r="AG40" s="93"/>
      <c r="AH40" s="81"/>
      <c r="AI40" s="94"/>
      <c r="AJ40" s="81"/>
      <c r="AK40" s="93"/>
      <c r="AL40" s="81"/>
      <c r="AM40" s="94"/>
      <c r="AN40" s="81"/>
      <c r="AO40" s="93"/>
      <c r="AP40" s="81"/>
      <c r="AQ40" s="94"/>
      <c r="AR40" s="81"/>
      <c r="AS40" s="94"/>
      <c r="AT40" s="306"/>
      <c r="AU40" s="94"/>
      <c r="AV40" s="306"/>
      <c r="AW40" s="94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">
        <v>826</v>
      </c>
      <c r="B41" t="s">
        <v>85</v>
      </c>
      <c r="C41" s="52" t="s">
        <v>817</v>
      </c>
      <c r="D41" s="52" t="s">
        <v>817</v>
      </c>
      <c r="E41">
        <v>120</v>
      </c>
      <c r="F41">
        <v>120</v>
      </c>
      <c r="G41" s="64">
        <v>44966</v>
      </c>
      <c r="H41">
        <v>300</v>
      </c>
      <c r="I41">
        <v>300</v>
      </c>
      <c r="J41">
        <v>0</v>
      </c>
      <c r="K41">
        <v>0</v>
      </c>
      <c r="L41">
        <v>11</v>
      </c>
      <c r="M41">
        <v>0</v>
      </c>
      <c r="N41">
        <v>3</v>
      </c>
      <c r="O41">
        <v>31</v>
      </c>
      <c r="P41" s="69">
        <f t="shared" si="2"/>
        <v>20.833333333333332</v>
      </c>
      <c r="Q41" s="82" t="s">
        <v>464</v>
      </c>
      <c r="R41" s="83">
        <v>1</v>
      </c>
      <c r="S41" s="94"/>
      <c r="T41" s="81"/>
      <c r="U41" s="93"/>
      <c r="V41" s="81"/>
      <c r="W41" s="94"/>
      <c r="X41" s="81"/>
      <c r="Y41" s="93"/>
      <c r="Z41" s="81"/>
      <c r="AA41" s="94"/>
      <c r="AB41" s="81"/>
      <c r="AC41" s="93"/>
      <c r="AD41" s="81"/>
      <c r="AE41" s="94"/>
      <c r="AF41" s="81"/>
      <c r="AG41" s="93"/>
      <c r="AH41" s="81"/>
      <c r="AI41" s="94"/>
      <c r="AJ41" s="81"/>
      <c r="AK41" s="93"/>
      <c r="AL41" s="81"/>
      <c r="AM41" s="94"/>
      <c r="AN41" s="81"/>
      <c r="AO41" s="93"/>
      <c r="AP41" s="81"/>
      <c r="AQ41" s="94"/>
      <c r="AR41" s="81"/>
      <c r="AS41" s="94"/>
      <c r="AT41" s="306"/>
      <c r="AU41" s="94"/>
      <c r="AV41" s="306"/>
      <c r="AW41" s="94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">
        <v>827</v>
      </c>
      <c r="B42" t="s">
        <v>85</v>
      </c>
      <c r="C42" s="52" t="s">
        <v>817</v>
      </c>
      <c r="D42" s="52" t="s">
        <v>817</v>
      </c>
      <c r="E42">
        <v>100</v>
      </c>
      <c r="F42">
        <v>100</v>
      </c>
      <c r="G42" s="64">
        <v>44966</v>
      </c>
      <c r="H42">
        <v>300</v>
      </c>
      <c r="I42">
        <v>300</v>
      </c>
      <c r="J42">
        <v>3</v>
      </c>
      <c r="K42">
        <v>0</v>
      </c>
      <c r="L42">
        <v>0</v>
      </c>
      <c r="M42">
        <v>0</v>
      </c>
      <c r="N42">
        <v>3</v>
      </c>
      <c r="O42">
        <v>36</v>
      </c>
      <c r="P42" s="69">
        <f t="shared" si="2"/>
        <v>0</v>
      </c>
      <c r="Q42" s="93"/>
      <c r="R42" s="81"/>
      <c r="S42" s="94"/>
      <c r="T42" s="81"/>
      <c r="U42" s="93"/>
      <c r="V42" s="81"/>
      <c r="W42" s="94"/>
      <c r="X42" s="81"/>
      <c r="Y42" s="93"/>
      <c r="Z42" s="81"/>
      <c r="AA42" s="94"/>
      <c r="AB42" s="81"/>
      <c r="AC42" s="93"/>
      <c r="AD42" s="81"/>
      <c r="AE42" s="94"/>
      <c r="AF42" s="81"/>
      <c r="AG42" s="93"/>
      <c r="AH42" s="81"/>
      <c r="AI42" s="94"/>
      <c r="AJ42" s="81"/>
      <c r="AK42" s="93"/>
      <c r="AL42" s="81"/>
      <c r="AM42" s="94"/>
      <c r="AN42" s="81"/>
      <c r="AO42" s="93"/>
      <c r="AP42" s="81"/>
      <c r="AQ42" s="94"/>
      <c r="AR42" s="81"/>
      <c r="AS42" s="94"/>
      <c r="AT42" s="306"/>
      <c r="AU42" s="94"/>
      <c r="AV42" s="306"/>
      <c r="AW42" s="94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">
        <v>828</v>
      </c>
      <c r="B43" t="s">
        <v>85</v>
      </c>
      <c r="C43" s="52" t="s">
        <v>817</v>
      </c>
      <c r="D43" s="52" t="s">
        <v>817</v>
      </c>
      <c r="E43" t="s">
        <v>829</v>
      </c>
      <c r="F43" t="s">
        <v>829</v>
      </c>
      <c r="G43" s="64">
        <v>44966</v>
      </c>
      <c r="H43">
        <v>300</v>
      </c>
      <c r="I43">
        <v>300</v>
      </c>
      <c r="J43">
        <v>8</v>
      </c>
      <c r="K43">
        <v>0</v>
      </c>
      <c r="L43">
        <v>30</v>
      </c>
      <c r="M43">
        <v>0</v>
      </c>
      <c r="N43">
        <v>0</v>
      </c>
      <c r="O43">
        <v>5</v>
      </c>
      <c r="P43" s="69">
        <f t="shared" si="2"/>
        <v>0</v>
      </c>
      <c r="Q43" s="93"/>
      <c r="R43" s="81"/>
      <c r="S43" s="94"/>
      <c r="T43" s="81"/>
      <c r="U43" s="93"/>
      <c r="V43" s="81"/>
      <c r="W43" s="94"/>
      <c r="X43" s="81"/>
      <c r="Y43" s="93"/>
      <c r="Z43" s="81"/>
      <c r="AA43" s="94"/>
      <c r="AB43" s="81"/>
      <c r="AC43" s="93"/>
      <c r="AD43" s="81"/>
      <c r="AE43" s="94"/>
      <c r="AF43" s="81"/>
      <c r="AG43" s="93"/>
      <c r="AH43" s="81"/>
      <c r="AI43" s="94"/>
      <c r="AJ43" s="81"/>
      <c r="AK43" s="93"/>
      <c r="AL43" s="81"/>
      <c r="AM43" s="94"/>
      <c r="AN43" s="81"/>
      <c r="AO43" s="93"/>
      <c r="AP43" s="81"/>
      <c r="AQ43" s="94"/>
      <c r="AR43" s="81"/>
      <c r="AS43" s="94"/>
      <c r="AT43" s="306"/>
      <c r="AU43" s="94"/>
      <c r="AV43" s="306"/>
      <c r="AW43" s="94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">
        <v>830</v>
      </c>
      <c r="B44" t="s">
        <v>87</v>
      </c>
      <c r="C44" s="52" t="s">
        <v>831</v>
      </c>
      <c r="D44" s="52" t="s">
        <v>831</v>
      </c>
      <c r="E44">
        <v>211.6</v>
      </c>
      <c r="F44">
        <v>197.40000000000003</v>
      </c>
      <c r="G44" s="64">
        <v>45272</v>
      </c>
      <c r="H44">
        <v>600</v>
      </c>
      <c r="I44">
        <v>600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69">
        <f t="shared" si="2"/>
        <v>222.91666666666671</v>
      </c>
      <c r="Q44" s="88" t="s">
        <v>471</v>
      </c>
      <c r="R44" s="89">
        <v>0.8</v>
      </c>
      <c r="S44" s="82" t="s">
        <v>472</v>
      </c>
      <c r="T44" s="83">
        <v>2.1</v>
      </c>
      <c r="U44" s="82" t="s">
        <v>473</v>
      </c>
      <c r="V44" s="83">
        <v>2.9</v>
      </c>
      <c r="W44" s="82" t="s">
        <v>474</v>
      </c>
      <c r="X44" s="83">
        <v>1.4</v>
      </c>
      <c r="Y44" s="82" t="s">
        <v>475</v>
      </c>
      <c r="Z44" s="83">
        <v>2.6</v>
      </c>
      <c r="AA44" s="90" t="s">
        <v>476</v>
      </c>
      <c r="AB44" s="91">
        <v>0.9</v>
      </c>
      <c r="AC44" s="93"/>
      <c r="AD44" s="81"/>
      <c r="AE44" s="94"/>
      <c r="AF44" s="81"/>
      <c r="AG44" s="93"/>
      <c r="AH44" s="81"/>
      <c r="AI44" s="94"/>
      <c r="AJ44" s="81"/>
      <c r="AK44" s="93"/>
      <c r="AL44" s="81"/>
      <c r="AM44" s="94"/>
      <c r="AN44" s="81"/>
      <c r="AO44" s="93"/>
      <c r="AP44" s="81"/>
      <c r="AQ44" s="94"/>
      <c r="AR44" s="81"/>
      <c r="AS44" s="94"/>
      <c r="AT44" s="306"/>
      <c r="AU44" s="94"/>
      <c r="AV44" s="306"/>
      <c r="AW44" s="94"/>
      <c r="AX44" s="66">
        <f t="shared" si="3"/>
        <v>10.700000000000001</v>
      </c>
      <c r="AY44" s="78">
        <f t="shared" si="4"/>
        <v>222.91666666666671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323.05833333333334</v>
      </c>
      <c r="BC44" s="53">
        <f t="shared" si="1"/>
        <v>308.85833333333341</v>
      </c>
    </row>
    <row r="45" spans="1:55" ht="13.15">
      <c r="A45" t="s">
        <v>832</v>
      </c>
      <c r="B45" t="s">
        <v>87</v>
      </c>
      <c r="C45" s="52" t="s">
        <v>831</v>
      </c>
      <c r="D45" s="52" t="s">
        <v>831</v>
      </c>
      <c r="E45">
        <v>0</v>
      </c>
      <c r="F45">
        <v>0</v>
      </c>
      <c r="G45" s="64">
        <v>0</v>
      </c>
      <c r="H45">
        <v>300</v>
      </c>
      <c r="I45">
        <v>300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 s="69">
        <f t="shared" si="2"/>
        <v>0</v>
      </c>
      <c r="Q45" s="93"/>
      <c r="R45" s="81"/>
      <c r="S45" s="94"/>
      <c r="T45" s="81"/>
      <c r="U45" s="93"/>
      <c r="V45" s="81"/>
      <c r="W45" s="94"/>
      <c r="X45" s="81"/>
      <c r="Y45" s="93"/>
      <c r="Z45" s="81"/>
      <c r="AA45" s="94"/>
      <c r="AB45" s="81"/>
      <c r="AC45" s="93"/>
      <c r="AD45" s="81"/>
      <c r="AE45" s="94"/>
      <c r="AF45" s="81"/>
      <c r="AG45" s="93"/>
      <c r="AH45" s="81"/>
      <c r="AI45" s="94"/>
      <c r="AJ45" s="81"/>
      <c r="AK45" s="93"/>
      <c r="AL45" s="81"/>
      <c r="AM45" s="94"/>
      <c r="AN45" s="81"/>
      <c r="AO45" s="93"/>
      <c r="AP45" s="81"/>
      <c r="AQ45" s="94"/>
      <c r="AR45" s="81"/>
      <c r="AS45" s="94"/>
      <c r="AT45" s="306"/>
      <c r="AU45" s="94"/>
      <c r="AV45" s="306"/>
      <c r="AW45" s="94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">
        <v>833</v>
      </c>
      <c r="B46" t="s">
        <v>87</v>
      </c>
      <c r="C46" s="52" t="s">
        <v>831</v>
      </c>
      <c r="D46" s="52" t="s">
        <v>831</v>
      </c>
      <c r="E46">
        <v>65</v>
      </c>
      <c r="F46">
        <v>75</v>
      </c>
      <c r="G46" s="64">
        <v>44967</v>
      </c>
      <c r="H46">
        <v>300</v>
      </c>
      <c r="I46">
        <v>300</v>
      </c>
      <c r="J46">
        <v>0</v>
      </c>
      <c r="K46">
        <v>0</v>
      </c>
      <c r="L46">
        <v>1</v>
      </c>
      <c r="M46">
        <v>1</v>
      </c>
      <c r="N46">
        <v>0</v>
      </c>
      <c r="O46">
        <v>37</v>
      </c>
      <c r="P46" s="69">
        <f t="shared" si="2"/>
        <v>0</v>
      </c>
      <c r="Q46" s="93"/>
      <c r="R46" s="81"/>
      <c r="S46" s="94"/>
      <c r="T46" s="81"/>
      <c r="U46" s="93"/>
      <c r="V46" s="81"/>
      <c r="W46" s="94"/>
      <c r="X46" s="81"/>
      <c r="Y46" s="93"/>
      <c r="Z46" s="81"/>
      <c r="AA46" s="94"/>
      <c r="AB46" s="81"/>
      <c r="AC46" s="93"/>
      <c r="AD46" s="81"/>
      <c r="AE46" s="94"/>
      <c r="AF46" s="81"/>
      <c r="AG46" s="93"/>
      <c r="AH46" s="81"/>
      <c r="AI46" s="94"/>
      <c r="AJ46" s="81"/>
      <c r="AK46" s="93"/>
      <c r="AL46" s="81"/>
      <c r="AM46" s="94"/>
      <c r="AN46" s="81"/>
      <c r="AO46" s="93"/>
      <c r="AP46" s="81"/>
      <c r="AQ46" s="94"/>
      <c r="AR46" s="81"/>
      <c r="AS46" s="94"/>
      <c r="AT46" s="306"/>
      <c r="AU46" s="94"/>
      <c r="AV46" s="306"/>
      <c r="AW46" s="94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">
        <v>834</v>
      </c>
      <c r="B47" t="s">
        <v>99</v>
      </c>
      <c r="C47" s="52" t="s">
        <v>835</v>
      </c>
      <c r="D47" s="52" t="s">
        <v>835</v>
      </c>
      <c r="E47">
        <v>125</v>
      </c>
      <c r="F47">
        <v>125</v>
      </c>
      <c r="G47" s="64">
        <v>45110</v>
      </c>
      <c r="H47">
        <v>300</v>
      </c>
      <c r="I47">
        <v>300</v>
      </c>
      <c r="J47">
        <v>0</v>
      </c>
      <c r="K47">
        <v>0</v>
      </c>
      <c r="L47">
        <v>0</v>
      </c>
      <c r="M47">
        <v>3</v>
      </c>
      <c r="N47">
        <v>4</v>
      </c>
      <c r="O47">
        <v>0</v>
      </c>
      <c r="P47" s="69">
        <f t="shared" si="2"/>
        <v>0</v>
      </c>
      <c r="Q47" s="93"/>
      <c r="R47" s="81"/>
      <c r="S47" s="94"/>
      <c r="T47" s="81"/>
      <c r="U47" s="93"/>
      <c r="V47" s="81"/>
      <c r="W47" s="94"/>
      <c r="X47" s="81"/>
      <c r="Y47" s="93"/>
      <c r="Z47" s="81"/>
      <c r="AA47" s="94"/>
      <c r="AB47" s="81"/>
      <c r="AC47" s="93"/>
      <c r="AD47" s="81"/>
      <c r="AE47" s="94"/>
      <c r="AF47" s="81"/>
      <c r="AG47" s="93"/>
      <c r="AH47" s="81"/>
      <c r="AI47" s="94"/>
      <c r="AJ47" s="81"/>
      <c r="AK47" s="93"/>
      <c r="AL47" s="81"/>
      <c r="AM47" s="94"/>
      <c r="AN47" s="81"/>
      <c r="AO47" s="93"/>
      <c r="AP47" s="81"/>
      <c r="AQ47" s="94"/>
      <c r="AR47" s="81"/>
      <c r="AS47" s="94"/>
      <c r="AT47" s="306"/>
      <c r="AU47" s="94"/>
      <c r="AV47" s="306"/>
      <c r="AW47" s="94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">
        <v>836</v>
      </c>
      <c r="B48" t="s">
        <v>99</v>
      </c>
      <c r="C48" s="52" t="s">
        <v>835</v>
      </c>
      <c r="D48" s="52" t="s">
        <v>835</v>
      </c>
      <c r="E48">
        <v>125</v>
      </c>
      <c r="F48">
        <v>126</v>
      </c>
      <c r="G48" s="64">
        <v>45110</v>
      </c>
      <c r="H48">
        <v>300</v>
      </c>
      <c r="I48">
        <v>300</v>
      </c>
      <c r="J48">
        <v>0</v>
      </c>
      <c r="K48">
        <v>1</v>
      </c>
      <c r="L48">
        <v>3</v>
      </c>
      <c r="M48">
        <v>6</v>
      </c>
      <c r="N48">
        <v>8</v>
      </c>
      <c r="O48">
        <v>0</v>
      </c>
      <c r="P48" s="69">
        <f t="shared" si="2"/>
        <v>0</v>
      </c>
      <c r="Q48" s="93"/>
      <c r="R48" s="81"/>
      <c r="S48" s="94"/>
      <c r="T48" s="81"/>
      <c r="U48" s="93"/>
      <c r="V48" s="81"/>
      <c r="W48" s="94"/>
      <c r="X48" s="81"/>
      <c r="Y48" s="93"/>
      <c r="Z48" s="81"/>
      <c r="AA48" s="94"/>
      <c r="AB48" s="81"/>
      <c r="AC48" s="93"/>
      <c r="AD48" s="81"/>
      <c r="AE48" s="94"/>
      <c r="AF48" s="81"/>
      <c r="AG48" s="93"/>
      <c r="AH48" s="81"/>
      <c r="AI48" s="94"/>
      <c r="AJ48" s="81"/>
      <c r="AK48" s="93"/>
      <c r="AL48" s="81"/>
      <c r="AM48" s="94"/>
      <c r="AN48" s="81"/>
      <c r="AO48" s="93"/>
      <c r="AP48" s="81"/>
      <c r="AQ48" s="94"/>
      <c r="AR48" s="81"/>
      <c r="AS48" s="94"/>
      <c r="AT48" s="306"/>
      <c r="AU48" s="94"/>
      <c r="AV48" s="306"/>
      <c r="AW48" s="94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">
        <v>837</v>
      </c>
      <c r="B49" t="s">
        <v>99</v>
      </c>
      <c r="C49" s="52" t="s">
        <v>835</v>
      </c>
      <c r="D49" s="52" t="s">
        <v>835</v>
      </c>
      <c r="E49">
        <v>150</v>
      </c>
      <c r="F49">
        <v>150</v>
      </c>
      <c r="G49" s="64">
        <v>45110</v>
      </c>
      <c r="H49">
        <v>300</v>
      </c>
      <c r="I49">
        <v>300</v>
      </c>
      <c r="J49">
        <v>0</v>
      </c>
      <c r="K49">
        <v>2</v>
      </c>
      <c r="L49">
        <v>1</v>
      </c>
      <c r="M49">
        <v>9</v>
      </c>
      <c r="N49">
        <v>8</v>
      </c>
      <c r="O49">
        <v>0</v>
      </c>
      <c r="P49" s="69">
        <f t="shared" si="2"/>
        <v>62.5</v>
      </c>
      <c r="Q49" s="82" t="s">
        <v>489</v>
      </c>
      <c r="R49" s="83">
        <v>2</v>
      </c>
      <c r="S49" s="109" t="s">
        <v>490</v>
      </c>
      <c r="T49" s="261">
        <v>1</v>
      </c>
      <c r="U49" s="93"/>
      <c r="V49" s="81"/>
      <c r="W49" s="94"/>
      <c r="X49" s="81"/>
      <c r="Y49" s="93"/>
      <c r="Z49" s="81"/>
      <c r="AA49" s="94"/>
      <c r="AB49" s="81"/>
      <c r="AC49" s="93"/>
      <c r="AD49" s="81"/>
      <c r="AE49" s="94"/>
      <c r="AF49" s="81"/>
      <c r="AG49" s="93"/>
      <c r="AH49" s="81"/>
      <c r="AI49" s="94"/>
      <c r="AJ49" s="81"/>
      <c r="AK49" s="93"/>
      <c r="AL49" s="81"/>
      <c r="AM49" s="94"/>
      <c r="AN49" s="81"/>
      <c r="AO49" s="93"/>
      <c r="AP49" s="81"/>
      <c r="AQ49" s="94"/>
      <c r="AR49" s="81"/>
      <c r="AS49" s="94"/>
      <c r="AT49" s="306"/>
      <c r="AU49" s="94"/>
      <c r="AV49" s="306"/>
      <c r="AW49" s="94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">
        <v>838</v>
      </c>
      <c r="B50" t="s">
        <v>99</v>
      </c>
      <c r="C50" s="52" t="s">
        <v>835</v>
      </c>
      <c r="D50" s="52" t="s">
        <v>835</v>
      </c>
      <c r="E50">
        <v>90</v>
      </c>
      <c r="F50">
        <v>90</v>
      </c>
      <c r="G50" s="64">
        <v>45110</v>
      </c>
      <c r="H50">
        <v>250</v>
      </c>
      <c r="I50">
        <v>250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 s="69">
        <f t="shared" si="2"/>
        <v>0</v>
      </c>
      <c r="Q50" s="93"/>
      <c r="R50" s="81"/>
      <c r="S50" s="94"/>
      <c r="T50" s="81"/>
      <c r="U50" s="93"/>
      <c r="V50" s="81"/>
      <c r="W50" s="94"/>
      <c r="X50" s="81"/>
      <c r="Y50" s="93"/>
      <c r="Z50" s="81"/>
      <c r="AA50" s="94"/>
      <c r="AB50" s="81"/>
      <c r="AC50" s="93"/>
      <c r="AD50" s="81"/>
      <c r="AE50" s="94"/>
      <c r="AF50" s="81"/>
      <c r="AG50" s="93"/>
      <c r="AH50" s="81"/>
      <c r="AI50" s="94"/>
      <c r="AJ50" s="81"/>
      <c r="AK50" s="93"/>
      <c r="AL50" s="81"/>
      <c r="AM50" s="94"/>
      <c r="AN50" s="81"/>
      <c r="AO50" s="93"/>
      <c r="AP50" s="81"/>
      <c r="AQ50" s="94"/>
      <c r="AR50" s="81"/>
      <c r="AS50" s="94"/>
      <c r="AT50" s="306"/>
      <c r="AU50" s="94"/>
      <c r="AV50" s="306"/>
      <c r="AW50" s="94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">
        <v>839</v>
      </c>
      <c r="B51" t="s">
        <v>253</v>
      </c>
      <c r="C51" s="52" t="s">
        <v>840</v>
      </c>
      <c r="D51" s="52" t="s">
        <v>840</v>
      </c>
      <c r="E51">
        <v>22</v>
      </c>
      <c r="F51">
        <v>22</v>
      </c>
      <c r="G51" s="64">
        <v>42422</v>
      </c>
      <c r="H51">
        <v>300</v>
      </c>
      <c r="I51">
        <v>300</v>
      </c>
      <c r="J51">
        <v>0</v>
      </c>
      <c r="K51">
        <v>0</v>
      </c>
      <c r="L51">
        <v>0</v>
      </c>
      <c r="M51">
        <v>0</v>
      </c>
      <c r="N51">
        <v>0</v>
      </c>
      <c r="O51">
        <v>58</v>
      </c>
      <c r="P51" s="69">
        <f t="shared" si="2"/>
        <v>0</v>
      </c>
      <c r="Q51" s="93"/>
      <c r="R51" s="81"/>
      <c r="S51" s="94"/>
      <c r="T51" s="81"/>
      <c r="U51" s="93"/>
      <c r="V51" s="81"/>
      <c r="W51" s="94"/>
      <c r="X51" s="81"/>
      <c r="Y51" s="93"/>
      <c r="Z51" s="81"/>
      <c r="AA51" s="94"/>
      <c r="AB51" s="81"/>
      <c r="AC51" s="93"/>
      <c r="AD51" s="81"/>
      <c r="AE51" s="94"/>
      <c r="AF51" s="81"/>
      <c r="AG51" s="93"/>
      <c r="AH51" s="81"/>
      <c r="AI51" s="94"/>
      <c r="AJ51" s="81"/>
      <c r="AK51" s="93"/>
      <c r="AL51" s="81"/>
      <c r="AM51" s="94"/>
      <c r="AN51" s="81"/>
      <c r="AO51" s="93"/>
      <c r="AP51" s="81"/>
      <c r="AQ51" s="94"/>
      <c r="AR51" s="81"/>
      <c r="AS51" s="94"/>
      <c r="AT51" s="306"/>
      <c r="AU51" s="94"/>
      <c r="AV51" s="306"/>
      <c r="AW51" s="94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22</v>
      </c>
      <c r="BC51" s="53">
        <f t="shared" si="1"/>
        <v>22</v>
      </c>
    </row>
    <row r="52" spans="1:55" ht="13.15">
      <c r="A52" t="s">
        <v>841</v>
      </c>
      <c r="B52" t="s">
        <v>106</v>
      </c>
      <c r="C52" s="52" t="s">
        <v>842</v>
      </c>
      <c r="D52" s="52" t="s">
        <v>842</v>
      </c>
      <c r="E52">
        <v>120</v>
      </c>
      <c r="F52">
        <v>140</v>
      </c>
      <c r="G52" s="64">
        <v>44105</v>
      </c>
      <c r="H52">
        <v>300</v>
      </c>
      <c r="I52">
        <v>300</v>
      </c>
      <c r="J52">
        <v>5</v>
      </c>
      <c r="K52">
        <v>6</v>
      </c>
      <c r="L52">
        <v>9</v>
      </c>
      <c r="M52">
        <v>4</v>
      </c>
      <c r="N52">
        <v>9</v>
      </c>
      <c r="O52">
        <v>0</v>
      </c>
      <c r="P52" s="69">
        <f t="shared" si="2"/>
        <v>20.833333333333332</v>
      </c>
      <c r="Q52" s="104" t="s">
        <v>497</v>
      </c>
      <c r="R52" s="103">
        <v>1</v>
      </c>
      <c r="S52" s="94"/>
      <c r="T52" s="81"/>
      <c r="U52" s="93"/>
      <c r="V52" s="81"/>
      <c r="W52" s="94"/>
      <c r="X52" s="81"/>
      <c r="Y52" s="93"/>
      <c r="Z52" s="81"/>
      <c r="AA52" s="94"/>
      <c r="AB52" s="81"/>
      <c r="AC52" s="93"/>
      <c r="AD52" s="81"/>
      <c r="AE52" s="94"/>
      <c r="AF52" s="81"/>
      <c r="AG52" s="93"/>
      <c r="AH52" s="81"/>
      <c r="AI52" s="94"/>
      <c r="AJ52" s="81"/>
      <c r="AK52" s="93"/>
      <c r="AL52" s="81"/>
      <c r="AM52" s="94"/>
      <c r="AN52" s="81"/>
      <c r="AO52" s="93"/>
      <c r="AP52" s="81"/>
      <c r="AQ52" s="94"/>
      <c r="AR52" s="81"/>
      <c r="AS52" s="94"/>
      <c r="AT52" s="306"/>
      <c r="AU52" s="94"/>
      <c r="AV52" s="306"/>
      <c r="AW52" s="94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">
        <v>843</v>
      </c>
      <c r="B53" t="s">
        <v>106</v>
      </c>
      <c r="C53" s="52" t="s">
        <v>842</v>
      </c>
      <c r="D53" s="52" t="s">
        <v>842</v>
      </c>
      <c r="E53">
        <v>80</v>
      </c>
      <c r="F53">
        <v>80</v>
      </c>
      <c r="G53" s="64">
        <v>44105</v>
      </c>
      <c r="H53">
        <v>300</v>
      </c>
      <c r="I53">
        <v>300</v>
      </c>
      <c r="J53">
        <v>6</v>
      </c>
      <c r="K53">
        <v>6</v>
      </c>
      <c r="L53">
        <v>11</v>
      </c>
      <c r="M53">
        <v>8</v>
      </c>
      <c r="N53">
        <v>11</v>
      </c>
      <c r="O53">
        <v>0</v>
      </c>
      <c r="P53" s="69">
        <f t="shared" si="2"/>
        <v>0</v>
      </c>
      <c r="Q53" s="93"/>
      <c r="R53" s="81"/>
      <c r="S53" s="94"/>
      <c r="T53" s="81"/>
      <c r="U53" s="93"/>
      <c r="V53" s="81"/>
      <c r="W53" s="94"/>
      <c r="X53" s="81"/>
      <c r="Y53" s="93"/>
      <c r="Z53" s="81"/>
      <c r="AA53" s="94"/>
      <c r="AB53" s="81"/>
      <c r="AC53" s="93"/>
      <c r="AD53" s="81"/>
      <c r="AE53" s="94"/>
      <c r="AF53" s="81"/>
      <c r="AG53" s="93"/>
      <c r="AH53" s="81"/>
      <c r="AI53" s="94"/>
      <c r="AJ53" s="81"/>
      <c r="AK53" s="93"/>
      <c r="AL53" s="81"/>
      <c r="AM53" s="94"/>
      <c r="AN53" s="81"/>
      <c r="AO53" s="93"/>
      <c r="AP53" s="81"/>
      <c r="AQ53" s="94"/>
      <c r="AR53" s="81"/>
      <c r="AS53" s="94"/>
      <c r="AT53" s="306"/>
      <c r="AU53" s="94"/>
      <c r="AV53" s="306"/>
      <c r="AW53" s="94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">
        <v>844</v>
      </c>
      <c r="B54" t="s">
        <v>106</v>
      </c>
      <c r="C54" s="52" t="s">
        <v>842</v>
      </c>
      <c r="D54" s="52" t="s">
        <v>842</v>
      </c>
      <c r="E54">
        <v>50</v>
      </c>
      <c r="F54">
        <v>60</v>
      </c>
      <c r="G54" s="64">
        <v>44105</v>
      </c>
      <c r="H54">
        <v>300</v>
      </c>
      <c r="I54">
        <v>300</v>
      </c>
      <c r="J54">
        <v>5</v>
      </c>
      <c r="K54">
        <v>5</v>
      </c>
      <c r="L54">
        <v>12</v>
      </c>
      <c r="M54">
        <v>14</v>
      </c>
      <c r="N54">
        <v>11</v>
      </c>
      <c r="O54">
        <v>12</v>
      </c>
      <c r="P54" s="69">
        <f t="shared" si="2"/>
        <v>0</v>
      </c>
      <c r="Q54" s="93"/>
      <c r="R54" s="81"/>
      <c r="S54" s="94"/>
      <c r="T54" s="81"/>
      <c r="U54" s="93"/>
      <c r="V54" s="81"/>
      <c r="W54" s="94"/>
      <c r="X54" s="81"/>
      <c r="Y54" s="93"/>
      <c r="Z54" s="81"/>
      <c r="AA54" s="94"/>
      <c r="AB54" s="81"/>
      <c r="AC54" s="93"/>
      <c r="AD54" s="81"/>
      <c r="AE54" s="94"/>
      <c r="AF54" s="81"/>
      <c r="AG54" s="93"/>
      <c r="AH54" s="81"/>
      <c r="AI54" s="94"/>
      <c r="AJ54" s="81"/>
      <c r="AK54" s="93"/>
      <c r="AL54" s="81"/>
      <c r="AM54" s="94"/>
      <c r="AN54" s="81"/>
      <c r="AO54" s="93"/>
      <c r="AP54" s="81"/>
      <c r="AQ54" s="94"/>
      <c r="AR54" s="81"/>
      <c r="AS54" s="94"/>
      <c r="AT54" s="306"/>
      <c r="AU54" s="94"/>
      <c r="AV54" s="306"/>
      <c r="AW54" s="94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">
        <v>845</v>
      </c>
      <c r="B55" t="s">
        <v>106</v>
      </c>
      <c r="C55" s="52" t="s">
        <v>842</v>
      </c>
      <c r="D55" s="52" t="s">
        <v>842</v>
      </c>
      <c r="E55">
        <v>150</v>
      </c>
      <c r="F55">
        <v>170</v>
      </c>
      <c r="G55" s="64">
        <v>44105</v>
      </c>
      <c r="H55">
        <v>300</v>
      </c>
      <c r="I55">
        <v>300</v>
      </c>
      <c r="J55">
        <v>6</v>
      </c>
      <c r="K55">
        <v>4</v>
      </c>
      <c r="L55">
        <v>0</v>
      </c>
      <c r="M55">
        <v>1</v>
      </c>
      <c r="N55">
        <v>12</v>
      </c>
      <c r="O55">
        <v>0</v>
      </c>
      <c r="P55" s="69">
        <f t="shared" si="2"/>
        <v>125</v>
      </c>
      <c r="Q55" s="104" t="s">
        <v>495</v>
      </c>
      <c r="R55" s="103">
        <v>2</v>
      </c>
      <c r="S55" s="102" t="s">
        <v>495</v>
      </c>
      <c r="T55" s="103">
        <v>2</v>
      </c>
      <c r="U55" s="104" t="s">
        <v>496</v>
      </c>
      <c r="V55" s="103">
        <v>2</v>
      </c>
      <c r="W55" s="94"/>
      <c r="X55" s="81"/>
      <c r="Y55" s="93"/>
      <c r="Z55" s="81"/>
      <c r="AA55" s="94"/>
      <c r="AB55" s="81"/>
      <c r="AC55" s="93"/>
      <c r="AD55" s="81"/>
      <c r="AE55" s="94"/>
      <c r="AF55" s="81"/>
      <c r="AG55" s="93"/>
      <c r="AH55" s="81"/>
      <c r="AI55" s="94"/>
      <c r="AJ55" s="81"/>
      <c r="AK55" s="93"/>
      <c r="AL55" s="81"/>
      <c r="AM55" s="94"/>
      <c r="AN55" s="81"/>
      <c r="AO55" s="93"/>
      <c r="AP55" s="81"/>
      <c r="AQ55" s="94"/>
      <c r="AR55" s="81"/>
      <c r="AS55" s="94"/>
      <c r="AT55" s="306"/>
      <c r="AU55" s="94"/>
      <c r="AV55" s="306"/>
      <c r="AW55" s="94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">
        <v>846</v>
      </c>
      <c r="B56" t="s">
        <v>106</v>
      </c>
      <c r="C56" s="52" t="s">
        <v>842</v>
      </c>
      <c r="D56" s="52" t="s">
        <v>842</v>
      </c>
      <c r="E56">
        <v>150</v>
      </c>
      <c r="F56">
        <v>130</v>
      </c>
      <c r="G56" s="64">
        <v>44105</v>
      </c>
      <c r="H56">
        <v>300</v>
      </c>
      <c r="I56">
        <v>300</v>
      </c>
      <c r="J56">
        <v>4</v>
      </c>
      <c r="K56">
        <v>0</v>
      </c>
      <c r="L56">
        <v>0</v>
      </c>
      <c r="M56">
        <v>21</v>
      </c>
      <c r="N56">
        <v>11</v>
      </c>
      <c r="O56">
        <v>0</v>
      </c>
      <c r="P56" s="69">
        <f t="shared" si="2"/>
        <v>104.16666666666667</v>
      </c>
      <c r="Q56" s="82" t="s">
        <v>494</v>
      </c>
      <c r="R56" s="83">
        <v>5</v>
      </c>
      <c r="S56" s="94"/>
      <c r="T56" s="81"/>
      <c r="U56" s="93"/>
      <c r="V56" s="81"/>
      <c r="W56" s="94"/>
      <c r="X56" s="81"/>
      <c r="Y56" s="93"/>
      <c r="Z56" s="81"/>
      <c r="AA56" s="94"/>
      <c r="AB56" s="81"/>
      <c r="AC56" s="93"/>
      <c r="AD56" s="81"/>
      <c r="AE56" s="94"/>
      <c r="AF56" s="81"/>
      <c r="AG56" s="93"/>
      <c r="AH56" s="81"/>
      <c r="AI56" s="94"/>
      <c r="AJ56" s="81"/>
      <c r="AK56" s="93"/>
      <c r="AL56" s="81"/>
      <c r="AM56" s="94"/>
      <c r="AN56" s="81"/>
      <c r="AO56" s="93"/>
      <c r="AP56" s="81"/>
      <c r="AQ56" s="94"/>
      <c r="AR56" s="81"/>
      <c r="AS56" s="94"/>
      <c r="AT56" s="306"/>
      <c r="AU56" s="94"/>
      <c r="AV56" s="306"/>
      <c r="AW56" s="94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">
        <v>847</v>
      </c>
      <c r="B57" t="s">
        <v>144</v>
      </c>
      <c r="C57" s="52" t="s">
        <v>848</v>
      </c>
      <c r="D57" s="52" t="s">
        <v>848</v>
      </c>
      <c r="E57">
        <v>40</v>
      </c>
      <c r="F57">
        <v>30</v>
      </c>
      <c r="G57" s="64">
        <v>44105</v>
      </c>
      <c r="H57">
        <v>300</v>
      </c>
      <c r="I57">
        <v>300</v>
      </c>
      <c r="J57">
        <v>6</v>
      </c>
      <c r="K57">
        <v>2</v>
      </c>
      <c r="L57">
        <v>5</v>
      </c>
      <c r="M57">
        <v>10</v>
      </c>
      <c r="N57">
        <v>11</v>
      </c>
      <c r="O57">
        <v>0</v>
      </c>
      <c r="P57" s="69">
        <f t="shared" si="2"/>
        <v>156.25</v>
      </c>
      <c r="Q57" s="82" t="s">
        <v>560</v>
      </c>
      <c r="R57" s="83">
        <v>5</v>
      </c>
      <c r="S57" s="102" t="s">
        <v>562</v>
      </c>
      <c r="T57" s="103">
        <v>1</v>
      </c>
      <c r="U57" s="102" t="s">
        <v>562</v>
      </c>
      <c r="V57" s="103">
        <v>1</v>
      </c>
      <c r="W57" s="102" t="s">
        <v>563</v>
      </c>
      <c r="X57" s="297">
        <v>0.5</v>
      </c>
      <c r="Y57" s="93"/>
      <c r="Z57" s="81"/>
      <c r="AA57" s="94"/>
      <c r="AB57" s="81"/>
      <c r="AC57" s="93"/>
      <c r="AD57" s="81"/>
      <c r="AE57" s="94"/>
      <c r="AF57" s="81"/>
      <c r="AG57" s="93"/>
      <c r="AH57" s="81"/>
      <c r="AI57" s="94"/>
      <c r="AJ57" s="81"/>
      <c r="AK57" s="93"/>
      <c r="AL57" s="81"/>
      <c r="AM57" s="94"/>
      <c r="AN57" s="81"/>
      <c r="AO57" s="93"/>
      <c r="AP57" s="81"/>
      <c r="AQ57" s="94"/>
      <c r="AR57" s="81"/>
      <c r="AS57" s="94"/>
      <c r="AT57" s="306"/>
      <c r="AU57" s="94"/>
      <c r="AV57" s="306"/>
      <c r="AW57" s="94"/>
      <c r="AX57" s="66">
        <f t="shared" si="3"/>
        <v>7.5</v>
      </c>
      <c r="AY57" s="78">
        <f t="shared" si="4"/>
        <v>156.25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118.125</v>
      </c>
      <c r="BC57" s="53">
        <f t="shared" si="1"/>
        <v>108.125</v>
      </c>
    </row>
    <row r="58" spans="1:55" ht="13.15">
      <c r="A58" t="s">
        <v>849</v>
      </c>
      <c r="B58" t="s">
        <v>144</v>
      </c>
      <c r="C58" s="52" t="s">
        <v>848</v>
      </c>
      <c r="D58" s="52" t="s">
        <v>848</v>
      </c>
      <c r="E58">
        <v>80</v>
      </c>
      <c r="F58">
        <v>100</v>
      </c>
      <c r="G58" s="64">
        <v>44105</v>
      </c>
      <c r="H58">
        <v>300</v>
      </c>
      <c r="I58">
        <v>300</v>
      </c>
      <c r="J58">
        <v>1</v>
      </c>
      <c r="K58">
        <v>0</v>
      </c>
      <c r="L58">
        <v>0</v>
      </c>
      <c r="M58">
        <v>11</v>
      </c>
      <c r="N58">
        <v>9</v>
      </c>
      <c r="O58">
        <v>0</v>
      </c>
      <c r="P58" s="69">
        <f t="shared" si="2"/>
        <v>41.666666666666664</v>
      </c>
      <c r="Q58" s="82" t="s">
        <v>561</v>
      </c>
      <c r="R58" s="83">
        <v>2</v>
      </c>
      <c r="S58" s="102"/>
      <c r="T58" s="103"/>
      <c r="U58" s="93"/>
      <c r="V58" s="81"/>
      <c r="W58" s="94"/>
      <c r="X58" s="81"/>
      <c r="Y58" s="93"/>
      <c r="Z58" s="81"/>
      <c r="AA58" s="94"/>
      <c r="AB58" s="81"/>
      <c r="AC58" s="93"/>
      <c r="AD58" s="81"/>
      <c r="AE58" s="94"/>
      <c r="AF58" s="81"/>
      <c r="AG58" s="93"/>
      <c r="AH58" s="81"/>
      <c r="AI58" s="94"/>
      <c r="AJ58" s="81"/>
      <c r="AK58" s="93"/>
      <c r="AL58" s="81"/>
      <c r="AM58" s="94"/>
      <c r="AN58" s="81"/>
      <c r="AO58" s="93"/>
      <c r="AP58" s="81"/>
      <c r="AQ58" s="94"/>
      <c r="AR58" s="81"/>
      <c r="AS58" s="94"/>
      <c r="AT58" s="306"/>
      <c r="AU58" s="94"/>
      <c r="AV58" s="306"/>
      <c r="AW58" s="94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">
        <v>850</v>
      </c>
      <c r="B59" t="s">
        <v>149</v>
      </c>
      <c r="C59" s="52" t="s">
        <v>851</v>
      </c>
      <c r="D59" s="52" t="s">
        <v>851</v>
      </c>
      <c r="E59">
        <v>105</v>
      </c>
      <c r="F59">
        <v>95</v>
      </c>
      <c r="G59" s="64">
        <v>44217</v>
      </c>
      <c r="H59">
        <v>300</v>
      </c>
      <c r="I59">
        <v>300</v>
      </c>
      <c r="J59">
        <v>2</v>
      </c>
      <c r="K59">
        <v>0</v>
      </c>
      <c r="L59">
        <v>0</v>
      </c>
      <c r="M59">
        <v>0</v>
      </c>
      <c r="N59">
        <v>2</v>
      </c>
      <c r="O59">
        <v>34</v>
      </c>
      <c r="P59" s="69">
        <f t="shared" si="2"/>
        <v>0</v>
      </c>
      <c r="Q59" s="93"/>
      <c r="R59" s="81"/>
      <c r="S59" s="94"/>
      <c r="T59" s="81"/>
      <c r="U59" s="93"/>
      <c r="V59" s="81"/>
      <c r="W59" s="94"/>
      <c r="X59" s="81"/>
      <c r="Y59" s="93"/>
      <c r="Z59" s="81"/>
      <c r="AA59" s="94"/>
      <c r="AB59" s="81"/>
      <c r="AC59" s="93"/>
      <c r="AD59" s="81"/>
      <c r="AE59" s="94"/>
      <c r="AF59" s="81"/>
      <c r="AG59" s="93"/>
      <c r="AH59" s="81"/>
      <c r="AI59" s="94"/>
      <c r="AJ59" s="81"/>
      <c r="AK59" s="93"/>
      <c r="AL59" s="81"/>
      <c r="AM59" s="94"/>
      <c r="AN59" s="81"/>
      <c r="AO59" s="93"/>
      <c r="AP59" s="81"/>
      <c r="AQ59" s="94"/>
      <c r="AR59" s="81"/>
      <c r="AS59" s="94"/>
      <c r="AT59" s="306"/>
      <c r="AU59" s="94"/>
      <c r="AV59" s="306"/>
      <c r="AW59" s="94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">
        <v>852</v>
      </c>
      <c r="B60" t="s">
        <v>149</v>
      </c>
      <c r="C60" s="52" t="s">
        <v>851</v>
      </c>
      <c r="D60" s="52" t="s">
        <v>851</v>
      </c>
      <c r="E60">
        <v>25</v>
      </c>
      <c r="F60">
        <v>25</v>
      </c>
      <c r="G60" s="64">
        <v>44161</v>
      </c>
      <c r="H60">
        <v>300</v>
      </c>
      <c r="I60">
        <v>300</v>
      </c>
      <c r="J60">
        <v>2</v>
      </c>
      <c r="K60">
        <v>0</v>
      </c>
      <c r="L60">
        <v>0</v>
      </c>
      <c r="M60">
        <v>2</v>
      </c>
      <c r="N60">
        <v>2</v>
      </c>
      <c r="O60">
        <v>55</v>
      </c>
      <c r="P60" s="69">
        <f t="shared" si="2"/>
        <v>0</v>
      </c>
      <c r="Q60" s="93"/>
      <c r="R60" s="81"/>
      <c r="S60" s="94"/>
      <c r="T60" s="81"/>
      <c r="U60" s="93"/>
      <c r="V60" s="81"/>
      <c r="W60" s="94"/>
      <c r="X60" s="81"/>
      <c r="Y60" s="93"/>
      <c r="Z60" s="81"/>
      <c r="AA60" s="94"/>
      <c r="AB60" s="81"/>
      <c r="AC60" s="93"/>
      <c r="AD60" s="81"/>
      <c r="AE60" s="94"/>
      <c r="AF60" s="81"/>
      <c r="AG60" s="93"/>
      <c r="AH60" s="81"/>
      <c r="AI60" s="94"/>
      <c r="AJ60" s="81"/>
      <c r="AK60" s="93"/>
      <c r="AL60" s="81"/>
      <c r="AM60" s="94"/>
      <c r="AN60" s="81"/>
      <c r="AO60" s="93"/>
      <c r="AP60" s="81"/>
      <c r="AQ60" s="94"/>
      <c r="AR60" s="81"/>
      <c r="AS60" s="94"/>
      <c r="AT60" s="306"/>
      <c r="AU60" s="94"/>
      <c r="AV60" s="306"/>
      <c r="AW60" s="94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">
        <v>853</v>
      </c>
      <c r="B61" t="s">
        <v>149</v>
      </c>
      <c r="C61" s="52" t="s">
        <v>851</v>
      </c>
      <c r="D61" s="52" t="s">
        <v>854</v>
      </c>
      <c r="E61">
        <v>125</v>
      </c>
      <c r="F61">
        <v>120</v>
      </c>
      <c r="G61" s="64">
        <v>44161</v>
      </c>
      <c r="H61">
        <v>300</v>
      </c>
      <c r="I61">
        <v>300</v>
      </c>
      <c r="J61">
        <v>2</v>
      </c>
      <c r="K61">
        <v>0</v>
      </c>
      <c r="L61">
        <v>0</v>
      </c>
      <c r="M61">
        <v>1</v>
      </c>
      <c r="N61">
        <v>2</v>
      </c>
      <c r="O61">
        <v>37</v>
      </c>
      <c r="P61" s="69">
        <f t="shared" si="2"/>
        <v>0</v>
      </c>
      <c r="Q61" s="93"/>
      <c r="R61" s="81"/>
      <c r="S61" s="94"/>
      <c r="T61" s="81"/>
      <c r="U61" s="93"/>
      <c r="V61" s="81"/>
      <c r="W61" s="94"/>
      <c r="X61" s="81"/>
      <c r="Y61" s="93"/>
      <c r="Z61" s="81"/>
      <c r="AA61" s="94"/>
      <c r="AB61" s="81"/>
      <c r="AC61" s="93"/>
      <c r="AD61" s="81"/>
      <c r="AE61" s="94"/>
      <c r="AF61" s="81"/>
      <c r="AG61" s="93"/>
      <c r="AH61" s="81"/>
      <c r="AI61" s="94"/>
      <c r="AJ61" s="81"/>
      <c r="AK61" s="93"/>
      <c r="AL61" s="81"/>
      <c r="AM61" s="94"/>
      <c r="AN61" s="81"/>
      <c r="AO61" s="93"/>
      <c r="AP61" s="81"/>
      <c r="AQ61" s="94"/>
      <c r="AR61" s="81"/>
      <c r="AS61" s="94"/>
      <c r="AT61" s="306"/>
      <c r="AU61" s="94"/>
      <c r="AV61" s="306"/>
      <c r="AW61" s="94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">
        <v>855</v>
      </c>
      <c r="B62" t="s">
        <v>149</v>
      </c>
      <c r="C62" s="52" t="s">
        <v>851</v>
      </c>
      <c r="D62" s="52" t="s">
        <v>851</v>
      </c>
      <c r="E62">
        <v>5</v>
      </c>
      <c r="F62">
        <v>25</v>
      </c>
      <c r="G62" s="64">
        <v>44161</v>
      </c>
      <c r="H62">
        <v>300</v>
      </c>
      <c r="I62">
        <v>300</v>
      </c>
      <c r="J62">
        <v>0</v>
      </c>
      <c r="K62">
        <v>0</v>
      </c>
      <c r="L62">
        <v>0</v>
      </c>
      <c r="M62">
        <v>1</v>
      </c>
      <c r="N62">
        <v>2</v>
      </c>
      <c r="O62">
        <v>49</v>
      </c>
      <c r="P62" s="69">
        <f t="shared" si="2"/>
        <v>416.66666666666669</v>
      </c>
      <c r="Q62" s="82" t="s">
        <v>571</v>
      </c>
      <c r="R62" s="83">
        <v>5</v>
      </c>
      <c r="S62" s="82" t="s">
        <v>572</v>
      </c>
      <c r="T62" s="83">
        <v>4.5</v>
      </c>
      <c r="U62" s="82" t="s">
        <v>856</v>
      </c>
      <c r="V62" s="83">
        <v>4.5</v>
      </c>
      <c r="W62" s="102" t="s">
        <v>573</v>
      </c>
      <c r="X62" s="103">
        <v>1</v>
      </c>
      <c r="Y62" s="309" t="s">
        <v>857</v>
      </c>
      <c r="Z62" s="310">
        <v>5</v>
      </c>
      <c r="AA62" s="94"/>
      <c r="AB62" s="81"/>
      <c r="AC62" s="93"/>
      <c r="AD62" s="81"/>
      <c r="AE62" s="94"/>
      <c r="AF62" s="81"/>
      <c r="AG62" s="93"/>
      <c r="AH62" s="81"/>
      <c r="AI62" s="94"/>
      <c r="AJ62" s="81"/>
      <c r="AK62" s="93"/>
      <c r="AL62" s="81"/>
      <c r="AM62" s="94"/>
      <c r="AN62" s="81"/>
      <c r="AO62" s="93"/>
      <c r="AP62" s="81"/>
      <c r="AQ62" s="94"/>
      <c r="AR62" s="81"/>
      <c r="AS62" s="94"/>
      <c r="AT62" s="306"/>
      <c r="AU62" s="94"/>
      <c r="AV62" s="306"/>
      <c r="AW62" s="94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">
        <v>858</v>
      </c>
      <c r="B63" t="s">
        <v>146</v>
      </c>
      <c r="C63" s="52" t="s">
        <v>859</v>
      </c>
      <c r="D63" s="52" t="s">
        <v>859</v>
      </c>
      <c r="E63">
        <v>97</v>
      </c>
      <c r="F63">
        <v>103</v>
      </c>
      <c r="G63" s="64">
        <v>44229</v>
      </c>
      <c r="H63">
        <v>300</v>
      </c>
      <c r="I63">
        <v>300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 s="69">
        <f t="shared" si="2"/>
        <v>125</v>
      </c>
      <c r="Q63" s="82" t="s">
        <v>565</v>
      </c>
      <c r="R63" s="83">
        <v>5</v>
      </c>
      <c r="S63" s="102" t="s">
        <v>567</v>
      </c>
      <c r="T63" s="103">
        <v>1</v>
      </c>
      <c r="U63" s="93"/>
      <c r="V63" s="81"/>
      <c r="W63" s="94"/>
      <c r="X63" s="81"/>
      <c r="Y63" s="93"/>
      <c r="Z63" s="81"/>
      <c r="AA63" s="94"/>
      <c r="AB63" s="81"/>
      <c r="AC63" s="93"/>
      <c r="AD63" s="81"/>
      <c r="AE63" s="94"/>
      <c r="AF63" s="81"/>
      <c r="AG63" s="93"/>
      <c r="AH63" s="81"/>
      <c r="AI63" s="94"/>
      <c r="AJ63" s="81"/>
      <c r="AK63" s="93"/>
      <c r="AL63" s="81"/>
      <c r="AM63" s="94"/>
      <c r="AN63" s="81"/>
      <c r="AO63" s="93"/>
      <c r="AP63" s="81"/>
      <c r="AQ63" s="94"/>
      <c r="AR63" s="81"/>
      <c r="AS63" s="94"/>
      <c r="AT63" s="306"/>
      <c r="AU63" s="94"/>
      <c r="AV63" s="306"/>
      <c r="AW63" s="94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">
        <v>860</v>
      </c>
      <c r="B64" t="s">
        <v>146</v>
      </c>
      <c r="C64" s="52" t="s">
        <v>859</v>
      </c>
      <c r="D64" s="52" t="s">
        <v>859</v>
      </c>
      <c r="E64">
        <v>75</v>
      </c>
      <c r="F64">
        <v>50</v>
      </c>
      <c r="G64" s="64">
        <v>44384</v>
      </c>
      <c r="H64">
        <v>300</v>
      </c>
      <c r="I64">
        <v>300</v>
      </c>
      <c r="J64">
        <v>6</v>
      </c>
      <c r="K64">
        <v>6</v>
      </c>
      <c r="L64">
        <v>0</v>
      </c>
      <c r="M64">
        <v>12</v>
      </c>
      <c r="N64">
        <v>12</v>
      </c>
      <c r="O64">
        <v>0</v>
      </c>
      <c r="P64" s="69">
        <f t="shared" si="2"/>
        <v>0</v>
      </c>
      <c r="Q64" s="93"/>
      <c r="R64" s="81"/>
      <c r="S64" s="94"/>
      <c r="T64" s="81"/>
      <c r="U64" s="93"/>
      <c r="V64" s="81"/>
      <c r="W64" s="94"/>
      <c r="X64" s="81"/>
      <c r="Y64" s="93"/>
      <c r="Z64" s="81"/>
      <c r="AA64" s="94"/>
      <c r="AB64" s="81"/>
      <c r="AC64" s="93"/>
      <c r="AD64" s="81"/>
      <c r="AE64" s="94"/>
      <c r="AF64" s="81"/>
      <c r="AG64" s="93"/>
      <c r="AH64" s="81"/>
      <c r="AI64" s="94"/>
      <c r="AJ64" s="81"/>
      <c r="AK64" s="93"/>
      <c r="AL64" s="81"/>
      <c r="AM64" s="94"/>
      <c r="AN64" s="81"/>
      <c r="AO64" s="93"/>
      <c r="AP64" s="81"/>
      <c r="AQ64" s="94"/>
      <c r="AR64" s="81"/>
      <c r="AS64" s="94"/>
      <c r="AT64" s="306"/>
      <c r="AU64" s="94"/>
      <c r="AV64" s="306"/>
      <c r="AW64" s="94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">
        <v>861</v>
      </c>
      <c r="B65" t="s">
        <v>146</v>
      </c>
      <c r="C65" s="52" t="s">
        <v>859</v>
      </c>
      <c r="D65" s="52" t="s">
        <v>859</v>
      </c>
      <c r="E65">
        <v>60</v>
      </c>
      <c r="F65">
        <v>40</v>
      </c>
      <c r="G65" s="64">
        <v>44229</v>
      </c>
      <c r="H65">
        <v>300</v>
      </c>
      <c r="I65">
        <v>300</v>
      </c>
      <c r="J65">
        <v>6</v>
      </c>
      <c r="K65">
        <v>4</v>
      </c>
      <c r="L65">
        <v>4</v>
      </c>
      <c r="M65">
        <v>20</v>
      </c>
      <c r="N65">
        <v>12</v>
      </c>
      <c r="O65">
        <v>0</v>
      </c>
      <c r="P65" s="69">
        <f t="shared" si="2"/>
        <v>0</v>
      </c>
      <c r="Q65" s="93"/>
      <c r="R65" s="81"/>
      <c r="S65" s="94"/>
      <c r="T65" s="81"/>
      <c r="U65" s="93"/>
      <c r="V65" s="81"/>
      <c r="W65" s="94"/>
      <c r="X65" s="81"/>
      <c r="Y65" s="93"/>
      <c r="Z65" s="81"/>
      <c r="AA65" s="94"/>
      <c r="AB65" s="81"/>
      <c r="AC65" s="93"/>
      <c r="AD65" s="81"/>
      <c r="AE65" s="94"/>
      <c r="AF65" s="81"/>
      <c r="AG65" s="93"/>
      <c r="AH65" s="81"/>
      <c r="AI65" s="94"/>
      <c r="AJ65" s="81"/>
      <c r="AK65" s="93"/>
      <c r="AL65" s="81"/>
      <c r="AM65" s="94"/>
      <c r="AN65" s="81"/>
      <c r="AO65" s="93"/>
      <c r="AP65" s="81"/>
      <c r="AQ65" s="94"/>
      <c r="AR65" s="81"/>
      <c r="AS65" s="94"/>
      <c r="AT65" s="306"/>
      <c r="AU65" s="94"/>
      <c r="AV65" s="306"/>
      <c r="AW65" s="94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">
        <v>862</v>
      </c>
      <c r="B66" t="s">
        <v>146</v>
      </c>
      <c r="C66" s="52" t="s">
        <v>859</v>
      </c>
      <c r="D66" s="52" t="s">
        <v>859</v>
      </c>
      <c r="E66">
        <v>110</v>
      </c>
      <c r="F66">
        <v>150</v>
      </c>
      <c r="G66" s="64">
        <v>44229</v>
      </c>
      <c r="H66">
        <v>300</v>
      </c>
      <c r="I66">
        <v>300</v>
      </c>
      <c r="J66">
        <v>6</v>
      </c>
      <c r="K66">
        <v>0</v>
      </c>
      <c r="L66">
        <v>1</v>
      </c>
      <c r="M66">
        <v>9</v>
      </c>
      <c r="N66">
        <v>12</v>
      </c>
      <c r="O66">
        <v>0</v>
      </c>
      <c r="P66" s="69">
        <f t="shared" si="2"/>
        <v>20.833333333333332</v>
      </c>
      <c r="Q66" s="82" t="s">
        <v>566</v>
      </c>
      <c r="R66" s="83">
        <v>1</v>
      </c>
      <c r="S66" s="94"/>
      <c r="T66" s="81"/>
      <c r="U66" s="93"/>
      <c r="V66" s="81"/>
      <c r="W66" s="94"/>
      <c r="X66" s="81"/>
      <c r="Y66" s="93"/>
      <c r="Z66" s="81"/>
      <c r="AA66" s="94"/>
      <c r="AB66" s="81"/>
      <c r="AC66" s="93"/>
      <c r="AD66" s="81"/>
      <c r="AE66" s="94"/>
      <c r="AF66" s="81"/>
      <c r="AG66" s="93"/>
      <c r="AH66" s="81"/>
      <c r="AI66" s="94"/>
      <c r="AJ66" s="81"/>
      <c r="AK66" s="93"/>
      <c r="AL66" s="81"/>
      <c r="AM66" s="94"/>
      <c r="AN66" s="81"/>
      <c r="AO66" s="93"/>
      <c r="AP66" s="81"/>
      <c r="AQ66" s="94"/>
      <c r="AR66" s="81"/>
      <c r="AS66" s="94"/>
      <c r="AT66" s="306"/>
      <c r="AU66" s="94"/>
      <c r="AV66" s="306"/>
      <c r="AW66" s="94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">
        <v>863</v>
      </c>
      <c r="B67" t="s">
        <v>167</v>
      </c>
      <c r="C67" s="52" t="s">
        <v>864</v>
      </c>
      <c r="D67" s="52" t="s">
        <v>864</v>
      </c>
      <c r="E67">
        <v>160</v>
      </c>
      <c r="F67">
        <v>150</v>
      </c>
      <c r="G67" s="64">
        <v>44294</v>
      </c>
      <c r="H67">
        <v>300</v>
      </c>
      <c r="I67">
        <v>300</v>
      </c>
      <c r="J67">
        <v>2</v>
      </c>
      <c r="K67">
        <v>3</v>
      </c>
      <c r="L67">
        <v>0</v>
      </c>
      <c r="M67">
        <v>19</v>
      </c>
      <c r="N67">
        <v>9</v>
      </c>
      <c r="O67">
        <v>0</v>
      </c>
      <c r="P67" s="69">
        <f t="shared" si="2"/>
        <v>41.666666666666664</v>
      </c>
      <c r="Q67" s="109" t="s">
        <v>608</v>
      </c>
      <c r="R67" s="261">
        <v>1</v>
      </c>
      <c r="S67" s="109" t="s">
        <v>608</v>
      </c>
      <c r="T67" s="261">
        <v>1</v>
      </c>
      <c r="U67" s="93"/>
      <c r="V67" s="81"/>
      <c r="W67" s="94"/>
      <c r="X67" s="81"/>
      <c r="Y67" s="93"/>
      <c r="Z67" s="81"/>
      <c r="AA67" s="94"/>
      <c r="AB67" s="81"/>
      <c r="AC67" s="93"/>
      <c r="AD67" s="81"/>
      <c r="AE67" s="94"/>
      <c r="AF67" s="81"/>
      <c r="AG67" s="93"/>
      <c r="AH67" s="81"/>
      <c r="AI67" s="94"/>
      <c r="AJ67" s="81"/>
      <c r="AK67" s="93"/>
      <c r="AL67" s="81"/>
      <c r="AM67" s="94"/>
      <c r="AN67" s="81"/>
      <c r="AO67" s="93"/>
      <c r="AP67" s="81"/>
      <c r="AQ67" s="94"/>
      <c r="AR67" s="81"/>
      <c r="AS67" s="94"/>
      <c r="AT67" s="306"/>
      <c r="AU67" s="94"/>
      <c r="AV67" s="306"/>
      <c r="AW67" s="94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">
        <v>865</v>
      </c>
      <c r="B68" t="s">
        <v>167</v>
      </c>
      <c r="C68" s="52" t="s">
        <v>864</v>
      </c>
      <c r="D68" s="52" t="s">
        <v>864</v>
      </c>
      <c r="E68">
        <v>60</v>
      </c>
      <c r="F68">
        <v>60</v>
      </c>
      <c r="G68" s="64">
        <v>44294</v>
      </c>
      <c r="H68">
        <v>300</v>
      </c>
      <c r="I68">
        <v>300</v>
      </c>
      <c r="J68">
        <v>2</v>
      </c>
      <c r="K68">
        <v>1</v>
      </c>
      <c r="L68">
        <v>0</v>
      </c>
      <c r="M68">
        <v>21</v>
      </c>
      <c r="N68">
        <v>12</v>
      </c>
      <c r="O68">
        <v>0</v>
      </c>
      <c r="P68" s="69">
        <f t="shared" ref="P68:P131" si="15">SUM(AY68+BA68)</f>
        <v>135.41666666666666</v>
      </c>
      <c r="Q68" s="93" t="s">
        <v>866</v>
      </c>
      <c r="R68" s="81">
        <v>1</v>
      </c>
      <c r="S68" s="84" t="s">
        <v>610</v>
      </c>
      <c r="T68" s="292">
        <v>5.5</v>
      </c>
      <c r="U68" s="93"/>
      <c r="V68" s="81"/>
      <c r="W68" s="94"/>
      <c r="X68" s="81"/>
      <c r="Y68" s="93"/>
      <c r="Z68" s="81"/>
      <c r="AA68" s="94"/>
      <c r="AB68" s="81"/>
      <c r="AC68" s="93"/>
      <c r="AD68" s="81"/>
      <c r="AE68" s="94"/>
      <c r="AF68" s="81"/>
      <c r="AG68" s="93"/>
      <c r="AH68" s="81"/>
      <c r="AI68" s="94"/>
      <c r="AJ68" s="81"/>
      <c r="AK68" s="93"/>
      <c r="AL68" s="81"/>
      <c r="AM68" s="94"/>
      <c r="AN68" s="81"/>
      <c r="AO68" s="93"/>
      <c r="AP68" s="81"/>
      <c r="AQ68" s="94"/>
      <c r="AR68" s="81"/>
      <c r="AS68" s="94"/>
      <c r="AT68" s="306"/>
      <c r="AU68" s="94"/>
      <c r="AV68" s="306"/>
      <c r="AW68" s="94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127.70833333333333</v>
      </c>
      <c r="BC68" s="53">
        <f t="shared" si="14"/>
        <v>127.70833333333333</v>
      </c>
    </row>
    <row r="69" spans="1:55" ht="13.15">
      <c r="A69" t="s">
        <v>867</v>
      </c>
      <c r="B69" t="s">
        <v>167</v>
      </c>
      <c r="C69" s="52" t="s">
        <v>864</v>
      </c>
      <c r="D69" s="52" t="s">
        <v>864</v>
      </c>
      <c r="E69">
        <v>65</v>
      </c>
      <c r="F69">
        <v>70</v>
      </c>
      <c r="G69" s="64">
        <v>44294</v>
      </c>
      <c r="H69">
        <v>300</v>
      </c>
      <c r="I69">
        <v>300</v>
      </c>
      <c r="J69">
        <v>6</v>
      </c>
      <c r="K69">
        <v>0</v>
      </c>
      <c r="L69">
        <v>0</v>
      </c>
      <c r="M69">
        <v>16</v>
      </c>
      <c r="N69">
        <v>6</v>
      </c>
      <c r="O69">
        <v>0</v>
      </c>
      <c r="P69" s="69">
        <f t="shared" si="15"/>
        <v>83.333333333333329</v>
      </c>
      <c r="Q69" s="104" t="s">
        <v>868</v>
      </c>
      <c r="R69" s="120">
        <v>2</v>
      </c>
      <c r="S69" s="102" t="s">
        <v>606</v>
      </c>
      <c r="T69" s="120">
        <v>2</v>
      </c>
      <c r="U69" s="93"/>
      <c r="V69" s="81"/>
      <c r="W69" s="94"/>
      <c r="X69" s="81"/>
      <c r="Y69" s="93"/>
      <c r="Z69" s="81"/>
      <c r="AA69" s="94"/>
      <c r="AB69" s="81"/>
      <c r="AC69" s="93"/>
      <c r="AD69" s="81"/>
      <c r="AE69" s="94"/>
      <c r="AF69" s="81"/>
      <c r="AG69" s="93"/>
      <c r="AH69" s="81"/>
      <c r="AI69" s="94"/>
      <c r="AJ69" s="81"/>
      <c r="AK69" s="93"/>
      <c r="AL69" s="81"/>
      <c r="AM69" s="94"/>
      <c r="AN69" s="81"/>
      <c r="AO69" s="93"/>
      <c r="AP69" s="81"/>
      <c r="AQ69" s="94"/>
      <c r="AR69" s="81"/>
      <c r="AS69" s="94"/>
      <c r="AT69" s="306"/>
      <c r="AU69" s="94"/>
      <c r="AV69" s="306"/>
      <c r="AW69" s="94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">
        <v>869</v>
      </c>
      <c r="B70" t="s">
        <v>167</v>
      </c>
      <c r="C70" s="52" t="s">
        <v>864</v>
      </c>
      <c r="D70" s="52" t="s">
        <v>864</v>
      </c>
      <c r="E70">
        <v>140</v>
      </c>
      <c r="F70">
        <v>140</v>
      </c>
      <c r="G70" s="64">
        <v>44294</v>
      </c>
      <c r="H70">
        <v>300</v>
      </c>
      <c r="I70">
        <v>300</v>
      </c>
      <c r="J70">
        <v>0</v>
      </c>
      <c r="K70">
        <v>0</v>
      </c>
      <c r="L70">
        <v>0</v>
      </c>
      <c r="M70">
        <v>3</v>
      </c>
      <c r="N70">
        <v>7</v>
      </c>
      <c r="O70">
        <v>0</v>
      </c>
      <c r="P70" s="69">
        <f t="shared" si="15"/>
        <v>0</v>
      </c>
      <c r="Q70" s="93"/>
      <c r="R70" s="81"/>
      <c r="S70" s="94"/>
      <c r="T70" s="81"/>
      <c r="U70" s="93"/>
      <c r="V70" s="81"/>
      <c r="W70" s="94"/>
      <c r="X70" s="81"/>
      <c r="Y70" s="93"/>
      <c r="Z70" s="81"/>
      <c r="AA70" s="94"/>
      <c r="AB70" s="81"/>
      <c r="AC70" s="93"/>
      <c r="AD70" s="81"/>
      <c r="AE70" s="94"/>
      <c r="AF70" s="81"/>
      <c r="AG70" s="93"/>
      <c r="AH70" s="81"/>
      <c r="AI70" s="94"/>
      <c r="AJ70" s="81"/>
      <c r="AK70" s="93"/>
      <c r="AL70" s="81"/>
      <c r="AM70" s="94"/>
      <c r="AN70" s="81"/>
      <c r="AO70" s="93"/>
      <c r="AP70" s="81"/>
      <c r="AQ70" s="94"/>
      <c r="AR70" s="81"/>
      <c r="AS70" s="94"/>
      <c r="AT70" s="306"/>
      <c r="AU70" s="94"/>
      <c r="AV70" s="306"/>
      <c r="AW70" s="94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">
        <v>870</v>
      </c>
      <c r="B71" t="s">
        <v>167</v>
      </c>
      <c r="C71" s="52" t="s">
        <v>871</v>
      </c>
      <c r="D71" s="52" t="s">
        <v>871</v>
      </c>
      <c r="E71">
        <v>0</v>
      </c>
      <c r="F71">
        <v>0</v>
      </c>
      <c r="G71" s="64">
        <v>0</v>
      </c>
      <c r="H71">
        <v>300</v>
      </c>
      <c r="I71">
        <v>300</v>
      </c>
      <c r="J71">
        <v>0</v>
      </c>
      <c r="K71">
        <v>0</v>
      </c>
      <c r="L71">
        <v>0</v>
      </c>
      <c r="M71">
        <v>6</v>
      </c>
      <c r="N71">
        <v>6</v>
      </c>
      <c r="O71">
        <v>39</v>
      </c>
      <c r="P71" s="69">
        <f t="shared" si="15"/>
        <v>0</v>
      </c>
      <c r="Q71" s="93"/>
      <c r="R71" s="81"/>
      <c r="S71" s="94"/>
      <c r="T71" s="81"/>
      <c r="U71" s="93"/>
      <c r="V71" s="81"/>
      <c r="W71" s="94"/>
      <c r="X71" s="81"/>
      <c r="Y71" s="93"/>
      <c r="Z71" s="81"/>
      <c r="AA71" s="94"/>
      <c r="AB71" s="81"/>
      <c r="AC71" s="93"/>
      <c r="AD71" s="81"/>
      <c r="AE71" s="94"/>
      <c r="AF71" s="81"/>
      <c r="AG71" s="93"/>
      <c r="AH71" s="81"/>
      <c r="AI71" s="94"/>
      <c r="AJ71" s="81"/>
      <c r="AK71" s="93"/>
      <c r="AL71" s="81"/>
      <c r="AM71" s="94"/>
      <c r="AN71" s="81"/>
      <c r="AO71" s="93"/>
      <c r="AP71" s="81"/>
      <c r="AQ71" s="94"/>
      <c r="AR71" s="81"/>
      <c r="AS71" s="94"/>
      <c r="AT71" s="306"/>
      <c r="AU71" s="94"/>
      <c r="AV71" s="306"/>
      <c r="AW71" s="94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">
        <v>872</v>
      </c>
      <c r="B72" t="s">
        <v>167</v>
      </c>
      <c r="C72" s="52" t="s">
        <v>871</v>
      </c>
      <c r="D72" s="52" t="s">
        <v>871</v>
      </c>
      <c r="E72">
        <v>0</v>
      </c>
      <c r="F72">
        <v>0</v>
      </c>
      <c r="G72" s="64">
        <v>0</v>
      </c>
      <c r="H72">
        <v>300</v>
      </c>
      <c r="I72">
        <v>300</v>
      </c>
      <c r="J72">
        <v>0</v>
      </c>
      <c r="K72">
        <v>0</v>
      </c>
      <c r="L72">
        <v>3</v>
      </c>
      <c r="M72">
        <v>6</v>
      </c>
      <c r="N72">
        <v>6</v>
      </c>
      <c r="O72">
        <v>42</v>
      </c>
      <c r="P72" s="69">
        <f t="shared" si="15"/>
        <v>0</v>
      </c>
      <c r="Q72" s="93"/>
      <c r="R72" s="81"/>
      <c r="S72" s="94"/>
      <c r="T72" s="81"/>
      <c r="U72" s="93"/>
      <c r="V72" s="81"/>
      <c r="W72" s="94"/>
      <c r="X72" s="81"/>
      <c r="Y72" s="93"/>
      <c r="Z72" s="81"/>
      <c r="AA72" s="94"/>
      <c r="AB72" s="81"/>
      <c r="AC72" s="93"/>
      <c r="AD72" s="81"/>
      <c r="AE72" s="94"/>
      <c r="AF72" s="81"/>
      <c r="AG72" s="93"/>
      <c r="AH72" s="81"/>
      <c r="AI72" s="94"/>
      <c r="AJ72" s="81"/>
      <c r="AK72" s="93"/>
      <c r="AL72" s="81"/>
      <c r="AM72" s="94"/>
      <c r="AN72" s="81"/>
      <c r="AO72" s="93"/>
      <c r="AP72" s="81"/>
      <c r="AQ72" s="94"/>
      <c r="AR72" s="81"/>
      <c r="AS72" s="94"/>
      <c r="AT72" s="306"/>
      <c r="AU72" s="94"/>
      <c r="AV72" s="306"/>
      <c r="AW72" s="94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">
        <v>873</v>
      </c>
      <c r="B73" t="s">
        <v>204</v>
      </c>
      <c r="C73" s="52" t="s">
        <v>874</v>
      </c>
      <c r="D73" s="52" t="s">
        <v>874</v>
      </c>
      <c r="E73">
        <v>35</v>
      </c>
      <c r="F73">
        <v>35</v>
      </c>
      <c r="G73" s="64">
        <v>44042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</v>
      </c>
      <c r="P73" s="69">
        <f t="shared" si="15"/>
        <v>83.333333333333329</v>
      </c>
      <c r="Q73" s="82" t="s">
        <v>667</v>
      </c>
      <c r="R73" s="83">
        <v>4</v>
      </c>
      <c r="S73" s="94"/>
      <c r="T73" s="81"/>
      <c r="U73" s="93"/>
      <c r="V73" s="81"/>
      <c r="W73" s="94"/>
      <c r="X73" s="81"/>
      <c r="Y73" s="93"/>
      <c r="Z73" s="81"/>
      <c r="AA73" s="94"/>
      <c r="AB73" s="81"/>
      <c r="AC73" s="93"/>
      <c r="AD73" s="81"/>
      <c r="AE73" s="94"/>
      <c r="AF73" s="81"/>
      <c r="AG73" s="93"/>
      <c r="AH73" s="81"/>
      <c r="AI73" s="94"/>
      <c r="AJ73" s="81"/>
      <c r="AK73" s="93"/>
      <c r="AL73" s="81"/>
      <c r="AM73" s="94"/>
      <c r="AN73" s="81"/>
      <c r="AO73" s="93"/>
      <c r="AP73" s="81"/>
      <c r="AQ73" s="94"/>
      <c r="AR73" s="81"/>
      <c r="AS73" s="94"/>
      <c r="AT73" s="306"/>
      <c r="AU73" s="94"/>
      <c r="AV73" s="306"/>
      <c r="AW73" s="94"/>
      <c r="AX73" s="66">
        <f t="shared" si="11"/>
        <v>4</v>
      </c>
      <c r="AY73" s="78">
        <f t="shared" si="12"/>
        <v>83.333333333333329</v>
      </c>
      <c r="AZ73" s="67">
        <f>IFERROR(VLOOKUP(A73,'Site check'!$A$14:$O$47,15,0),0)</f>
        <v>0</v>
      </c>
      <c r="BA73" s="68">
        <f t="shared" si="16"/>
        <v>0</v>
      </c>
      <c r="BB73" s="53">
        <f t="shared" si="13"/>
        <v>76.666666666666657</v>
      </c>
      <c r="BC73" s="53">
        <f t="shared" si="14"/>
        <v>76.666666666666657</v>
      </c>
    </row>
    <row r="74" spans="1:55" ht="13.15">
      <c r="A74" t="s">
        <v>875</v>
      </c>
      <c r="B74" t="s">
        <v>214</v>
      </c>
      <c r="C74" s="52" t="s">
        <v>876</v>
      </c>
      <c r="D74" s="52" t="s">
        <v>876</v>
      </c>
      <c r="E74">
        <v>16</v>
      </c>
      <c r="F74">
        <v>14</v>
      </c>
      <c r="G74" s="64">
        <v>44111</v>
      </c>
      <c r="H74">
        <v>300</v>
      </c>
      <c r="I74">
        <v>300</v>
      </c>
      <c r="J74">
        <v>8</v>
      </c>
      <c r="K74">
        <v>12</v>
      </c>
      <c r="L74">
        <v>1</v>
      </c>
      <c r="M74">
        <v>0</v>
      </c>
      <c r="N74">
        <v>0</v>
      </c>
      <c r="O74">
        <v>20</v>
      </c>
      <c r="P74" s="69">
        <f t="shared" si="15"/>
        <v>0</v>
      </c>
      <c r="Q74" s="93"/>
      <c r="R74" s="81"/>
      <c r="S74" s="94"/>
      <c r="T74" s="81"/>
      <c r="U74" s="93"/>
      <c r="V74" s="81"/>
      <c r="W74" s="94"/>
      <c r="X74" s="81"/>
      <c r="Y74" s="93"/>
      <c r="Z74" s="81"/>
      <c r="AA74" s="94"/>
      <c r="AB74" s="81"/>
      <c r="AC74" s="93"/>
      <c r="AD74" s="81"/>
      <c r="AE74" s="94"/>
      <c r="AF74" s="81"/>
      <c r="AG74" s="93"/>
      <c r="AH74" s="81"/>
      <c r="AI74" s="94"/>
      <c r="AJ74" s="81"/>
      <c r="AK74" s="93"/>
      <c r="AL74" s="81"/>
      <c r="AM74" s="94"/>
      <c r="AN74" s="81"/>
      <c r="AO74" s="93"/>
      <c r="AP74" s="81"/>
      <c r="AQ74" s="94"/>
      <c r="AR74" s="81"/>
      <c r="AS74" s="94"/>
      <c r="AT74" s="306"/>
      <c r="AU74" s="94"/>
      <c r="AV74" s="306"/>
      <c r="AW74" s="94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">
        <v>877</v>
      </c>
      <c r="B75" t="s">
        <v>225</v>
      </c>
      <c r="C75" s="52" t="s">
        <v>878</v>
      </c>
      <c r="D75" s="52" t="s">
        <v>878</v>
      </c>
      <c r="E75">
        <v>140</v>
      </c>
      <c r="F75">
        <v>140</v>
      </c>
      <c r="G75" s="64">
        <v>44251</v>
      </c>
      <c r="H75">
        <v>300</v>
      </c>
      <c r="I75">
        <v>300</v>
      </c>
      <c r="J75">
        <v>5</v>
      </c>
      <c r="K75">
        <v>6</v>
      </c>
      <c r="L75">
        <v>9</v>
      </c>
      <c r="M75">
        <v>0</v>
      </c>
      <c r="N75">
        <v>8</v>
      </c>
      <c r="O75">
        <v>0</v>
      </c>
      <c r="P75" s="69">
        <f t="shared" si="15"/>
        <v>0</v>
      </c>
      <c r="Q75" s="93"/>
      <c r="R75" s="81"/>
      <c r="S75" s="94"/>
      <c r="T75" s="81"/>
      <c r="U75" s="93"/>
      <c r="V75" s="81"/>
      <c r="W75" s="94"/>
      <c r="X75" s="81"/>
      <c r="Y75" s="93"/>
      <c r="Z75" s="81"/>
      <c r="AA75" s="94"/>
      <c r="AB75" s="81"/>
      <c r="AC75" s="93"/>
      <c r="AD75" s="81"/>
      <c r="AE75" s="94"/>
      <c r="AF75" s="81"/>
      <c r="AG75" s="93"/>
      <c r="AH75" s="81"/>
      <c r="AI75" s="94"/>
      <c r="AJ75" s="81"/>
      <c r="AK75" s="93"/>
      <c r="AL75" s="81"/>
      <c r="AM75" s="94"/>
      <c r="AN75" s="81"/>
      <c r="AO75" s="93"/>
      <c r="AP75" s="81"/>
      <c r="AQ75" s="94"/>
      <c r="AR75" s="81"/>
      <c r="AS75" s="94"/>
      <c r="AT75" s="306"/>
      <c r="AU75" s="94"/>
      <c r="AV75" s="306"/>
      <c r="AW75" s="94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">
        <v>879</v>
      </c>
      <c r="B76" t="s">
        <v>225</v>
      </c>
      <c r="C76" s="52" t="s">
        <v>878</v>
      </c>
      <c r="D76" s="52" t="s">
        <v>878</v>
      </c>
      <c r="E76">
        <v>140</v>
      </c>
      <c r="F76">
        <v>140</v>
      </c>
      <c r="G76" s="64">
        <v>44251</v>
      </c>
      <c r="H76">
        <v>300</v>
      </c>
      <c r="I76">
        <v>300</v>
      </c>
      <c r="J76">
        <v>5</v>
      </c>
      <c r="K76">
        <v>2</v>
      </c>
      <c r="L76">
        <v>12</v>
      </c>
      <c r="M76">
        <v>2</v>
      </c>
      <c r="N76">
        <v>11</v>
      </c>
      <c r="O76">
        <v>0</v>
      </c>
      <c r="P76" s="69">
        <f t="shared" si="15"/>
        <v>0</v>
      </c>
      <c r="Q76" s="93"/>
      <c r="R76" s="81"/>
      <c r="S76" s="94"/>
      <c r="T76" s="81"/>
      <c r="U76" s="93"/>
      <c r="V76" s="81"/>
      <c r="W76" s="94"/>
      <c r="X76" s="81"/>
      <c r="Y76" s="93"/>
      <c r="Z76" s="81"/>
      <c r="AA76" s="94"/>
      <c r="AB76" s="81"/>
      <c r="AC76" s="93"/>
      <c r="AD76" s="81"/>
      <c r="AE76" s="94"/>
      <c r="AF76" s="81"/>
      <c r="AG76" s="93"/>
      <c r="AH76" s="81"/>
      <c r="AI76" s="94"/>
      <c r="AJ76" s="81"/>
      <c r="AK76" s="93"/>
      <c r="AL76" s="81"/>
      <c r="AM76" s="94"/>
      <c r="AN76" s="81"/>
      <c r="AO76" s="93"/>
      <c r="AP76" s="81"/>
      <c r="AQ76" s="94"/>
      <c r="AR76" s="81"/>
      <c r="AS76" s="94"/>
      <c r="AT76" s="306"/>
      <c r="AU76" s="94"/>
      <c r="AV76" s="306"/>
      <c r="AW76" s="94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">
        <v>880</v>
      </c>
      <c r="B77" t="s">
        <v>231</v>
      </c>
      <c r="C77" s="52" t="s">
        <v>881</v>
      </c>
      <c r="D77" s="52" t="s">
        <v>881</v>
      </c>
      <c r="E77">
        <v>200</v>
      </c>
      <c r="F77">
        <v>250</v>
      </c>
      <c r="G77" s="64">
        <v>44980</v>
      </c>
      <c r="H77">
        <v>300</v>
      </c>
      <c r="I77">
        <v>300</v>
      </c>
      <c r="J77">
        <v>2</v>
      </c>
      <c r="K77">
        <v>1</v>
      </c>
      <c r="L77">
        <v>0</v>
      </c>
      <c r="M77">
        <v>4</v>
      </c>
      <c r="N77">
        <v>7</v>
      </c>
      <c r="O77">
        <v>0</v>
      </c>
      <c r="P77" s="69">
        <f t="shared" si="15"/>
        <v>83.333333333333329</v>
      </c>
      <c r="Q77" s="309" t="s">
        <v>703</v>
      </c>
      <c r="R77" s="310">
        <v>2</v>
      </c>
      <c r="S77" s="309" t="s">
        <v>704</v>
      </c>
      <c r="T77" s="310">
        <v>2</v>
      </c>
      <c r="U77" s="93"/>
      <c r="V77" s="81"/>
      <c r="W77" s="94"/>
      <c r="X77" s="81"/>
      <c r="Y77" s="93"/>
      <c r="Z77" s="81"/>
      <c r="AA77" s="94"/>
      <c r="AB77" s="81"/>
      <c r="AC77" s="93"/>
      <c r="AD77" s="81"/>
      <c r="AE77" s="94"/>
      <c r="AF77" s="81"/>
      <c r="AG77" s="93"/>
      <c r="AH77" s="81"/>
      <c r="AI77" s="94"/>
      <c r="AJ77" s="81"/>
      <c r="AK77" s="93"/>
      <c r="AL77" s="81"/>
      <c r="AM77" s="94"/>
      <c r="AN77" s="81"/>
      <c r="AO77" s="93"/>
      <c r="AP77" s="81"/>
      <c r="AQ77" s="94"/>
      <c r="AR77" s="81"/>
      <c r="AS77" s="94"/>
      <c r="AT77" s="306"/>
      <c r="AU77" s="94"/>
      <c r="AV77" s="306"/>
      <c r="AW77" s="94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">
        <v>882</v>
      </c>
      <c r="B78" t="s">
        <v>232</v>
      </c>
      <c r="C78" s="52" t="s">
        <v>881</v>
      </c>
      <c r="D78" s="52" t="s">
        <v>881</v>
      </c>
      <c r="E78">
        <v>80</v>
      </c>
      <c r="F78">
        <v>80</v>
      </c>
      <c r="G78" s="64">
        <v>44980</v>
      </c>
      <c r="H78">
        <v>300</v>
      </c>
      <c r="I78">
        <v>300</v>
      </c>
      <c r="J78">
        <v>6</v>
      </c>
      <c r="K78">
        <v>6</v>
      </c>
      <c r="L78">
        <v>0</v>
      </c>
      <c r="M78">
        <v>6</v>
      </c>
      <c r="N78">
        <v>11</v>
      </c>
      <c r="O78">
        <v>0</v>
      </c>
      <c r="P78" s="69">
        <f t="shared" si="15"/>
        <v>0</v>
      </c>
      <c r="Q78" s="93"/>
      <c r="R78" s="81"/>
      <c r="S78" s="94"/>
      <c r="T78" s="81"/>
      <c r="U78" s="93"/>
      <c r="V78" s="81"/>
      <c r="W78" s="94"/>
      <c r="X78" s="81"/>
      <c r="Y78" s="93"/>
      <c r="Z78" s="81"/>
      <c r="AA78" s="94"/>
      <c r="AB78" s="81"/>
      <c r="AC78" s="93"/>
      <c r="AD78" s="81"/>
      <c r="AE78" s="94"/>
      <c r="AF78" s="81"/>
      <c r="AG78" s="93"/>
      <c r="AH78" s="81"/>
      <c r="AI78" s="94"/>
      <c r="AJ78" s="81"/>
      <c r="AK78" s="93"/>
      <c r="AL78" s="81"/>
      <c r="AM78" s="94"/>
      <c r="AN78" s="81"/>
      <c r="AO78" s="93"/>
      <c r="AP78" s="81"/>
      <c r="AQ78" s="94"/>
      <c r="AR78" s="81"/>
      <c r="AS78" s="94"/>
      <c r="AT78" s="306"/>
      <c r="AU78" s="94"/>
      <c r="AV78" s="306"/>
      <c r="AW78" s="94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">
        <v>883</v>
      </c>
      <c r="B79" t="s">
        <v>232</v>
      </c>
      <c r="C79" s="52" t="s">
        <v>881</v>
      </c>
      <c r="D79" s="52" t="s">
        <v>881</v>
      </c>
      <c r="E79">
        <v>80</v>
      </c>
      <c r="F79">
        <v>80</v>
      </c>
      <c r="G79" s="64">
        <v>44980</v>
      </c>
      <c r="H79">
        <v>300</v>
      </c>
      <c r="I79">
        <v>300</v>
      </c>
      <c r="J79">
        <v>6</v>
      </c>
      <c r="K79">
        <v>6</v>
      </c>
      <c r="L79">
        <v>0</v>
      </c>
      <c r="M79">
        <v>12</v>
      </c>
      <c r="N79">
        <v>11</v>
      </c>
      <c r="O79">
        <v>0</v>
      </c>
      <c r="P79" s="69">
        <f t="shared" si="15"/>
        <v>0</v>
      </c>
      <c r="Q79" s="93"/>
      <c r="R79" s="81"/>
      <c r="S79" s="94"/>
      <c r="T79" s="81"/>
      <c r="U79" s="93"/>
      <c r="V79" s="81"/>
      <c r="W79" s="94"/>
      <c r="X79" s="81"/>
      <c r="Y79" s="93"/>
      <c r="Z79" s="81"/>
      <c r="AA79" s="94"/>
      <c r="AB79" s="81"/>
      <c r="AC79" s="93"/>
      <c r="AD79" s="81"/>
      <c r="AE79" s="94"/>
      <c r="AF79" s="81"/>
      <c r="AG79" s="93"/>
      <c r="AH79" s="81"/>
      <c r="AI79" s="94"/>
      <c r="AJ79" s="81"/>
      <c r="AK79" s="93"/>
      <c r="AL79" s="81"/>
      <c r="AM79" s="94"/>
      <c r="AN79" s="81"/>
      <c r="AO79" s="93"/>
      <c r="AP79" s="81"/>
      <c r="AQ79" s="94"/>
      <c r="AR79" s="81"/>
      <c r="AS79" s="94"/>
      <c r="AT79" s="306"/>
      <c r="AU79" s="94"/>
      <c r="AV79" s="306"/>
      <c r="AW79" s="94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">
        <v>884</v>
      </c>
      <c r="B80" t="s">
        <v>231</v>
      </c>
      <c r="C80" s="52" t="s">
        <v>881</v>
      </c>
      <c r="D80" s="52" t="s">
        <v>881</v>
      </c>
      <c r="E80">
        <v>180</v>
      </c>
      <c r="F80">
        <v>180</v>
      </c>
      <c r="G80" s="64">
        <v>44980</v>
      </c>
      <c r="H80">
        <v>300</v>
      </c>
      <c r="I80">
        <v>300</v>
      </c>
      <c r="J80">
        <v>6</v>
      </c>
      <c r="K80">
        <v>7</v>
      </c>
      <c r="L80">
        <v>0</v>
      </c>
      <c r="M80">
        <v>6</v>
      </c>
      <c r="N80">
        <v>11</v>
      </c>
      <c r="O80">
        <v>0</v>
      </c>
      <c r="P80" s="69">
        <f t="shared" si="15"/>
        <v>0</v>
      </c>
      <c r="Q80" s="93"/>
      <c r="R80" s="81"/>
      <c r="S80" s="94"/>
      <c r="T80" s="81"/>
      <c r="U80" s="93"/>
      <c r="V80" s="81"/>
      <c r="W80" s="94"/>
      <c r="X80" s="81"/>
      <c r="Y80" s="93"/>
      <c r="Z80" s="81"/>
      <c r="AA80" s="94"/>
      <c r="AB80" s="81"/>
      <c r="AC80" s="93"/>
      <c r="AD80" s="81"/>
      <c r="AE80" s="94"/>
      <c r="AF80" s="81"/>
      <c r="AG80" s="93"/>
      <c r="AH80" s="81"/>
      <c r="AI80" s="94"/>
      <c r="AJ80" s="81"/>
      <c r="AK80" s="93"/>
      <c r="AL80" s="81"/>
      <c r="AM80" s="94"/>
      <c r="AN80" s="81"/>
      <c r="AO80" s="93"/>
      <c r="AP80" s="81"/>
      <c r="AQ80" s="94"/>
      <c r="AR80" s="81"/>
      <c r="AS80" s="94"/>
      <c r="AT80" s="306"/>
      <c r="AU80" s="94"/>
      <c r="AV80" s="306"/>
      <c r="AW80" s="94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">
        <v>885</v>
      </c>
      <c r="B81" t="s">
        <v>231</v>
      </c>
      <c r="C81" s="52" t="s">
        <v>881</v>
      </c>
      <c r="D81" s="52" t="s">
        <v>881</v>
      </c>
      <c r="E81">
        <v>20</v>
      </c>
      <c r="F81">
        <v>20</v>
      </c>
      <c r="G81" s="64">
        <v>44980</v>
      </c>
      <c r="H81">
        <v>300</v>
      </c>
      <c r="I81">
        <v>300</v>
      </c>
      <c r="J81">
        <v>6</v>
      </c>
      <c r="K81">
        <v>12</v>
      </c>
      <c r="L81">
        <v>0</v>
      </c>
      <c r="M81">
        <v>20</v>
      </c>
      <c r="N81">
        <v>8</v>
      </c>
      <c r="O81">
        <v>0</v>
      </c>
      <c r="P81" s="69">
        <f t="shared" si="15"/>
        <v>0</v>
      </c>
      <c r="Q81" s="93"/>
      <c r="R81" s="81"/>
      <c r="S81" s="94"/>
      <c r="T81" s="81"/>
      <c r="U81" s="93"/>
      <c r="V81" s="81"/>
      <c r="W81" s="94"/>
      <c r="X81" s="81"/>
      <c r="Y81" s="93"/>
      <c r="Z81" s="81"/>
      <c r="AA81" s="94"/>
      <c r="AB81" s="81"/>
      <c r="AC81" s="93"/>
      <c r="AD81" s="81"/>
      <c r="AE81" s="94"/>
      <c r="AF81" s="81"/>
      <c r="AG81" s="93"/>
      <c r="AH81" s="81"/>
      <c r="AI81" s="94"/>
      <c r="AJ81" s="81"/>
      <c r="AK81" s="93"/>
      <c r="AL81" s="81"/>
      <c r="AM81" s="94"/>
      <c r="AN81" s="81"/>
      <c r="AO81" s="93"/>
      <c r="AP81" s="81"/>
      <c r="AQ81" s="94"/>
      <c r="AR81" s="81"/>
      <c r="AS81" s="94"/>
      <c r="AT81" s="306"/>
      <c r="AU81" s="94"/>
      <c r="AV81" s="306"/>
      <c r="AW81" s="94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">
        <v>886</v>
      </c>
      <c r="B82" t="s">
        <v>232</v>
      </c>
      <c r="C82" s="52" t="s">
        <v>881</v>
      </c>
      <c r="D82" s="52" t="s">
        <v>881</v>
      </c>
      <c r="E82">
        <v>80</v>
      </c>
      <c r="F82">
        <v>80</v>
      </c>
      <c r="G82" s="64">
        <v>44980</v>
      </c>
      <c r="H82">
        <v>300</v>
      </c>
      <c r="I82">
        <v>300</v>
      </c>
      <c r="J82">
        <v>4</v>
      </c>
      <c r="K82">
        <v>8</v>
      </c>
      <c r="L82">
        <v>0</v>
      </c>
      <c r="M82">
        <v>9</v>
      </c>
      <c r="N82">
        <v>5</v>
      </c>
      <c r="O82">
        <v>0</v>
      </c>
      <c r="P82" s="69">
        <f t="shared" si="15"/>
        <v>0</v>
      </c>
      <c r="Q82" s="93"/>
      <c r="R82" s="81"/>
      <c r="S82" s="94"/>
      <c r="T82" s="81"/>
      <c r="U82" s="93"/>
      <c r="V82" s="81"/>
      <c r="W82" s="94"/>
      <c r="X82" s="81"/>
      <c r="Y82" s="93"/>
      <c r="Z82" s="81"/>
      <c r="AA82" s="94"/>
      <c r="AB82" s="81"/>
      <c r="AC82" s="93"/>
      <c r="AD82" s="81"/>
      <c r="AE82" s="94"/>
      <c r="AF82" s="81"/>
      <c r="AG82" s="93"/>
      <c r="AH82" s="81"/>
      <c r="AI82" s="94"/>
      <c r="AJ82" s="81"/>
      <c r="AK82" s="93"/>
      <c r="AL82" s="81"/>
      <c r="AM82" s="94"/>
      <c r="AN82" s="81"/>
      <c r="AO82" s="93"/>
      <c r="AP82" s="81"/>
      <c r="AQ82" s="94"/>
      <c r="AR82" s="81"/>
      <c r="AS82" s="94"/>
      <c r="AT82" s="306"/>
      <c r="AU82" s="94"/>
      <c r="AV82" s="306"/>
      <c r="AW82" s="94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">
        <v>887</v>
      </c>
      <c r="B83" t="s">
        <v>230</v>
      </c>
      <c r="C83" s="52" t="s">
        <v>881</v>
      </c>
      <c r="D83" s="52" t="s">
        <v>881</v>
      </c>
      <c r="E83">
        <v>40</v>
      </c>
      <c r="F83">
        <v>40</v>
      </c>
      <c r="G83" s="64">
        <v>44980</v>
      </c>
      <c r="H83">
        <v>300</v>
      </c>
      <c r="I83">
        <v>300</v>
      </c>
      <c r="J83">
        <v>4</v>
      </c>
      <c r="K83">
        <v>10</v>
      </c>
      <c r="L83">
        <v>0</v>
      </c>
      <c r="M83">
        <v>19</v>
      </c>
      <c r="N83">
        <v>10</v>
      </c>
      <c r="O83">
        <v>0</v>
      </c>
      <c r="P83" s="69">
        <f t="shared" si="15"/>
        <v>0</v>
      </c>
      <c r="Q83" s="93"/>
      <c r="R83" s="81"/>
      <c r="S83" s="94"/>
      <c r="T83" s="81"/>
      <c r="U83" s="93"/>
      <c r="V83" s="81"/>
      <c r="W83" s="94"/>
      <c r="X83" s="81"/>
      <c r="Y83" s="93"/>
      <c r="Z83" s="81"/>
      <c r="AA83" s="94"/>
      <c r="AB83" s="81"/>
      <c r="AC83" s="93"/>
      <c r="AD83" s="81"/>
      <c r="AE83" s="94"/>
      <c r="AF83" s="81"/>
      <c r="AG83" s="93"/>
      <c r="AH83" s="81"/>
      <c r="AI83" s="94"/>
      <c r="AJ83" s="81"/>
      <c r="AK83" s="93"/>
      <c r="AL83" s="81"/>
      <c r="AM83" s="94"/>
      <c r="AN83" s="81"/>
      <c r="AO83" s="93"/>
      <c r="AP83" s="81"/>
      <c r="AQ83" s="94"/>
      <c r="AR83" s="81"/>
      <c r="AS83" s="94"/>
      <c r="AT83" s="306"/>
      <c r="AU83" s="94"/>
      <c r="AV83" s="306"/>
      <c r="AW83" s="94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">
        <v>888</v>
      </c>
      <c r="B84" t="s">
        <v>230</v>
      </c>
      <c r="C84" s="52" t="s">
        <v>881</v>
      </c>
      <c r="D84" s="52" t="s">
        <v>881</v>
      </c>
      <c r="E84">
        <v>40</v>
      </c>
      <c r="F84">
        <v>0</v>
      </c>
      <c r="G84" s="64">
        <v>44980</v>
      </c>
      <c r="H84">
        <v>300</v>
      </c>
      <c r="I84">
        <v>300</v>
      </c>
      <c r="J84">
        <v>3</v>
      </c>
      <c r="K84">
        <v>4</v>
      </c>
      <c r="L84">
        <v>0</v>
      </c>
      <c r="M84">
        <v>10</v>
      </c>
      <c r="N84">
        <v>12</v>
      </c>
      <c r="O84">
        <v>0</v>
      </c>
      <c r="P84" s="69">
        <f t="shared" si="15"/>
        <v>0</v>
      </c>
      <c r="Q84" s="93"/>
      <c r="R84" s="81"/>
      <c r="S84" s="94"/>
      <c r="T84" s="81"/>
      <c r="U84" s="93"/>
      <c r="V84" s="81"/>
      <c r="W84" s="94"/>
      <c r="X84" s="81"/>
      <c r="Y84" s="93"/>
      <c r="Z84" s="81"/>
      <c r="AA84" s="94"/>
      <c r="AB84" s="81"/>
      <c r="AC84" s="93"/>
      <c r="AD84" s="81"/>
      <c r="AE84" s="94"/>
      <c r="AF84" s="81"/>
      <c r="AG84" s="93"/>
      <c r="AH84" s="81"/>
      <c r="AI84" s="94"/>
      <c r="AJ84" s="81"/>
      <c r="AK84" s="93"/>
      <c r="AL84" s="81"/>
      <c r="AM84" s="94"/>
      <c r="AN84" s="81"/>
      <c r="AO84" s="93"/>
      <c r="AP84" s="81"/>
      <c r="AQ84" s="94"/>
      <c r="AR84" s="81"/>
      <c r="AS84" s="94"/>
      <c r="AT84" s="306"/>
      <c r="AU84" s="94"/>
      <c r="AV84" s="306"/>
      <c r="AW84" s="94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">
        <v>889</v>
      </c>
      <c r="B85" t="s">
        <v>232</v>
      </c>
      <c r="C85" s="52" t="s">
        <v>881</v>
      </c>
      <c r="D85" s="52" t="s">
        <v>881</v>
      </c>
      <c r="E85">
        <v>210</v>
      </c>
      <c r="F85">
        <v>210</v>
      </c>
      <c r="G85" s="64">
        <v>44980</v>
      </c>
      <c r="H85">
        <v>300</v>
      </c>
      <c r="I85">
        <v>300</v>
      </c>
      <c r="J85">
        <v>2</v>
      </c>
      <c r="K85">
        <v>0</v>
      </c>
      <c r="L85">
        <v>0</v>
      </c>
      <c r="M85">
        <v>2</v>
      </c>
      <c r="N85">
        <v>10</v>
      </c>
      <c r="O85">
        <v>0</v>
      </c>
      <c r="P85" s="69">
        <f t="shared" si="15"/>
        <v>0</v>
      </c>
      <c r="Q85" s="93"/>
      <c r="R85" s="81"/>
      <c r="S85" s="94"/>
      <c r="T85" s="81"/>
      <c r="U85" s="93"/>
      <c r="V85" s="81"/>
      <c r="W85" s="94"/>
      <c r="X85" s="81"/>
      <c r="Y85" s="93"/>
      <c r="Z85" s="81"/>
      <c r="AA85" s="94"/>
      <c r="AB85" s="81"/>
      <c r="AC85" s="93"/>
      <c r="AD85" s="81"/>
      <c r="AE85" s="94"/>
      <c r="AF85" s="81"/>
      <c r="AG85" s="93"/>
      <c r="AH85" s="81"/>
      <c r="AI85" s="94"/>
      <c r="AJ85" s="81"/>
      <c r="AK85" s="93"/>
      <c r="AL85" s="81"/>
      <c r="AM85" s="94"/>
      <c r="AN85" s="81"/>
      <c r="AO85" s="93"/>
      <c r="AP85" s="81"/>
      <c r="AQ85" s="94"/>
      <c r="AR85" s="81"/>
      <c r="AS85" s="94"/>
      <c r="AT85" s="306"/>
      <c r="AU85" s="94"/>
      <c r="AV85" s="306"/>
      <c r="AW85" s="94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">
        <v>890</v>
      </c>
      <c r="B86" t="s">
        <v>230</v>
      </c>
      <c r="C86" s="52" t="s">
        <v>881</v>
      </c>
      <c r="D86" s="52" t="s">
        <v>881</v>
      </c>
      <c r="E86">
        <v>60</v>
      </c>
      <c r="F86">
        <v>60</v>
      </c>
      <c r="G86" s="64">
        <v>44980</v>
      </c>
      <c r="H86">
        <v>300</v>
      </c>
      <c r="I86">
        <v>300</v>
      </c>
      <c r="J86">
        <v>6</v>
      </c>
      <c r="K86">
        <v>4</v>
      </c>
      <c r="L86">
        <v>6</v>
      </c>
      <c r="M86">
        <v>22</v>
      </c>
      <c r="N86">
        <v>2</v>
      </c>
      <c r="O86">
        <v>0</v>
      </c>
      <c r="P86" s="69">
        <f t="shared" si="15"/>
        <v>0</v>
      </c>
      <c r="Q86" s="93"/>
      <c r="R86" s="81"/>
      <c r="S86" s="94"/>
      <c r="T86" s="81"/>
      <c r="U86" s="93"/>
      <c r="V86" s="81"/>
      <c r="W86" s="94"/>
      <c r="X86" s="81"/>
      <c r="Y86" s="93"/>
      <c r="Z86" s="81"/>
      <c r="AA86" s="94"/>
      <c r="AB86" s="81"/>
      <c r="AC86" s="93"/>
      <c r="AD86" s="81"/>
      <c r="AE86" s="94"/>
      <c r="AF86" s="81"/>
      <c r="AG86" s="93"/>
      <c r="AH86" s="81"/>
      <c r="AI86" s="94"/>
      <c r="AJ86" s="81"/>
      <c r="AK86" s="93"/>
      <c r="AL86" s="81"/>
      <c r="AM86" s="94"/>
      <c r="AN86" s="81"/>
      <c r="AO86" s="93"/>
      <c r="AP86" s="81"/>
      <c r="AQ86" s="94"/>
      <c r="AR86" s="81"/>
      <c r="AS86" s="94"/>
      <c r="AT86" s="306"/>
      <c r="AU86" s="94"/>
      <c r="AV86" s="306"/>
      <c r="AW86" s="94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">
        <v>891</v>
      </c>
      <c r="B87" t="s">
        <v>233</v>
      </c>
      <c r="C87" s="52" t="s">
        <v>892</v>
      </c>
      <c r="D87" s="52" t="s">
        <v>892</v>
      </c>
      <c r="E87">
        <v>221.20000000000002</v>
      </c>
      <c r="F87">
        <v>238.4</v>
      </c>
      <c r="G87" s="64">
        <v>45273</v>
      </c>
      <c r="H87">
        <v>600</v>
      </c>
      <c r="I87">
        <v>600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69">
        <f t="shared" si="15"/>
        <v>481.25</v>
      </c>
      <c r="Q87" s="82" t="s">
        <v>705</v>
      </c>
      <c r="R87" s="83">
        <v>2.5</v>
      </c>
      <c r="S87" s="82" t="s">
        <v>706</v>
      </c>
      <c r="T87" s="83">
        <v>0.9</v>
      </c>
      <c r="U87" s="82" t="s">
        <v>707</v>
      </c>
      <c r="V87" s="83">
        <v>3.3</v>
      </c>
      <c r="W87" s="82" t="s">
        <v>709</v>
      </c>
      <c r="X87" s="83">
        <v>2.8</v>
      </c>
      <c r="Y87" s="82" t="s">
        <v>710</v>
      </c>
      <c r="Z87" s="83">
        <v>2.5</v>
      </c>
      <c r="AA87" s="90" t="s">
        <v>711</v>
      </c>
      <c r="AB87" s="91">
        <v>1.3</v>
      </c>
      <c r="AC87" s="93" t="s">
        <v>714</v>
      </c>
      <c r="AD87" s="81">
        <v>3.2</v>
      </c>
      <c r="AE87" s="311" t="s">
        <v>712</v>
      </c>
      <c r="AF87" s="313">
        <v>4</v>
      </c>
      <c r="AG87" s="109" t="s">
        <v>893</v>
      </c>
      <c r="AH87" s="276">
        <v>2.6</v>
      </c>
      <c r="AI87" s="102"/>
      <c r="AJ87" s="81"/>
      <c r="AK87" s="93"/>
      <c r="AL87" s="81"/>
      <c r="AM87" s="94"/>
      <c r="AN87" s="81"/>
      <c r="AO87" s="93"/>
      <c r="AP87" s="81"/>
      <c r="AQ87" s="94"/>
      <c r="AR87" s="81"/>
      <c r="AS87" s="94"/>
      <c r="AT87" s="306"/>
      <c r="AU87" s="94"/>
      <c r="AV87" s="306"/>
      <c r="AW87" s="94"/>
      <c r="AX87" s="66">
        <f>SUM(R87+T87+V87+X87+Z87+AB87+AD87+AF87+AH87+AJ87+AL87+AN87+AP87+AR87)</f>
        <v>23.1</v>
      </c>
      <c r="AY87" s="78">
        <f t="shared" si="12"/>
        <v>481.25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461.82500000000005</v>
      </c>
      <c r="BC87" s="53">
        <f t="shared" si="14"/>
        <v>479.02499999999998</v>
      </c>
    </row>
    <row r="88" spans="1:55" ht="13.15">
      <c r="A88" t="s">
        <v>894</v>
      </c>
      <c r="B88" t="s">
        <v>236</v>
      </c>
      <c r="C88" s="52" t="s">
        <v>892</v>
      </c>
      <c r="D88" s="52" t="s">
        <v>892</v>
      </c>
      <c r="E88">
        <v>284</v>
      </c>
      <c r="F88">
        <v>275</v>
      </c>
      <c r="G88" s="64">
        <v>45078</v>
      </c>
      <c r="H88">
        <v>300</v>
      </c>
      <c r="I88">
        <v>300</v>
      </c>
      <c r="J88">
        <v>0</v>
      </c>
      <c r="K88">
        <v>1</v>
      </c>
      <c r="L88">
        <v>1</v>
      </c>
      <c r="M88">
        <v>1</v>
      </c>
      <c r="N88">
        <v>0</v>
      </c>
      <c r="O88">
        <v>24</v>
      </c>
      <c r="P88" s="69">
        <f t="shared" si="15"/>
        <v>0</v>
      </c>
      <c r="Q88" s="93"/>
      <c r="R88" s="81"/>
      <c r="S88" s="94"/>
      <c r="T88" s="81"/>
      <c r="U88" s="93"/>
      <c r="V88" s="81"/>
      <c r="W88" s="94"/>
      <c r="X88" s="81"/>
      <c r="Y88" s="93"/>
      <c r="Z88" s="81"/>
      <c r="AA88" s="94"/>
      <c r="AB88" s="81"/>
      <c r="AC88" s="93"/>
      <c r="AD88" s="81"/>
      <c r="AE88" s="94"/>
      <c r="AF88" s="81"/>
      <c r="AG88" s="93"/>
      <c r="AH88" s="81"/>
      <c r="AI88" s="94"/>
      <c r="AJ88" s="81"/>
      <c r="AK88" s="93"/>
      <c r="AL88" s="81"/>
      <c r="AM88" s="94"/>
      <c r="AN88" s="81"/>
      <c r="AO88" s="93"/>
      <c r="AP88" s="81"/>
      <c r="AQ88" s="94"/>
      <c r="AR88" s="81"/>
      <c r="AS88" s="94"/>
      <c r="AT88" s="306"/>
      <c r="AU88" s="94"/>
      <c r="AV88" s="306"/>
      <c r="AW88" s="94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">
        <v>895</v>
      </c>
      <c r="B89" t="s">
        <v>233</v>
      </c>
      <c r="C89" s="52" t="s">
        <v>892</v>
      </c>
      <c r="D89" s="52" t="s">
        <v>892</v>
      </c>
      <c r="E89">
        <v>70</v>
      </c>
      <c r="F89">
        <v>100</v>
      </c>
      <c r="G89" s="64">
        <v>45034</v>
      </c>
      <c r="H89">
        <v>300</v>
      </c>
      <c r="I89">
        <v>300</v>
      </c>
      <c r="J89">
        <v>6</v>
      </c>
      <c r="K89">
        <v>2</v>
      </c>
      <c r="L89">
        <v>0</v>
      </c>
      <c r="M89">
        <v>19</v>
      </c>
      <c r="N89">
        <v>11</v>
      </c>
      <c r="O89">
        <v>0</v>
      </c>
      <c r="P89" s="69">
        <f t="shared" si="15"/>
        <v>0</v>
      </c>
      <c r="Q89" s="93"/>
      <c r="R89" s="81"/>
      <c r="S89" s="94"/>
      <c r="T89" s="81"/>
      <c r="U89" s="93"/>
      <c r="V89" s="81"/>
      <c r="W89" s="94"/>
      <c r="X89" s="81"/>
      <c r="Y89" s="93"/>
      <c r="Z89" s="81"/>
      <c r="AA89" s="94"/>
      <c r="AB89" s="81"/>
      <c r="AC89" s="93"/>
      <c r="AD89" s="81"/>
      <c r="AE89" s="94"/>
      <c r="AF89" s="81"/>
      <c r="AG89" s="93"/>
      <c r="AH89" s="81"/>
      <c r="AI89" s="94"/>
      <c r="AJ89" s="81"/>
      <c r="AK89" s="93"/>
      <c r="AL89" s="81"/>
      <c r="AM89" s="94"/>
      <c r="AN89" s="81"/>
      <c r="AO89" s="93"/>
      <c r="AP89" s="81"/>
      <c r="AQ89" s="94"/>
      <c r="AR89" s="81"/>
      <c r="AS89" s="94"/>
      <c r="AT89" s="306"/>
      <c r="AU89" s="94"/>
      <c r="AV89" s="306"/>
      <c r="AW89" s="94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">
        <v>896</v>
      </c>
      <c r="B90" t="s">
        <v>233</v>
      </c>
      <c r="C90" s="52" t="s">
        <v>892</v>
      </c>
      <c r="D90" s="52" t="s">
        <v>892</v>
      </c>
      <c r="E90">
        <v>145</v>
      </c>
      <c r="F90">
        <v>165</v>
      </c>
      <c r="G90" s="64">
        <v>45034</v>
      </c>
      <c r="H90">
        <v>300</v>
      </c>
      <c r="I90">
        <v>300</v>
      </c>
      <c r="J90">
        <v>6</v>
      </c>
      <c r="K90">
        <v>0</v>
      </c>
      <c r="L90">
        <v>0</v>
      </c>
      <c r="M90">
        <v>19</v>
      </c>
      <c r="N90">
        <v>11</v>
      </c>
      <c r="O90">
        <v>0</v>
      </c>
      <c r="P90" s="69">
        <f t="shared" si="15"/>
        <v>0</v>
      </c>
      <c r="Q90" s="93"/>
      <c r="R90" s="81"/>
      <c r="S90" s="94"/>
      <c r="T90" s="81"/>
      <c r="U90" s="93"/>
      <c r="V90" s="81"/>
      <c r="W90" s="94"/>
      <c r="X90" s="81"/>
      <c r="Y90" s="93"/>
      <c r="Z90" s="81"/>
      <c r="AA90" s="94"/>
      <c r="AB90" s="81"/>
      <c r="AC90" s="93"/>
      <c r="AD90" s="81"/>
      <c r="AE90" s="94"/>
      <c r="AF90" s="81"/>
      <c r="AG90" s="93"/>
      <c r="AH90" s="81"/>
      <c r="AI90" s="94"/>
      <c r="AJ90" s="81"/>
      <c r="AK90" s="93"/>
      <c r="AL90" s="81"/>
      <c r="AM90" s="94"/>
      <c r="AN90" s="81"/>
      <c r="AO90" s="93"/>
      <c r="AP90" s="81"/>
      <c r="AQ90" s="94"/>
      <c r="AR90" s="81"/>
      <c r="AS90" s="94"/>
      <c r="AT90" s="306"/>
      <c r="AU90" s="94"/>
      <c r="AV90" s="306"/>
      <c r="AW90" s="94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">
        <v>897</v>
      </c>
      <c r="B91" t="s">
        <v>233</v>
      </c>
      <c r="C91" s="52" t="s">
        <v>892</v>
      </c>
      <c r="D91" s="52" t="s">
        <v>892</v>
      </c>
      <c r="E91">
        <v>90</v>
      </c>
      <c r="F91">
        <v>90</v>
      </c>
      <c r="G91" s="64">
        <v>45034</v>
      </c>
      <c r="H91">
        <v>300</v>
      </c>
      <c r="I91">
        <v>300</v>
      </c>
      <c r="J91">
        <v>6</v>
      </c>
      <c r="K91">
        <v>5</v>
      </c>
      <c r="L91">
        <v>0</v>
      </c>
      <c r="M91">
        <v>17</v>
      </c>
      <c r="N91">
        <v>11</v>
      </c>
      <c r="O91">
        <v>0</v>
      </c>
      <c r="P91" s="69">
        <f t="shared" si="15"/>
        <v>0</v>
      </c>
      <c r="Q91" s="93"/>
      <c r="R91" s="81"/>
      <c r="S91" s="94"/>
      <c r="T91" s="81"/>
      <c r="U91" s="93"/>
      <c r="V91" s="81"/>
      <c r="W91" s="94"/>
      <c r="X91" s="81"/>
      <c r="Y91" s="93"/>
      <c r="Z91" s="81"/>
      <c r="AA91" s="94"/>
      <c r="AB91" s="81"/>
      <c r="AC91" s="93"/>
      <c r="AD91" s="81"/>
      <c r="AE91" s="94"/>
      <c r="AF91" s="81"/>
      <c r="AG91" s="93"/>
      <c r="AH91" s="81"/>
      <c r="AI91" s="94"/>
      <c r="AJ91" s="81"/>
      <c r="AK91" s="93"/>
      <c r="AL91" s="81"/>
      <c r="AM91" s="94"/>
      <c r="AN91" s="81"/>
      <c r="AO91" s="93"/>
      <c r="AP91" s="81"/>
      <c r="AQ91" s="94"/>
      <c r="AR91" s="81"/>
      <c r="AS91" s="94"/>
      <c r="AT91" s="306"/>
      <c r="AU91" s="94"/>
      <c r="AV91" s="306"/>
      <c r="AW91" s="94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">
        <v>898</v>
      </c>
      <c r="B92" t="s">
        <v>233</v>
      </c>
      <c r="C92" s="52" t="s">
        <v>892</v>
      </c>
      <c r="D92" s="52" t="s">
        <v>892</v>
      </c>
      <c r="E92">
        <v>130</v>
      </c>
      <c r="F92">
        <v>140</v>
      </c>
      <c r="G92" s="64">
        <v>45034</v>
      </c>
      <c r="H92">
        <v>300</v>
      </c>
      <c r="I92">
        <v>300</v>
      </c>
      <c r="J92">
        <v>0</v>
      </c>
      <c r="K92">
        <v>6</v>
      </c>
      <c r="L92">
        <v>0</v>
      </c>
      <c r="M92">
        <v>16</v>
      </c>
      <c r="N92">
        <v>0</v>
      </c>
      <c r="O92">
        <v>0</v>
      </c>
      <c r="P92" s="69">
        <f t="shared" si="15"/>
        <v>0</v>
      </c>
      <c r="Q92" s="93"/>
      <c r="R92" s="81"/>
      <c r="S92" s="94"/>
      <c r="T92" s="81"/>
      <c r="U92" s="93"/>
      <c r="V92" s="81"/>
      <c r="W92" s="94"/>
      <c r="X92" s="81"/>
      <c r="Y92" s="93"/>
      <c r="Z92" s="81"/>
      <c r="AA92" s="94"/>
      <c r="AB92" s="81"/>
      <c r="AC92" s="93"/>
      <c r="AD92" s="81"/>
      <c r="AE92" s="94"/>
      <c r="AF92" s="81"/>
      <c r="AG92" s="93"/>
      <c r="AH92" s="81"/>
      <c r="AI92" s="94"/>
      <c r="AJ92" s="81"/>
      <c r="AK92" s="93"/>
      <c r="AL92" s="81"/>
      <c r="AM92" s="94"/>
      <c r="AN92" s="81"/>
      <c r="AO92" s="93"/>
      <c r="AP92" s="81"/>
      <c r="AQ92" s="94"/>
      <c r="AR92" s="81"/>
      <c r="AS92" s="94"/>
      <c r="AT92" s="306"/>
      <c r="AU92" s="94"/>
      <c r="AV92" s="306"/>
      <c r="AW92" s="94"/>
      <c r="AX92" s="66">
        <f t="shared" si="11"/>
        <v>0</v>
      </c>
      <c r="AY92" s="78">
        <f t="shared" si="12"/>
        <v>0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130</v>
      </c>
      <c r="BC92" s="53">
        <f t="shared" si="14"/>
        <v>140</v>
      </c>
    </row>
    <row r="93" spans="1:55" ht="13.15">
      <c r="A93" t="s">
        <v>899</v>
      </c>
      <c r="B93" t="s">
        <v>235</v>
      </c>
      <c r="C93" s="52" t="s">
        <v>892</v>
      </c>
      <c r="D93" s="52" t="s">
        <v>892</v>
      </c>
      <c r="E93">
        <v>260</v>
      </c>
      <c r="F93">
        <v>290</v>
      </c>
      <c r="G93" s="64">
        <v>45034</v>
      </c>
      <c r="H93">
        <v>300</v>
      </c>
      <c r="I93">
        <v>300</v>
      </c>
      <c r="J93">
        <v>4</v>
      </c>
      <c r="K93">
        <v>4</v>
      </c>
      <c r="L93">
        <v>0</v>
      </c>
      <c r="M93">
        <v>8</v>
      </c>
      <c r="N93">
        <v>8</v>
      </c>
      <c r="O93">
        <v>0</v>
      </c>
      <c r="P93" s="69">
        <f t="shared" si="15"/>
        <v>0</v>
      </c>
      <c r="Q93" s="93"/>
      <c r="R93" s="81"/>
      <c r="S93" s="94"/>
      <c r="T93" s="81"/>
      <c r="U93" s="93"/>
      <c r="V93" s="81"/>
      <c r="W93" s="94"/>
      <c r="X93" s="81"/>
      <c r="Y93" s="93"/>
      <c r="Z93" s="81"/>
      <c r="AA93" s="94"/>
      <c r="AB93" s="81"/>
      <c r="AC93" s="93"/>
      <c r="AD93" s="81"/>
      <c r="AE93" s="94"/>
      <c r="AF93" s="81"/>
      <c r="AG93" s="93"/>
      <c r="AH93" s="81"/>
      <c r="AI93" s="94"/>
      <c r="AJ93" s="81"/>
      <c r="AK93" s="93"/>
      <c r="AL93" s="81"/>
      <c r="AM93" s="94"/>
      <c r="AN93" s="81"/>
      <c r="AO93" s="93"/>
      <c r="AP93" s="81"/>
      <c r="AQ93" s="94"/>
      <c r="AR93" s="81"/>
      <c r="AS93" s="94"/>
      <c r="AT93" s="306"/>
      <c r="AU93" s="94"/>
      <c r="AV93" s="306"/>
      <c r="AW93" s="94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">
        <v>900</v>
      </c>
      <c r="B94" t="s">
        <v>235</v>
      </c>
      <c r="C94" s="52" t="s">
        <v>892</v>
      </c>
      <c r="D94" s="52" t="s">
        <v>892</v>
      </c>
      <c r="E94">
        <v>180</v>
      </c>
      <c r="F94">
        <v>60</v>
      </c>
      <c r="G94" s="64">
        <v>45034</v>
      </c>
      <c r="H94">
        <v>300</v>
      </c>
      <c r="I94">
        <v>300</v>
      </c>
      <c r="J94">
        <v>2</v>
      </c>
      <c r="K94">
        <v>0</v>
      </c>
      <c r="L94">
        <v>0</v>
      </c>
      <c r="M94">
        <v>23</v>
      </c>
      <c r="N94">
        <v>8</v>
      </c>
      <c r="O94">
        <v>0</v>
      </c>
      <c r="P94" s="69">
        <f t="shared" si="15"/>
        <v>20.833333333333332</v>
      </c>
      <c r="Q94" s="104" t="s">
        <v>715</v>
      </c>
      <c r="R94" s="103">
        <v>1</v>
      </c>
      <c r="S94" s="94"/>
      <c r="T94" s="81"/>
      <c r="U94" s="93"/>
      <c r="V94" s="81"/>
      <c r="W94" s="94"/>
      <c r="X94" s="81"/>
      <c r="Y94" s="93"/>
      <c r="Z94" s="81"/>
      <c r="AA94" s="94"/>
      <c r="AB94" s="81"/>
      <c r="AC94" s="93"/>
      <c r="AD94" s="81"/>
      <c r="AE94" s="94"/>
      <c r="AF94" s="81"/>
      <c r="AG94" s="93"/>
      <c r="AH94" s="81"/>
      <c r="AI94" s="94"/>
      <c r="AJ94" s="81"/>
      <c r="AK94" s="93"/>
      <c r="AL94" s="81"/>
      <c r="AM94" s="94"/>
      <c r="AN94" s="81"/>
      <c r="AO94" s="93"/>
      <c r="AP94" s="81"/>
      <c r="AQ94" s="94"/>
      <c r="AR94" s="81"/>
      <c r="AS94" s="94"/>
      <c r="AT94" s="306"/>
      <c r="AU94" s="94"/>
      <c r="AV94" s="306"/>
      <c r="AW94" s="94"/>
      <c r="AX94" s="66">
        <f t="shared" si="11"/>
        <v>1</v>
      </c>
      <c r="AY94" s="78">
        <f t="shared" si="12"/>
        <v>20.833333333333332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190.41666666666666</v>
      </c>
      <c r="BC94" s="53">
        <f t="shared" si="14"/>
        <v>70.416666666666671</v>
      </c>
    </row>
    <row r="95" spans="1:55" ht="13.15">
      <c r="A95" t="s">
        <v>901</v>
      </c>
      <c r="B95" t="s">
        <v>235</v>
      </c>
      <c r="C95" s="52" t="s">
        <v>892</v>
      </c>
      <c r="D95" s="52" t="s">
        <v>892</v>
      </c>
      <c r="E95">
        <v>190</v>
      </c>
      <c r="F95">
        <v>200</v>
      </c>
      <c r="G95" s="64">
        <v>45034</v>
      </c>
      <c r="H95">
        <v>300</v>
      </c>
      <c r="I95">
        <v>300</v>
      </c>
      <c r="J95">
        <v>1</v>
      </c>
      <c r="K95">
        <v>0</v>
      </c>
      <c r="L95">
        <v>0</v>
      </c>
      <c r="M95">
        <v>20</v>
      </c>
      <c r="N95">
        <v>10</v>
      </c>
      <c r="O95">
        <v>0</v>
      </c>
      <c r="P95" s="69">
        <f t="shared" si="15"/>
        <v>0</v>
      </c>
      <c r="Q95" s="93"/>
      <c r="R95" s="81"/>
      <c r="S95" s="94"/>
      <c r="T95" s="81"/>
      <c r="U95" s="93"/>
      <c r="V95" s="81"/>
      <c r="W95" s="94"/>
      <c r="X95" s="81"/>
      <c r="Y95" s="93"/>
      <c r="Z95" s="81"/>
      <c r="AA95" s="94"/>
      <c r="AB95" s="81"/>
      <c r="AC95" s="93"/>
      <c r="AD95" s="81"/>
      <c r="AE95" s="94"/>
      <c r="AF95" s="81"/>
      <c r="AG95" s="93"/>
      <c r="AH95" s="81"/>
      <c r="AI95" s="94"/>
      <c r="AJ95" s="81"/>
      <c r="AK95" s="93"/>
      <c r="AL95" s="81"/>
      <c r="AM95" s="94"/>
      <c r="AN95" s="81"/>
      <c r="AO95" s="93"/>
      <c r="AP95" s="81"/>
      <c r="AQ95" s="94"/>
      <c r="AR95" s="81"/>
      <c r="AS95" s="94"/>
      <c r="AT95" s="306"/>
      <c r="AU95" s="94"/>
      <c r="AV95" s="306"/>
      <c r="AW95" s="94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">
        <v>902</v>
      </c>
      <c r="B96" t="s">
        <v>245</v>
      </c>
      <c r="C96" s="52" t="s">
        <v>903</v>
      </c>
      <c r="D96" s="52" t="s">
        <v>903</v>
      </c>
      <c r="E96">
        <v>100</v>
      </c>
      <c r="F96">
        <v>0</v>
      </c>
      <c r="G96" s="64">
        <v>44271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s="69">
        <f t="shared" si="15"/>
        <v>0</v>
      </c>
      <c r="Q96" s="93"/>
      <c r="R96" s="81"/>
      <c r="S96" s="94"/>
      <c r="T96" s="81"/>
      <c r="U96" s="93"/>
      <c r="V96" s="81"/>
      <c r="W96" s="94"/>
      <c r="X96" s="81"/>
      <c r="Y96" s="93"/>
      <c r="Z96" s="81"/>
      <c r="AA96" s="94"/>
      <c r="AB96" s="81"/>
      <c r="AC96" s="93"/>
      <c r="AD96" s="81"/>
      <c r="AE96" s="94"/>
      <c r="AF96" s="81"/>
      <c r="AG96" s="93"/>
      <c r="AH96" s="81"/>
      <c r="AI96" s="94"/>
      <c r="AJ96" s="81"/>
      <c r="AK96" s="93"/>
      <c r="AL96" s="81"/>
      <c r="AM96" s="94"/>
      <c r="AN96" s="81"/>
      <c r="AO96" s="93"/>
      <c r="AP96" s="81"/>
      <c r="AQ96" s="94"/>
      <c r="AR96" s="81"/>
      <c r="AS96" s="94"/>
      <c r="AT96" s="306"/>
      <c r="AU96" s="94"/>
      <c r="AV96" s="306"/>
      <c r="AW96" s="94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">
        <v>904</v>
      </c>
      <c r="B97" t="s">
        <v>245</v>
      </c>
      <c r="C97" s="52" t="s">
        <v>903</v>
      </c>
      <c r="D97" s="52" t="s">
        <v>903</v>
      </c>
      <c r="E97">
        <v>100</v>
      </c>
      <c r="F97">
        <v>0</v>
      </c>
      <c r="G97" s="64">
        <v>44271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s="69">
        <f t="shared" si="15"/>
        <v>0</v>
      </c>
      <c r="Q97" s="93"/>
      <c r="R97" s="81"/>
      <c r="S97" s="94"/>
      <c r="T97" s="81"/>
      <c r="U97" s="93"/>
      <c r="V97" s="81"/>
      <c r="W97" s="94"/>
      <c r="X97" s="81"/>
      <c r="Y97" s="93"/>
      <c r="Z97" s="81"/>
      <c r="AA97" s="94"/>
      <c r="AB97" s="81"/>
      <c r="AC97" s="93"/>
      <c r="AD97" s="81"/>
      <c r="AE97" s="94"/>
      <c r="AF97" s="81"/>
      <c r="AG97" s="93"/>
      <c r="AH97" s="81"/>
      <c r="AI97" s="94"/>
      <c r="AJ97" s="81"/>
      <c r="AK97" s="93"/>
      <c r="AL97" s="81"/>
      <c r="AM97" s="94"/>
      <c r="AN97" s="81"/>
      <c r="AO97" s="93"/>
      <c r="AP97" s="81"/>
      <c r="AQ97" s="94"/>
      <c r="AR97" s="81"/>
      <c r="AS97" s="94"/>
      <c r="AT97" s="306"/>
      <c r="AU97" s="94"/>
      <c r="AV97" s="306"/>
      <c r="AW97" s="94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">
        <v>905</v>
      </c>
      <c r="B98" t="s">
        <v>241</v>
      </c>
      <c r="C98" s="52" t="s">
        <v>906</v>
      </c>
      <c r="D98" s="52" t="s">
        <v>906</v>
      </c>
      <c r="E98">
        <v>140</v>
      </c>
      <c r="F98">
        <v>89</v>
      </c>
      <c r="G98" s="64">
        <v>45040</v>
      </c>
      <c r="H98">
        <v>200</v>
      </c>
      <c r="I98">
        <v>200</v>
      </c>
      <c r="J98">
        <v>0</v>
      </c>
      <c r="K98">
        <v>0</v>
      </c>
      <c r="L98">
        <v>0</v>
      </c>
      <c r="M98">
        <v>1</v>
      </c>
      <c r="N98">
        <v>9</v>
      </c>
      <c r="O98">
        <v>0</v>
      </c>
      <c r="P98" s="69">
        <f t="shared" si="15"/>
        <v>0</v>
      </c>
      <c r="Q98" s="93"/>
      <c r="R98" s="81"/>
      <c r="S98" s="94"/>
      <c r="T98" s="81"/>
      <c r="U98" s="93"/>
      <c r="V98" s="81"/>
      <c r="W98" s="94"/>
      <c r="X98" s="81"/>
      <c r="Y98" s="93"/>
      <c r="Z98" s="81"/>
      <c r="AA98" s="94"/>
      <c r="AB98" s="81"/>
      <c r="AC98" s="93"/>
      <c r="AD98" s="81"/>
      <c r="AE98" s="94"/>
      <c r="AF98" s="81"/>
      <c r="AG98" s="93"/>
      <c r="AH98" s="81"/>
      <c r="AI98" s="94"/>
      <c r="AJ98" s="81"/>
      <c r="AK98" s="93"/>
      <c r="AL98" s="81"/>
      <c r="AM98" s="94"/>
      <c r="AN98" s="81"/>
      <c r="AO98" s="93"/>
      <c r="AP98" s="81"/>
      <c r="AQ98" s="94"/>
      <c r="AR98" s="81"/>
      <c r="AS98" s="94"/>
      <c r="AT98" s="306"/>
      <c r="AU98" s="94"/>
      <c r="AV98" s="306"/>
      <c r="AW98" s="94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">
        <v>907</v>
      </c>
      <c r="B99" t="s">
        <v>241</v>
      </c>
      <c r="C99" s="52" t="s">
        <v>906</v>
      </c>
      <c r="D99" s="52" t="s">
        <v>906</v>
      </c>
      <c r="E99" t="s">
        <v>908</v>
      </c>
      <c r="F99" t="s">
        <v>908</v>
      </c>
      <c r="G99" s="64">
        <v>44267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69">
        <f t="shared" si="15"/>
        <v>0</v>
      </c>
      <c r="Q99" s="93"/>
      <c r="R99" s="81"/>
      <c r="S99" s="94"/>
      <c r="T99" s="81"/>
      <c r="U99" s="93"/>
      <c r="V99" s="81"/>
      <c r="W99" s="94"/>
      <c r="X99" s="81"/>
      <c r="Y99" s="93"/>
      <c r="Z99" s="81"/>
      <c r="AA99" s="94"/>
      <c r="AB99" s="81"/>
      <c r="AC99" s="93"/>
      <c r="AD99" s="81"/>
      <c r="AE99" s="94"/>
      <c r="AF99" s="81"/>
      <c r="AG99" s="93"/>
      <c r="AH99" s="81"/>
      <c r="AI99" s="94"/>
      <c r="AJ99" s="81"/>
      <c r="AK99" s="93"/>
      <c r="AL99" s="81"/>
      <c r="AM99" s="94"/>
      <c r="AN99" s="81"/>
      <c r="AO99" s="93"/>
      <c r="AP99" s="81"/>
      <c r="AQ99" s="94"/>
      <c r="AR99" s="81"/>
      <c r="AS99" s="94"/>
      <c r="AT99" s="306"/>
      <c r="AU99" s="94"/>
      <c r="AV99" s="306"/>
      <c r="AW99" s="94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">
        <v>909</v>
      </c>
      <c r="B100" t="s">
        <v>241</v>
      </c>
      <c r="C100" s="52" t="s">
        <v>906</v>
      </c>
      <c r="D100" s="52" t="s">
        <v>906</v>
      </c>
      <c r="E100">
        <v>55</v>
      </c>
      <c r="F100">
        <v>40</v>
      </c>
      <c r="G100" s="64">
        <v>45040</v>
      </c>
      <c r="H100">
        <v>200</v>
      </c>
      <c r="I100">
        <v>200</v>
      </c>
      <c r="J100">
        <v>0</v>
      </c>
      <c r="K100">
        <v>0</v>
      </c>
      <c r="L100">
        <v>3</v>
      </c>
      <c r="M100">
        <v>2</v>
      </c>
      <c r="N100">
        <v>0</v>
      </c>
      <c r="O100">
        <v>20</v>
      </c>
      <c r="P100" s="69">
        <f t="shared" si="15"/>
        <v>45.833333333333336</v>
      </c>
      <c r="Q100" s="84" t="s">
        <v>723</v>
      </c>
      <c r="R100" s="292">
        <v>2.2000000000000002</v>
      </c>
      <c r="S100" s="94"/>
      <c r="T100" s="81"/>
      <c r="U100" s="93"/>
      <c r="V100" s="81"/>
      <c r="W100" s="94"/>
      <c r="X100" s="81"/>
      <c r="Y100" s="93"/>
      <c r="Z100" s="81"/>
      <c r="AA100" s="94"/>
      <c r="AB100" s="81"/>
      <c r="AC100" s="93"/>
      <c r="AD100" s="81"/>
      <c r="AE100" s="94"/>
      <c r="AF100" s="81"/>
      <c r="AG100" s="93"/>
      <c r="AH100" s="81"/>
      <c r="AI100" s="94"/>
      <c r="AJ100" s="81"/>
      <c r="AK100" s="93"/>
      <c r="AL100" s="81"/>
      <c r="AM100" s="94"/>
      <c r="AN100" s="81"/>
      <c r="AO100" s="93"/>
      <c r="AP100" s="81"/>
      <c r="AQ100" s="94"/>
      <c r="AR100" s="81"/>
      <c r="AS100" s="94"/>
      <c r="AT100" s="306"/>
      <c r="AU100" s="94"/>
      <c r="AV100" s="306"/>
      <c r="AW100" s="94"/>
      <c r="AX100" s="66">
        <f t="shared" si="11"/>
        <v>2.2000000000000002</v>
      </c>
      <c r="AY100" s="78">
        <f t="shared" si="12"/>
        <v>45.833333333333336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77.916666666666671</v>
      </c>
      <c r="BC100" s="53">
        <f t="shared" si="18"/>
        <v>62.916666666666671</v>
      </c>
    </row>
    <row r="101" spans="1:55" ht="13.15">
      <c r="A101" t="s">
        <v>910</v>
      </c>
      <c r="B101" t="s">
        <v>252</v>
      </c>
      <c r="C101" s="52" t="s">
        <v>911</v>
      </c>
      <c r="D101" s="52" t="s">
        <v>911</v>
      </c>
      <c r="E101">
        <v>140</v>
      </c>
      <c r="F101">
        <v>135</v>
      </c>
      <c r="G101" s="64">
        <v>45033</v>
      </c>
      <c r="H101">
        <v>300</v>
      </c>
      <c r="I101">
        <v>300</v>
      </c>
      <c r="J101">
        <v>4</v>
      </c>
      <c r="K101">
        <v>2</v>
      </c>
      <c r="L101">
        <v>5</v>
      </c>
      <c r="M101">
        <v>0</v>
      </c>
      <c r="N101">
        <v>7</v>
      </c>
      <c r="O101">
        <v>0</v>
      </c>
      <c r="P101" s="69">
        <f t="shared" si="15"/>
        <v>62.5</v>
      </c>
      <c r="Q101" s="104" t="s">
        <v>732</v>
      </c>
      <c r="R101" s="103">
        <v>2</v>
      </c>
      <c r="S101" s="102" t="s">
        <v>734</v>
      </c>
      <c r="T101" s="103">
        <v>1</v>
      </c>
      <c r="U101" s="93"/>
      <c r="V101" s="81"/>
      <c r="W101" s="94"/>
      <c r="X101" s="81"/>
      <c r="Y101" s="93"/>
      <c r="Z101" s="81"/>
      <c r="AA101" s="94"/>
      <c r="AB101" s="81"/>
      <c r="AC101" s="93"/>
      <c r="AD101" s="81"/>
      <c r="AE101" s="94"/>
      <c r="AF101" s="81"/>
      <c r="AG101" s="93"/>
      <c r="AH101" s="81"/>
      <c r="AI101" s="94"/>
      <c r="AJ101" s="81"/>
      <c r="AK101" s="93"/>
      <c r="AL101" s="81"/>
      <c r="AM101" s="94"/>
      <c r="AN101" s="81"/>
      <c r="AO101" s="93"/>
      <c r="AP101" s="81"/>
      <c r="AQ101" s="94"/>
      <c r="AR101" s="81"/>
      <c r="AS101" s="94"/>
      <c r="AT101" s="306"/>
      <c r="AU101" s="94"/>
      <c r="AV101" s="306"/>
      <c r="AW101" s="94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">
        <v>912</v>
      </c>
      <c r="B102" t="s">
        <v>252</v>
      </c>
      <c r="C102" s="52" t="s">
        <v>911</v>
      </c>
      <c r="D102" s="52" t="s">
        <v>911</v>
      </c>
      <c r="E102">
        <v>50</v>
      </c>
      <c r="F102">
        <v>60</v>
      </c>
      <c r="G102" s="64">
        <v>45033</v>
      </c>
      <c r="H102">
        <v>300</v>
      </c>
      <c r="I102">
        <v>300</v>
      </c>
      <c r="J102">
        <v>6</v>
      </c>
      <c r="K102">
        <v>6</v>
      </c>
      <c r="L102">
        <v>5</v>
      </c>
      <c r="M102">
        <v>13</v>
      </c>
      <c r="N102">
        <v>12</v>
      </c>
      <c r="O102">
        <v>0</v>
      </c>
      <c r="P102" s="69">
        <f t="shared" si="15"/>
        <v>0</v>
      </c>
      <c r="Q102" s="93"/>
      <c r="R102" s="81"/>
      <c r="S102" s="94"/>
      <c r="T102" s="81"/>
      <c r="U102" s="93"/>
      <c r="V102" s="81"/>
      <c r="W102" s="94"/>
      <c r="X102" s="81"/>
      <c r="Y102" s="93"/>
      <c r="Z102" s="81"/>
      <c r="AA102" s="94"/>
      <c r="AB102" s="81"/>
      <c r="AC102" s="93"/>
      <c r="AD102" s="81"/>
      <c r="AE102" s="94"/>
      <c r="AF102" s="81"/>
      <c r="AG102" s="93"/>
      <c r="AH102" s="81"/>
      <c r="AI102" s="94"/>
      <c r="AJ102" s="81"/>
      <c r="AK102" s="93"/>
      <c r="AL102" s="81"/>
      <c r="AM102" s="94"/>
      <c r="AN102" s="81"/>
      <c r="AO102" s="93"/>
      <c r="AP102" s="81"/>
      <c r="AQ102" s="94"/>
      <c r="AR102" s="81"/>
      <c r="AS102" s="94"/>
      <c r="AT102" s="306"/>
      <c r="AU102" s="94"/>
      <c r="AV102" s="306"/>
      <c r="AW102" s="94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">
        <v>913</v>
      </c>
      <c r="B103" t="s">
        <v>252</v>
      </c>
      <c r="C103" s="52" t="s">
        <v>914</v>
      </c>
      <c r="D103" s="52" t="s">
        <v>914</v>
      </c>
      <c r="E103">
        <v>160</v>
      </c>
      <c r="F103">
        <v>160</v>
      </c>
      <c r="G103" s="64">
        <v>45033</v>
      </c>
      <c r="H103">
        <v>300</v>
      </c>
      <c r="I103">
        <v>300</v>
      </c>
      <c r="J103">
        <v>0</v>
      </c>
      <c r="K103">
        <v>0</v>
      </c>
      <c r="L103">
        <v>1</v>
      </c>
      <c r="M103">
        <v>0</v>
      </c>
      <c r="N103">
        <v>5</v>
      </c>
      <c r="O103">
        <v>24</v>
      </c>
      <c r="P103" s="69">
        <f t="shared" si="15"/>
        <v>145.83333333333334</v>
      </c>
      <c r="Q103" s="82" t="s">
        <v>731</v>
      </c>
      <c r="R103" s="83">
        <v>5</v>
      </c>
      <c r="S103" s="311" t="s">
        <v>733</v>
      </c>
      <c r="T103" s="310">
        <v>2</v>
      </c>
      <c r="U103" s="102"/>
      <c r="V103" s="103"/>
      <c r="W103" s="94"/>
      <c r="X103" s="81"/>
      <c r="Y103" s="93"/>
      <c r="Z103" s="81"/>
      <c r="AA103" s="94"/>
      <c r="AB103" s="81"/>
      <c r="AC103" s="93"/>
      <c r="AD103" s="81"/>
      <c r="AE103" s="94"/>
      <c r="AF103" s="81"/>
      <c r="AG103" s="93"/>
      <c r="AH103" s="81"/>
      <c r="AI103" s="94"/>
      <c r="AJ103" s="81"/>
      <c r="AK103" s="93"/>
      <c r="AL103" s="81"/>
      <c r="AM103" s="94"/>
      <c r="AN103" s="81"/>
      <c r="AO103" s="93"/>
      <c r="AP103" s="81"/>
      <c r="AQ103" s="94"/>
      <c r="AR103" s="81"/>
      <c r="AS103" s="94"/>
      <c r="AT103" s="306"/>
      <c r="AU103" s="94"/>
      <c r="AV103" s="306"/>
      <c r="AW103" s="94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">
        <v>915</v>
      </c>
      <c r="B104" t="s">
        <v>256</v>
      </c>
      <c r="C104" s="52" t="s">
        <v>916</v>
      </c>
      <c r="D104" s="52" t="s">
        <v>916</v>
      </c>
      <c r="E104">
        <v>0</v>
      </c>
      <c r="F104">
        <v>0</v>
      </c>
      <c r="G104" s="64">
        <v>0</v>
      </c>
      <c r="H104">
        <v>300</v>
      </c>
      <c r="I104">
        <v>300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69">
        <f t="shared" si="15"/>
        <v>0</v>
      </c>
      <c r="Q104" s="93"/>
      <c r="R104" s="81"/>
      <c r="S104" s="94"/>
      <c r="T104" s="81"/>
      <c r="U104" s="93"/>
      <c r="V104" s="81"/>
      <c r="W104" s="94"/>
      <c r="X104" s="81"/>
      <c r="Y104" s="93"/>
      <c r="Z104" s="81"/>
      <c r="AA104" s="94"/>
      <c r="AB104" s="81"/>
      <c r="AC104" s="93"/>
      <c r="AD104" s="81"/>
      <c r="AE104" s="94"/>
      <c r="AF104" s="81"/>
      <c r="AG104" s="93"/>
      <c r="AH104" s="81"/>
      <c r="AI104" s="94"/>
      <c r="AJ104" s="81"/>
      <c r="AK104" s="93"/>
      <c r="AL104" s="81"/>
      <c r="AM104" s="94"/>
      <c r="AN104" s="81"/>
      <c r="AO104" s="93"/>
      <c r="AP104" s="81"/>
      <c r="AQ104" s="94"/>
      <c r="AR104" s="81"/>
      <c r="AS104" s="94"/>
      <c r="AT104" s="306"/>
      <c r="AU104" s="94"/>
      <c r="AV104" s="306"/>
      <c r="AW104" s="94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">
        <v>917</v>
      </c>
      <c r="B105" t="s">
        <v>256</v>
      </c>
      <c r="C105" s="52" t="s">
        <v>916</v>
      </c>
      <c r="D105" s="52" t="s">
        <v>916</v>
      </c>
      <c r="E105">
        <v>0</v>
      </c>
      <c r="F105">
        <v>0</v>
      </c>
      <c r="G105" s="64">
        <v>0</v>
      </c>
      <c r="H105">
        <v>300</v>
      </c>
      <c r="I105">
        <v>300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69">
        <f t="shared" si="15"/>
        <v>0</v>
      </c>
      <c r="Q105" s="93"/>
      <c r="R105" s="81"/>
      <c r="S105" s="94"/>
      <c r="T105" s="81"/>
      <c r="U105" s="93"/>
      <c r="V105" s="81"/>
      <c r="W105" s="94"/>
      <c r="X105" s="81"/>
      <c r="Y105" s="93"/>
      <c r="Z105" s="81"/>
      <c r="AA105" s="94"/>
      <c r="AB105" s="81"/>
      <c r="AC105" s="93"/>
      <c r="AD105" s="81"/>
      <c r="AE105" s="94"/>
      <c r="AF105" s="81"/>
      <c r="AG105" s="93"/>
      <c r="AH105" s="81"/>
      <c r="AI105" s="94"/>
      <c r="AJ105" s="81"/>
      <c r="AK105" s="93"/>
      <c r="AL105" s="81"/>
      <c r="AM105" s="94"/>
      <c r="AN105" s="81"/>
      <c r="AO105" s="93"/>
      <c r="AP105" s="81"/>
      <c r="AQ105" s="94"/>
      <c r="AR105" s="81"/>
      <c r="AS105" s="94"/>
      <c r="AT105" s="306"/>
      <c r="AU105" s="94"/>
      <c r="AV105" s="306"/>
      <c r="AW105" s="94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">
        <v>918</v>
      </c>
      <c r="B106" t="s">
        <v>256</v>
      </c>
      <c r="C106" s="52" t="s">
        <v>916</v>
      </c>
      <c r="D106" s="52" t="s">
        <v>916</v>
      </c>
      <c r="E106">
        <v>0</v>
      </c>
      <c r="F106">
        <v>0</v>
      </c>
      <c r="G106" s="64">
        <v>0</v>
      </c>
      <c r="H106">
        <v>300</v>
      </c>
      <c r="I106">
        <v>300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 s="69">
        <f t="shared" si="15"/>
        <v>0</v>
      </c>
      <c r="Q106" s="93"/>
      <c r="R106" s="81"/>
      <c r="S106" s="94"/>
      <c r="T106" s="81"/>
      <c r="U106" s="93"/>
      <c r="V106" s="81"/>
      <c r="W106" s="94"/>
      <c r="X106" s="81"/>
      <c r="Y106" s="93"/>
      <c r="Z106" s="81"/>
      <c r="AA106" s="94"/>
      <c r="AB106" s="81"/>
      <c r="AC106" s="93"/>
      <c r="AD106" s="81"/>
      <c r="AE106" s="94"/>
      <c r="AF106" s="81"/>
      <c r="AG106" s="93"/>
      <c r="AH106" s="81"/>
      <c r="AI106" s="94"/>
      <c r="AJ106" s="81"/>
      <c r="AK106" s="93"/>
      <c r="AL106" s="81"/>
      <c r="AM106" s="94"/>
      <c r="AN106" s="81"/>
      <c r="AO106" s="93"/>
      <c r="AP106" s="81"/>
      <c r="AQ106" s="94"/>
      <c r="AR106" s="81"/>
      <c r="AS106" s="94"/>
      <c r="AT106" s="306"/>
      <c r="AU106" s="94"/>
      <c r="AV106" s="306"/>
      <c r="AW106" s="94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">
        <v>919</v>
      </c>
      <c r="B107" t="s">
        <v>256</v>
      </c>
      <c r="C107" s="52" t="s">
        <v>916</v>
      </c>
      <c r="D107" s="52" t="s">
        <v>916</v>
      </c>
      <c r="E107">
        <v>0</v>
      </c>
      <c r="F107">
        <v>0</v>
      </c>
      <c r="G107" s="64">
        <v>0</v>
      </c>
      <c r="H107">
        <v>300</v>
      </c>
      <c r="I107">
        <v>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69">
        <f t="shared" si="15"/>
        <v>0</v>
      </c>
      <c r="Q107" s="93"/>
      <c r="R107" s="81"/>
      <c r="S107" s="94"/>
      <c r="T107" s="81"/>
      <c r="U107" s="93"/>
      <c r="V107" s="81"/>
      <c r="W107" s="94"/>
      <c r="X107" s="81"/>
      <c r="Y107" s="93"/>
      <c r="Z107" s="81"/>
      <c r="AA107" s="94"/>
      <c r="AB107" s="81"/>
      <c r="AC107" s="93"/>
      <c r="AD107" s="81"/>
      <c r="AE107" s="94"/>
      <c r="AF107" s="81"/>
      <c r="AG107" s="93"/>
      <c r="AH107" s="81"/>
      <c r="AI107" s="94"/>
      <c r="AJ107" s="81"/>
      <c r="AK107" s="93"/>
      <c r="AL107" s="81"/>
      <c r="AM107" s="94"/>
      <c r="AN107" s="81"/>
      <c r="AO107" s="93"/>
      <c r="AP107" s="81"/>
      <c r="AQ107" s="94"/>
      <c r="AR107" s="81"/>
      <c r="AS107" s="94"/>
      <c r="AT107" s="306"/>
      <c r="AU107" s="94"/>
      <c r="AV107" s="306"/>
      <c r="AW107" s="94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">
        <v>920</v>
      </c>
      <c r="B108" t="s">
        <v>256</v>
      </c>
      <c r="C108" s="52" t="s">
        <v>916</v>
      </c>
      <c r="D108" s="52" t="s">
        <v>916</v>
      </c>
      <c r="E108">
        <v>24</v>
      </c>
      <c r="F108">
        <v>35</v>
      </c>
      <c r="G108" s="64">
        <v>42829</v>
      </c>
      <c r="H108">
        <v>300</v>
      </c>
      <c r="I108">
        <v>300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69">
        <f t="shared" si="15"/>
        <v>0</v>
      </c>
      <c r="Q108" s="104"/>
      <c r="R108" s="103"/>
      <c r="S108" s="94"/>
      <c r="T108" s="81"/>
      <c r="U108" s="93"/>
      <c r="V108" s="81"/>
      <c r="W108" s="94"/>
      <c r="X108" s="81"/>
      <c r="Y108" s="93"/>
      <c r="Z108" s="81"/>
      <c r="AA108" s="94"/>
      <c r="AB108" s="81"/>
      <c r="AC108" s="93"/>
      <c r="AD108" s="81"/>
      <c r="AE108" s="94"/>
      <c r="AF108" s="81"/>
      <c r="AG108" s="93"/>
      <c r="AH108" s="81"/>
      <c r="AI108" s="94"/>
      <c r="AJ108" s="81"/>
      <c r="AK108" s="93"/>
      <c r="AL108" s="81"/>
      <c r="AM108" s="94"/>
      <c r="AN108" s="81"/>
      <c r="AO108" s="93"/>
      <c r="AP108" s="81"/>
      <c r="AQ108" s="94"/>
      <c r="AR108" s="81"/>
      <c r="AS108" s="94"/>
      <c r="AT108" s="306"/>
      <c r="AU108" s="94"/>
      <c r="AV108" s="306"/>
      <c r="AW108" s="94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">
        <v>921</v>
      </c>
      <c r="B109" t="s">
        <v>256</v>
      </c>
      <c r="C109" s="52" t="s">
        <v>916</v>
      </c>
      <c r="D109" s="52" t="s">
        <v>916</v>
      </c>
      <c r="E109">
        <v>0</v>
      </c>
      <c r="F109">
        <v>0</v>
      </c>
      <c r="G109" s="64">
        <v>0</v>
      </c>
      <c r="H109">
        <v>300</v>
      </c>
      <c r="I109">
        <v>300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69">
        <f t="shared" si="15"/>
        <v>352.70833333333331</v>
      </c>
      <c r="Q109" s="104" t="s">
        <v>744</v>
      </c>
      <c r="R109" s="103">
        <v>2</v>
      </c>
      <c r="S109" s="104" t="s">
        <v>745</v>
      </c>
      <c r="T109" s="103">
        <v>2</v>
      </c>
      <c r="U109" s="309" t="s">
        <v>746</v>
      </c>
      <c r="V109" s="310">
        <v>2.73</v>
      </c>
      <c r="W109" s="102" t="s">
        <v>747</v>
      </c>
      <c r="X109" s="103">
        <v>6</v>
      </c>
      <c r="Y109" s="90" t="s">
        <v>922</v>
      </c>
      <c r="Z109" s="91">
        <v>4.2</v>
      </c>
      <c r="AA109" s="94"/>
      <c r="AB109" s="81"/>
      <c r="AC109" s="93"/>
      <c r="AD109" s="81"/>
      <c r="AE109" s="94"/>
      <c r="AF109" s="81"/>
      <c r="AG109" s="93"/>
      <c r="AH109" s="81"/>
      <c r="AI109" s="94"/>
      <c r="AJ109" s="81"/>
      <c r="AK109" s="93"/>
      <c r="AL109" s="81"/>
      <c r="AM109" s="94"/>
      <c r="AN109" s="81"/>
      <c r="AO109" s="93"/>
      <c r="AP109" s="81"/>
      <c r="AQ109" s="94"/>
      <c r="AR109" s="81"/>
      <c r="AS109" s="94"/>
      <c r="AT109" s="306"/>
      <c r="AU109" s="94"/>
      <c r="AV109" s="306"/>
      <c r="AW109" s="94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">
        <v>923</v>
      </c>
      <c r="B110" t="s">
        <v>256</v>
      </c>
      <c r="C110" s="52" t="s">
        <v>916</v>
      </c>
      <c r="D110" s="52" t="s">
        <v>916</v>
      </c>
      <c r="E110">
        <v>0</v>
      </c>
      <c r="F110">
        <v>0</v>
      </c>
      <c r="G110" s="64">
        <v>0</v>
      </c>
      <c r="H110">
        <v>300</v>
      </c>
      <c r="I110">
        <v>300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 s="69">
        <f t="shared" si="15"/>
        <v>0</v>
      </c>
      <c r="Q110" s="93"/>
      <c r="R110" s="81"/>
      <c r="S110" s="94"/>
      <c r="T110" s="81"/>
      <c r="U110" s="93"/>
      <c r="V110" s="81"/>
      <c r="W110" s="94"/>
      <c r="X110" s="81"/>
      <c r="Y110" s="93"/>
      <c r="Z110" s="81"/>
      <c r="AA110" s="94"/>
      <c r="AB110" s="81"/>
      <c r="AC110" s="93"/>
      <c r="AD110" s="81"/>
      <c r="AE110" s="94"/>
      <c r="AF110" s="81"/>
      <c r="AG110" s="93"/>
      <c r="AH110" s="81"/>
      <c r="AI110" s="94"/>
      <c r="AJ110" s="81"/>
      <c r="AK110" s="93"/>
      <c r="AL110" s="81"/>
      <c r="AM110" s="94"/>
      <c r="AN110" s="81"/>
      <c r="AO110" s="93"/>
      <c r="AP110" s="81"/>
      <c r="AQ110" s="94"/>
      <c r="AR110" s="81"/>
      <c r="AS110" s="94"/>
      <c r="AT110" s="306"/>
      <c r="AU110" s="94"/>
      <c r="AV110" s="306"/>
      <c r="AW110" s="94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">
        <v>924</v>
      </c>
      <c r="B111" t="s">
        <v>256</v>
      </c>
      <c r="C111" s="52" t="s">
        <v>916</v>
      </c>
      <c r="D111" s="52" t="s">
        <v>916</v>
      </c>
      <c r="E111">
        <v>0</v>
      </c>
      <c r="F111">
        <v>0</v>
      </c>
      <c r="G111" s="64">
        <v>0</v>
      </c>
      <c r="H111">
        <v>300</v>
      </c>
      <c r="I111">
        <v>300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69">
        <f t="shared" si="15"/>
        <v>56.875</v>
      </c>
      <c r="Q111" s="93"/>
      <c r="R111" s="81"/>
      <c r="S111" s="94"/>
      <c r="T111" s="81"/>
      <c r="U111" s="93"/>
      <c r="V111" s="81"/>
      <c r="W111" s="94"/>
      <c r="X111" s="81"/>
      <c r="Y111" s="93"/>
      <c r="Z111" s="81"/>
      <c r="AA111" s="94"/>
      <c r="AB111" s="81"/>
      <c r="AC111" s="93"/>
      <c r="AD111" s="81"/>
      <c r="AE111" s="94"/>
      <c r="AF111" s="81"/>
      <c r="AG111" s="93"/>
      <c r="AH111" s="81"/>
      <c r="AI111" s="94"/>
      <c r="AJ111" s="81"/>
      <c r="AK111" s="93"/>
      <c r="AL111" s="81"/>
      <c r="AM111" s="94"/>
      <c r="AN111" s="81"/>
      <c r="AO111" s="93"/>
      <c r="AP111" s="81"/>
      <c r="AQ111" s="94"/>
      <c r="AR111" s="81"/>
      <c r="AS111" s="94"/>
      <c r="AT111" s="306"/>
      <c r="AU111" s="94"/>
      <c r="AV111" s="306"/>
      <c r="AW111" s="94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">
        <v>925</v>
      </c>
      <c r="B112" t="s">
        <v>256</v>
      </c>
      <c r="C112" s="52" t="s">
        <v>916</v>
      </c>
      <c r="D112" s="52" t="s">
        <v>916</v>
      </c>
      <c r="E112">
        <v>0</v>
      </c>
      <c r="F112">
        <v>0</v>
      </c>
      <c r="G112" s="64">
        <v>0</v>
      </c>
      <c r="H112">
        <v>300</v>
      </c>
      <c r="I112">
        <v>300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69">
        <f t="shared" si="15"/>
        <v>0</v>
      </c>
      <c r="Q112" s="93"/>
      <c r="R112" s="81"/>
      <c r="S112" s="94"/>
      <c r="T112" s="81"/>
      <c r="U112" s="93"/>
      <c r="V112" s="81"/>
      <c r="W112" s="94"/>
      <c r="X112" s="81"/>
      <c r="Y112" s="93"/>
      <c r="Z112" s="81"/>
      <c r="AA112" s="94"/>
      <c r="AB112" s="81"/>
      <c r="AC112" s="93"/>
      <c r="AD112" s="81"/>
      <c r="AE112" s="94"/>
      <c r="AF112" s="81"/>
      <c r="AG112" s="93"/>
      <c r="AH112" s="81"/>
      <c r="AI112" s="94"/>
      <c r="AJ112" s="81"/>
      <c r="AK112" s="93"/>
      <c r="AL112" s="81"/>
      <c r="AM112" s="94"/>
      <c r="AN112" s="81"/>
      <c r="AO112" s="93"/>
      <c r="AP112" s="81"/>
      <c r="AQ112" s="94"/>
      <c r="AR112" s="81"/>
      <c r="AS112" s="94"/>
      <c r="AT112" s="306"/>
      <c r="AU112" s="94"/>
      <c r="AV112" s="306"/>
      <c r="AW112" s="94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">
        <v>926</v>
      </c>
      <c r="B113" t="s">
        <v>256</v>
      </c>
      <c r="C113" s="52" t="s">
        <v>916</v>
      </c>
      <c r="D113" s="52" t="s">
        <v>916</v>
      </c>
      <c r="E113">
        <v>0</v>
      </c>
      <c r="F113">
        <v>0</v>
      </c>
      <c r="G113" s="64">
        <v>0</v>
      </c>
      <c r="H113">
        <v>300</v>
      </c>
      <c r="I113">
        <v>300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69">
        <f t="shared" si="15"/>
        <v>0</v>
      </c>
      <c r="Q113" s="93"/>
      <c r="R113" s="81"/>
      <c r="S113" s="94"/>
      <c r="T113" s="81"/>
      <c r="U113" s="93"/>
      <c r="V113" s="81"/>
      <c r="W113" s="94"/>
      <c r="X113" s="81"/>
      <c r="Y113" s="93"/>
      <c r="Z113" s="81"/>
      <c r="AA113" s="94"/>
      <c r="AB113" s="81"/>
      <c r="AC113" s="93"/>
      <c r="AD113" s="81"/>
      <c r="AE113" s="94"/>
      <c r="AF113" s="81"/>
      <c r="AG113" s="93"/>
      <c r="AH113" s="81"/>
      <c r="AI113" s="94"/>
      <c r="AJ113" s="81"/>
      <c r="AK113" s="93"/>
      <c r="AL113" s="81"/>
      <c r="AM113" s="94"/>
      <c r="AN113" s="81"/>
      <c r="AO113" s="93"/>
      <c r="AP113" s="81"/>
      <c r="AQ113" s="94"/>
      <c r="AR113" s="81"/>
      <c r="AS113" s="94"/>
      <c r="AT113" s="306"/>
      <c r="AU113" s="94"/>
      <c r="AV113" s="306"/>
      <c r="AW113" s="94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">
        <v>927</v>
      </c>
      <c r="B114" t="s">
        <v>254</v>
      </c>
      <c r="C114" s="52" t="s">
        <v>928</v>
      </c>
      <c r="D114" s="52" t="s">
        <v>928</v>
      </c>
      <c r="E114">
        <v>183</v>
      </c>
      <c r="F114">
        <v>175</v>
      </c>
      <c r="G114" s="64">
        <v>44420</v>
      </c>
      <c r="H114">
        <v>300</v>
      </c>
      <c r="I114">
        <v>300</v>
      </c>
      <c r="J114">
        <v>0</v>
      </c>
      <c r="K114">
        <v>0</v>
      </c>
      <c r="L114">
        <v>11</v>
      </c>
      <c r="M114">
        <v>3</v>
      </c>
      <c r="N114">
        <v>4</v>
      </c>
      <c r="O114">
        <v>0</v>
      </c>
      <c r="P114" s="69">
        <f t="shared" si="15"/>
        <v>125</v>
      </c>
      <c r="Q114" s="90" t="s">
        <v>740</v>
      </c>
      <c r="R114" s="91">
        <v>6</v>
      </c>
      <c r="S114" s="94"/>
      <c r="T114" s="81"/>
      <c r="U114" s="93"/>
      <c r="V114" s="81"/>
      <c r="W114" s="94"/>
      <c r="X114" s="81"/>
      <c r="Y114" s="93"/>
      <c r="Z114" s="81"/>
      <c r="AA114" s="94"/>
      <c r="AB114" s="81"/>
      <c r="AC114" s="93"/>
      <c r="AD114" s="81"/>
      <c r="AE114" s="94"/>
      <c r="AF114" s="81"/>
      <c r="AG114" s="93"/>
      <c r="AH114" s="81"/>
      <c r="AI114" s="94"/>
      <c r="AJ114" s="81"/>
      <c r="AK114" s="93"/>
      <c r="AL114" s="81"/>
      <c r="AM114" s="94"/>
      <c r="AN114" s="81"/>
      <c r="AO114" s="93"/>
      <c r="AP114" s="81"/>
      <c r="AQ114" s="94"/>
      <c r="AR114" s="81"/>
      <c r="AS114" s="94"/>
      <c r="AT114" s="306"/>
      <c r="AU114" s="94"/>
      <c r="AV114" s="306"/>
      <c r="AW114" s="94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">
        <v>929</v>
      </c>
      <c r="B115" t="s">
        <v>254</v>
      </c>
      <c r="C115" s="52" t="s">
        <v>928</v>
      </c>
      <c r="D115" s="52" t="s">
        <v>928</v>
      </c>
      <c r="E115">
        <v>275</v>
      </c>
      <c r="F115">
        <v>275</v>
      </c>
      <c r="G115" s="64">
        <v>44420</v>
      </c>
      <c r="H115">
        <v>300</v>
      </c>
      <c r="I115">
        <v>300</v>
      </c>
      <c r="J115">
        <v>2</v>
      </c>
      <c r="K115">
        <v>0</v>
      </c>
      <c r="L115">
        <v>6</v>
      </c>
      <c r="M115">
        <v>3</v>
      </c>
      <c r="N115">
        <v>3</v>
      </c>
      <c r="O115">
        <v>0</v>
      </c>
      <c r="P115" s="69">
        <f t="shared" si="15"/>
        <v>0</v>
      </c>
      <c r="Q115" s="93"/>
      <c r="R115" s="81"/>
      <c r="S115" s="94"/>
      <c r="T115" s="81"/>
      <c r="U115" s="93"/>
      <c r="V115" s="81"/>
      <c r="W115" s="94"/>
      <c r="X115" s="81"/>
      <c r="Y115" s="82"/>
      <c r="Z115" s="81"/>
      <c r="AA115" s="94"/>
      <c r="AB115" s="81"/>
      <c r="AC115" s="93"/>
      <c r="AD115" s="81"/>
      <c r="AE115" s="94"/>
      <c r="AF115" s="81"/>
      <c r="AG115" s="93"/>
      <c r="AH115" s="81"/>
      <c r="AI115" s="94"/>
      <c r="AJ115" s="81"/>
      <c r="AK115" s="93"/>
      <c r="AL115" s="81"/>
      <c r="AM115" s="94"/>
      <c r="AN115" s="81"/>
      <c r="AO115" s="93"/>
      <c r="AP115" s="81"/>
      <c r="AQ115" s="94"/>
      <c r="AR115" s="81"/>
      <c r="AS115" s="94"/>
      <c r="AT115" s="306"/>
      <c r="AU115" s="94"/>
      <c r="AV115" s="306"/>
      <c r="AW115" s="94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">
        <v>930</v>
      </c>
      <c r="B116" t="s">
        <v>254</v>
      </c>
      <c r="C116" s="52" t="s">
        <v>928</v>
      </c>
      <c r="D116" s="52" t="s">
        <v>928</v>
      </c>
      <c r="E116">
        <v>169.60000000000002</v>
      </c>
      <c r="F116">
        <v>161.19999999999999</v>
      </c>
      <c r="G116" s="64">
        <v>45273</v>
      </c>
      <c r="H116">
        <v>360</v>
      </c>
      <c r="I116">
        <v>360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69">
        <f t="shared" si="15"/>
        <v>322.91666666666669</v>
      </c>
      <c r="Q116" s="82" t="s">
        <v>735</v>
      </c>
      <c r="R116" s="83">
        <v>2.4</v>
      </c>
      <c r="S116" s="82" t="s">
        <v>931</v>
      </c>
      <c r="T116" s="83">
        <v>7.3</v>
      </c>
      <c r="U116" s="82" t="s">
        <v>932</v>
      </c>
      <c r="V116" s="83">
        <v>2.6</v>
      </c>
      <c r="W116" s="82" t="s">
        <v>739</v>
      </c>
      <c r="X116" s="83">
        <v>0.9</v>
      </c>
      <c r="Y116" s="82" t="s">
        <v>738</v>
      </c>
      <c r="Z116" s="287">
        <v>2.2999999999999998</v>
      </c>
      <c r="AA116" s="82"/>
      <c r="AB116" s="83"/>
      <c r="AC116" s="82"/>
      <c r="AD116" s="287"/>
      <c r="AE116" s="94"/>
      <c r="AF116" s="81"/>
      <c r="AG116" s="93"/>
      <c r="AH116" s="81"/>
      <c r="AI116" s="94"/>
      <c r="AJ116" s="81"/>
      <c r="AK116" s="93"/>
      <c r="AL116" s="81"/>
      <c r="AM116" s="94"/>
      <c r="AN116" s="81"/>
      <c r="AO116" s="93"/>
      <c r="AP116" s="81"/>
      <c r="AQ116" s="94"/>
      <c r="AR116" s="81"/>
      <c r="AS116" s="94"/>
      <c r="AT116" s="306"/>
      <c r="AU116" s="94"/>
      <c r="AV116" s="306"/>
      <c r="AW116" s="94"/>
      <c r="AX116" s="66">
        <f t="shared" si="11"/>
        <v>15.5</v>
      </c>
      <c r="AY116" s="78">
        <f t="shared" si="12"/>
        <v>322.91666666666669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331.05833333333339</v>
      </c>
      <c r="BC116" s="53">
        <f t="shared" si="14"/>
        <v>322.6583333333333</v>
      </c>
    </row>
    <row r="117" spans="1:55" ht="13.15">
      <c r="A117" t="s">
        <v>933</v>
      </c>
      <c r="B117" t="s">
        <v>254</v>
      </c>
      <c r="C117" s="52" t="s">
        <v>928</v>
      </c>
      <c r="D117" s="52" t="s">
        <v>928</v>
      </c>
      <c r="E117">
        <v>328</v>
      </c>
      <c r="F117">
        <v>252</v>
      </c>
      <c r="G117" s="64">
        <v>44599</v>
      </c>
      <c r="H117">
        <v>300</v>
      </c>
      <c r="I117">
        <v>300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20</v>
      </c>
      <c r="P117" s="69">
        <f t="shared" si="15"/>
        <v>114.58333333333333</v>
      </c>
      <c r="Q117" s="109" t="s">
        <v>741</v>
      </c>
      <c r="R117" s="81">
        <v>3</v>
      </c>
      <c r="S117" s="86" t="s">
        <v>736</v>
      </c>
      <c r="T117" s="83">
        <v>2.5</v>
      </c>
      <c r="U117" s="93"/>
      <c r="V117" s="81"/>
      <c r="W117" s="94"/>
      <c r="X117" s="81"/>
      <c r="Y117" s="93"/>
      <c r="Z117" s="81"/>
      <c r="AA117" s="94"/>
      <c r="AB117" s="81"/>
      <c r="AC117" s="93"/>
      <c r="AD117" s="81"/>
      <c r="AE117" s="94"/>
      <c r="AF117" s="81"/>
      <c r="AG117" s="93"/>
      <c r="AH117" s="81"/>
      <c r="AI117" s="94"/>
      <c r="AJ117" s="81"/>
      <c r="AK117" s="93"/>
      <c r="AL117" s="81"/>
      <c r="AM117" s="94"/>
      <c r="AN117" s="81"/>
      <c r="AO117" s="93"/>
      <c r="AP117" s="81"/>
      <c r="AQ117" s="94"/>
      <c r="AR117" s="81"/>
      <c r="AS117" s="94"/>
      <c r="AT117" s="306"/>
      <c r="AU117" s="94"/>
      <c r="AV117" s="306"/>
      <c r="AW117" s="94"/>
      <c r="AX117" s="66">
        <f t="shared" si="11"/>
        <v>5.5</v>
      </c>
      <c r="AY117" s="78">
        <f t="shared" si="12"/>
        <v>114.58333333333333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385.29166666666669</v>
      </c>
      <c r="BC117" s="53">
        <f t="shared" si="14"/>
        <v>309.29166666666669</v>
      </c>
    </row>
    <row r="118" spans="1:55" ht="13.15">
      <c r="A118" t="s">
        <v>934</v>
      </c>
      <c r="B118" t="s">
        <v>258</v>
      </c>
      <c r="C118" s="52" t="s">
        <v>935</v>
      </c>
      <c r="D118" s="52" t="s">
        <v>935</v>
      </c>
      <c r="E118">
        <v>0</v>
      </c>
      <c r="F118">
        <v>0</v>
      </c>
      <c r="G118" s="64">
        <v>44125</v>
      </c>
      <c r="H118">
        <v>300</v>
      </c>
      <c r="I118">
        <v>300</v>
      </c>
      <c r="J118">
        <v>4</v>
      </c>
      <c r="K118">
        <v>0</v>
      </c>
      <c r="L118">
        <v>0</v>
      </c>
      <c r="M118">
        <v>2</v>
      </c>
      <c r="N118">
        <v>4</v>
      </c>
      <c r="O118">
        <v>44</v>
      </c>
      <c r="P118" s="69">
        <f t="shared" si="15"/>
        <v>0</v>
      </c>
      <c r="Q118" s="93"/>
      <c r="R118" s="81"/>
      <c r="S118" s="94"/>
      <c r="T118" s="81"/>
      <c r="U118" s="93"/>
      <c r="V118" s="81"/>
      <c r="W118" s="94"/>
      <c r="X118" s="81"/>
      <c r="Y118" s="93"/>
      <c r="Z118" s="81"/>
      <c r="AA118" s="94"/>
      <c r="AB118" s="81"/>
      <c r="AC118" s="93"/>
      <c r="AD118" s="81"/>
      <c r="AE118" s="94"/>
      <c r="AF118" s="81"/>
      <c r="AG118" s="93"/>
      <c r="AH118" s="81"/>
      <c r="AI118" s="94"/>
      <c r="AJ118" s="81"/>
      <c r="AK118" s="93"/>
      <c r="AL118" s="81"/>
      <c r="AM118" s="94"/>
      <c r="AN118" s="81"/>
      <c r="AO118" s="93"/>
      <c r="AP118" s="81"/>
      <c r="AQ118" s="94"/>
      <c r="AR118" s="81"/>
      <c r="AS118" s="94"/>
      <c r="AT118" s="306"/>
      <c r="AU118" s="94"/>
      <c r="AV118" s="306"/>
      <c r="AW118" s="94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">
        <v>936</v>
      </c>
      <c r="B119" t="s">
        <v>74</v>
      </c>
      <c r="C119" s="52" t="s">
        <v>937</v>
      </c>
      <c r="D119" s="52" t="s">
        <v>937</v>
      </c>
      <c r="E119">
        <v>40</v>
      </c>
      <c r="F119">
        <v>30</v>
      </c>
      <c r="G119" s="64">
        <v>44161</v>
      </c>
      <c r="H119">
        <v>300</v>
      </c>
      <c r="I119">
        <v>300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69">
        <f t="shared" si="15"/>
        <v>0</v>
      </c>
      <c r="Q119" s="93"/>
      <c r="R119" s="81"/>
      <c r="S119" s="94"/>
      <c r="T119" s="81"/>
      <c r="U119" s="93"/>
      <c r="V119" s="81"/>
      <c r="W119" s="94"/>
      <c r="X119" s="81"/>
      <c r="Y119" s="93"/>
      <c r="Z119" s="81"/>
      <c r="AA119" s="94"/>
      <c r="AB119" s="81"/>
      <c r="AC119" s="93"/>
      <c r="AD119" s="81"/>
      <c r="AE119" s="94"/>
      <c r="AF119" s="81"/>
      <c r="AG119" s="93"/>
      <c r="AH119" s="81"/>
      <c r="AI119" s="94"/>
      <c r="AJ119" s="81"/>
      <c r="AK119" s="93"/>
      <c r="AL119" s="81"/>
      <c r="AM119" s="94"/>
      <c r="AN119" s="81"/>
      <c r="AO119" s="93"/>
      <c r="AP119" s="81"/>
      <c r="AQ119" s="94"/>
      <c r="AR119" s="81"/>
      <c r="AS119" s="94"/>
      <c r="AT119" s="306"/>
      <c r="AU119" s="94"/>
      <c r="AV119" s="306"/>
      <c r="AW119" s="94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">
        <v>938</v>
      </c>
      <c r="B120" t="s">
        <v>74</v>
      </c>
      <c r="C120" s="52" t="s">
        <v>937</v>
      </c>
      <c r="D120" s="52" t="s">
        <v>939</v>
      </c>
      <c r="E120">
        <v>40</v>
      </c>
      <c r="F120">
        <v>30</v>
      </c>
      <c r="G120" s="64">
        <v>44161</v>
      </c>
      <c r="H120">
        <v>300</v>
      </c>
      <c r="I120">
        <v>300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42</v>
      </c>
      <c r="P120" s="69">
        <f t="shared" si="15"/>
        <v>0</v>
      </c>
      <c r="Q120" s="93"/>
      <c r="R120" s="81"/>
      <c r="S120" s="94"/>
      <c r="T120" s="81"/>
      <c r="U120" s="93"/>
      <c r="V120" s="81"/>
      <c r="W120" s="94"/>
      <c r="X120" s="81"/>
      <c r="Y120" s="93"/>
      <c r="Z120" s="81"/>
      <c r="AA120" s="94"/>
      <c r="AB120" s="81"/>
      <c r="AC120" s="93"/>
      <c r="AD120" s="81"/>
      <c r="AE120" s="94"/>
      <c r="AF120" s="81"/>
      <c r="AG120" s="93"/>
      <c r="AH120" s="81"/>
      <c r="AI120" s="94"/>
      <c r="AJ120" s="81"/>
      <c r="AK120" s="93"/>
      <c r="AL120" s="81"/>
      <c r="AM120" s="94"/>
      <c r="AN120" s="81"/>
      <c r="AO120" s="93"/>
      <c r="AP120" s="81"/>
      <c r="AQ120" s="94"/>
      <c r="AR120" s="81"/>
      <c r="AS120" s="94"/>
      <c r="AT120" s="306"/>
      <c r="AU120" s="94"/>
      <c r="AV120" s="306"/>
      <c r="AW120" s="94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">
        <v>940</v>
      </c>
      <c r="B121" t="s">
        <v>34</v>
      </c>
      <c r="C121" s="52" t="s">
        <v>941</v>
      </c>
      <c r="D121" s="52" t="s">
        <v>941</v>
      </c>
      <c r="E121">
        <v>30</v>
      </c>
      <c r="F121">
        <v>29</v>
      </c>
      <c r="G121" s="64">
        <v>45082</v>
      </c>
      <c r="H121">
        <v>300</v>
      </c>
      <c r="I121">
        <v>300</v>
      </c>
      <c r="J121">
        <v>5</v>
      </c>
      <c r="K121">
        <v>0</v>
      </c>
      <c r="L121">
        <v>3</v>
      </c>
      <c r="M121">
        <v>0</v>
      </c>
      <c r="N121">
        <v>0</v>
      </c>
      <c r="O121">
        <v>41</v>
      </c>
      <c r="P121" s="69">
        <f t="shared" si="15"/>
        <v>62.5</v>
      </c>
      <c r="Q121" s="104" t="s">
        <v>942</v>
      </c>
      <c r="R121" s="103">
        <v>1</v>
      </c>
      <c r="S121" s="262" t="s">
        <v>332</v>
      </c>
      <c r="T121" s="261">
        <v>2</v>
      </c>
      <c r="U121" s="93"/>
      <c r="V121" s="81"/>
      <c r="W121" s="94"/>
      <c r="X121" s="81"/>
      <c r="Y121" s="93"/>
      <c r="Z121" s="81"/>
      <c r="AA121" s="94"/>
      <c r="AB121" s="81"/>
      <c r="AC121" s="93"/>
      <c r="AD121" s="81"/>
      <c r="AE121" s="94"/>
      <c r="AF121" s="81"/>
      <c r="AG121" s="93"/>
      <c r="AH121" s="81"/>
      <c r="AI121" s="94"/>
      <c r="AJ121" s="81"/>
      <c r="AK121" s="93"/>
      <c r="AL121" s="81"/>
      <c r="AM121" s="94"/>
      <c r="AN121" s="81"/>
      <c r="AO121" s="93"/>
      <c r="AP121" s="81"/>
      <c r="AQ121" s="94"/>
      <c r="AR121" s="81"/>
      <c r="AS121" s="94"/>
      <c r="AT121" s="306"/>
      <c r="AU121" s="94"/>
      <c r="AV121" s="306"/>
      <c r="AW121" s="94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">
        <v>943</v>
      </c>
      <c r="B122" t="s">
        <v>34</v>
      </c>
      <c r="C122" s="52" t="s">
        <v>941</v>
      </c>
      <c r="D122" s="52" t="s">
        <v>941</v>
      </c>
      <c r="E122">
        <v>0</v>
      </c>
      <c r="F122">
        <v>0</v>
      </c>
      <c r="G122" s="64">
        <v>45082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s="69">
        <f t="shared" si="15"/>
        <v>0</v>
      </c>
      <c r="Q122" s="93"/>
      <c r="R122" s="81"/>
      <c r="S122" s="94"/>
      <c r="T122" s="81"/>
      <c r="U122" s="93"/>
      <c r="V122" s="81"/>
      <c r="W122" s="94"/>
      <c r="X122" s="81"/>
      <c r="Y122" s="93"/>
      <c r="Z122" s="81"/>
      <c r="AA122" s="94"/>
      <c r="AB122" s="81"/>
      <c r="AC122" s="93"/>
      <c r="AD122" s="81"/>
      <c r="AE122" s="94"/>
      <c r="AF122" s="81"/>
      <c r="AG122" s="93"/>
      <c r="AH122" s="81"/>
      <c r="AI122" s="94"/>
      <c r="AJ122" s="81"/>
      <c r="AK122" s="93"/>
      <c r="AL122" s="81"/>
      <c r="AM122" s="94"/>
      <c r="AN122" s="81"/>
      <c r="AO122" s="93"/>
      <c r="AP122" s="81"/>
      <c r="AQ122" s="94"/>
      <c r="AR122" s="81"/>
      <c r="AS122" s="94"/>
      <c r="AT122" s="306"/>
      <c r="AU122" s="94"/>
      <c r="AV122" s="306"/>
      <c r="AW122" s="94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">
        <v>944</v>
      </c>
      <c r="B123" t="s">
        <v>34</v>
      </c>
      <c r="C123" s="52" t="s">
        <v>941</v>
      </c>
      <c r="D123" s="52" t="s">
        <v>941</v>
      </c>
      <c r="E123">
        <v>0</v>
      </c>
      <c r="F123">
        <v>0</v>
      </c>
      <c r="G123" s="64">
        <v>0</v>
      </c>
      <c r="H123">
        <v>300</v>
      </c>
      <c r="I123">
        <v>300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 s="69">
        <f t="shared" si="15"/>
        <v>0</v>
      </c>
      <c r="Q123" s="93"/>
      <c r="R123" s="81"/>
      <c r="S123" s="94"/>
      <c r="T123" s="81"/>
      <c r="U123" s="93"/>
      <c r="V123" s="81"/>
      <c r="W123" s="94"/>
      <c r="X123" s="81"/>
      <c r="Y123" s="93"/>
      <c r="Z123" s="81"/>
      <c r="AA123" s="94"/>
      <c r="AB123" s="81"/>
      <c r="AC123" s="93"/>
      <c r="AD123" s="81"/>
      <c r="AE123" s="94"/>
      <c r="AF123" s="81"/>
      <c r="AG123" s="93"/>
      <c r="AH123" s="81"/>
      <c r="AI123" s="94"/>
      <c r="AJ123" s="81"/>
      <c r="AK123" s="93"/>
      <c r="AL123" s="81"/>
      <c r="AM123" s="94"/>
      <c r="AN123" s="81"/>
      <c r="AO123" s="93"/>
      <c r="AP123" s="81"/>
      <c r="AQ123" s="94"/>
      <c r="AR123" s="81"/>
      <c r="AS123" s="94"/>
      <c r="AT123" s="306"/>
      <c r="AU123" s="94"/>
      <c r="AV123" s="306"/>
      <c r="AW123" s="94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">
        <v>945</v>
      </c>
      <c r="B124" t="s">
        <v>47</v>
      </c>
      <c r="C124" s="52" t="s">
        <v>946</v>
      </c>
      <c r="D124" s="52" t="s">
        <v>946</v>
      </c>
      <c r="E124">
        <v>163</v>
      </c>
      <c r="F124" t="s">
        <v>829</v>
      </c>
      <c r="G124" s="64">
        <v>44965</v>
      </c>
      <c r="H124">
        <v>300</v>
      </c>
      <c r="I124" t="s">
        <v>829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43</v>
      </c>
      <c r="P124" s="69">
        <f t="shared" si="15"/>
        <v>104.16666666666667</v>
      </c>
      <c r="Q124" s="82" t="s">
        <v>366</v>
      </c>
      <c r="R124" s="83">
        <v>5</v>
      </c>
      <c r="S124" s="94"/>
      <c r="T124" s="81"/>
      <c r="U124" s="93"/>
      <c r="V124" s="81"/>
      <c r="W124" s="94"/>
      <c r="X124" s="81"/>
      <c r="Y124" s="93"/>
      <c r="Z124" s="81"/>
      <c r="AA124" s="94"/>
      <c r="AB124" s="81"/>
      <c r="AC124" s="93"/>
      <c r="AD124" s="81"/>
      <c r="AE124" s="94"/>
      <c r="AF124" s="81"/>
      <c r="AG124" s="93"/>
      <c r="AH124" s="81"/>
      <c r="AI124" s="94"/>
      <c r="AJ124" s="81"/>
      <c r="AK124" s="93"/>
      <c r="AL124" s="81"/>
      <c r="AM124" s="94"/>
      <c r="AN124" s="81"/>
      <c r="AO124" s="93"/>
      <c r="AP124" s="81"/>
      <c r="AQ124" s="94"/>
      <c r="AR124" s="81"/>
      <c r="AS124" s="94"/>
      <c r="AT124" s="306"/>
      <c r="AU124" s="94"/>
      <c r="AV124" s="306"/>
      <c r="AW124" s="94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">
        <v>947</v>
      </c>
      <c r="B125" t="s">
        <v>48</v>
      </c>
      <c r="C125" s="52" t="s">
        <v>946</v>
      </c>
      <c r="D125" s="52" t="s">
        <v>946</v>
      </c>
      <c r="E125" t="s">
        <v>829</v>
      </c>
      <c r="F125">
        <v>164</v>
      </c>
      <c r="G125" s="64">
        <v>44965</v>
      </c>
      <c r="H125" t="s">
        <v>829</v>
      </c>
      <c r="I125">
        <v>300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43</v>
      </c>
      <c r="P125" s="69">
        <f t="shared" si="15"/>
        <v>0</v>
      </c>
      <c r="Q125" s="82"/>
      <c r="R125" s="83"/>
      <c r="S125" s="94"/>
      <c r="T125" s="81"/>
      <c r="U125" s="93"/>
      <c r="V125" s="81"/>
      <c r="W125" s="94"/>
      <c r="X125" s="81"/>
      <c r="Y125" s="93"/>
      <c r="Z125" s="81"/>
      <c r="AA125" s="94"/>
      <c r="AB125" s="81"/>
      <c r="AC125" s="93"/>
      <c r="AD125" s="81"/>
      <c r="AE125" s="94"/>
      <c r="AF125" s="81"/>
      <c r="AG125" s="93"/>
      <c r="AH125" s="81"/>
      <c r="AI125" s="94"/>
      <c r="AJ125" s="81"/>
      <c r="AK125" s="93"/>
      <c r="AL125" s="81"/>
      <c r="AM125" s="94"/>
      <c r="AN125" s="81"/>
      <c r="AO125" s="93"/>
      <c r="AP125" s="81"/>
      <c r="AQ125" s="94"/>
      <c r="AR125" s="81"/>
      <c r="AS125" s="94"/>
      <c r="AT125" s="306"/>
      <c r="AU125" s="94"/>
      <c r="AV125" s="306"/>
      <c r="AW125" s="94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">
        <v>948</v>
      </c>
      <c r="B126">
        <v>0</v>
      </c>
      <c r="C126" s="52" t="s">
        <v>949</v>
      </c>
      <c r="D126" s="52" t="s">
        <v>949</v>
      </c>
      <c r="E126">
        <v>0</v>
      </c>
      <c r="F126">
        <v>0</v>
      </c>
      <c r="G126" s="64">
        <v>0</v>
      </c>
      <c r="H126">
        <v>300</v>
      </c>
      <c r="I126">
        <v>300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 s="69">
        <f t="shared" si="15"/>
        <v>0</v>
      </c>
      <c r="Q126" s="93"/>
      <c r="R126" s="81"/>
      <c r="S126" s="94"/>
      <c r="T126" s="81"/>
      <c r="U126" s="93"/>
      <c r="V126" s="81"/>
      <c r="W126" s="94"/>
      <c r="X126" s="81"/>
      <c r="Y126" s="93"/>
      <c r="Z126" s="81"/>
      <c r="AA126" s="94"/>
      <c r="AB126" s="81"/>
      <c r="AC126" s="93"/>
      <c r="AD126" s="81"/>
      <c r="AE126" s="94"/>
      <c r="AF126" s="81"/>
      <c r="AG126" s="93"/>
      <c r="AH126" s="81"/>
      <c r="AI126" s="94"/>
      <c r="AJ126" s="81"/>
      <c r="AK126" s="93"/>
      <c r="AL126" s="81"/>
      <c r="AM126" s="94"/>
      <c r="AN126" s="81"/>
      <c r="AO126" s="93"/>
      <c r="AP126" s="81"/>
      <c r="AQ126" s="94"/>
      <c r="AR126" s="81"/>
      <c r="AS126" s="94"/>
      <c r="AT126" s="306"/>
      <c r="AU126" s="94"/>
      <c r="AV126" s="306"/>
      <c r="AW126" s="94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">
        <v>950</v>
      </c>
      <c r="B127">
        <v>0</v>
      </c>
      <c r="C127" s="52" t="s">
        <v>949</v>
      </c>
      <c r="D127" s="52" t="s">
        <v>949</v>
      </c>
      <c r="E127">
        <v>0</v>
      </c>
      <c r="F127">
        <v>0</v>
      </c>
      <c r="G127" s="64">
        <v>0</v>
      </c>
      <c r="H127">
        <v>300</v>
      </c>
      <c r="I127">
        <v>300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0</v>
      </c>
      <c r="P127" s="69">
        <f t="shared" si="15"/>
        <v>0</v>
      </c>
      <c r="Q127" s="93"/>
      <c r="R127" s="81"/>
      <c r="S127" s="94"/>
      <c r="T127" s="81"/>
      <c r="U127" s="93"/>
      <c r="V127" s="81"/>
      <c r="W127" s="94"/>
      <c r="X127" s="81"/>
      <c r="Y127" s="93"/>
      <c r="Z127" s="81"/>
      <c r="AA127" s="94"/>
      <c r="AB127" s="81"/>
      <c r="AC127" s="93"/>
      <c r="AD127" s="81"/>
      <c r="AE127" s="94"/>
      <c r="AF127" s="81"/>
      <c r="AG127" s="93"/>
      <c r="AH127" s="81"/>
      <c r="AI127" s="94"/>
      <c r="AJ127" s="81"/>
      <c r="AK127" s="93"/>
      <c r="AL127" s="81"/>
      <c r="AM127" s="94"/>
      <c r="AN127" s="81"/>
      <c r="AO127" s="93"/>
      <c r="AP127" s="81"/>
      <c r="AQ127" s="94"/>
      <c r="AR127" s="81"/>
      <c r="AS127" s="94"/>
      <c r="AT127" s="306"/>
      <c r="AU127" s="94"/>
      <c r="AV127" s="306"/>
      <c r="AW127" s="94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">
        <v>951</v>
      </c>
      <c r="B128">
        <v>0</v>
      </c>
      <c r="C128" s="52" t="s">
        <v>949</v>
      </c>
      <c r="D128" s="52" t="s">
        <v>949</v>
      </c>
      <c r="E128">
        <v>0</v>
      </c>
      <c r="F128">
        <v>0</v>
      </c>
      <c r="G128" s="64">
        <v>0</v>
      </c>
      <c r="H128">
        <v>300</v>
      </c>
      <c r="I128">
        <v>300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69">
        <f t="shared" si="15"/>
        <v>0</v>
      </c>
      <c r="Q128" s="93"/>
      <c r="R128" s="81"/>
      <c r="S128" s="94"/>
      <c r="T128" s="81"/>
      <c r="U128" s="93"/>
      <c r="V128" s="81"/>
      <c r="W128" s="94"/>
      <c r="X128" s="81"/>
      <c r="Y128" s="93"/>
      <c r="Z128" s="81"/>
      <c r="AA128" s="94"/>
      <c r="AB128" s="81"/>
      <c r="AC128" s="93"/>
      <c r="AD128" s="81"/>
      <c r="AE128" s="94"/>
      <c r="AF128" s="81"/>
      <c r="AG128" s="93"/>
      <c r="AH128" s="81"/>
      <c r="AI128" s="94"/>
      <c r="AJ128" s="81"/>
      <c r="AK128" s="93"/>
      <c r="AL128" s="81"/>
      <c r="AM128" s="94"/>
      <c r="AN128" s="81"/>
      <c r="AO128" s="93"/>
      <c r="AP128" s="81"/>
      <c r="AQ128" s="94"/>
      <c r="AR128" s="81"/>
      <c r="AS128" s="94"/>
      <c r="AT128" s="306"/>
      <c r="AU128" s="94"/>
      <c r="AV128" s="306"/>
      <c r="AW128" s="94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">
        <v>952</v>
      </c>
      <c r="B129">
        <v>0</v>
      </c>
      <c r="C129" s="52" t="s">
        <v>949</v>
      </c>
      <c r="D129" s="52" t="s">
        <v>949</v>
      </c>
      <c r="E129">
        <v>0</v>
      </c>
      <c r="F129">
        <v>0</v>
      </c>
      <c r="G129" s="64">
        <v>0</v>
      </c>
      <c r="H129">
        <v>300</v>
      </c>
      <c r="I129">
        <v>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69">
        <f t="shared" si="15"/>
        <v>0</v>
      </c>
      <c r="Q129" s="93"/>
      <c r="R129" s="81"/>
      <c r="S129" s="94"/>
      <c r="T129" s="81"/>
      <c r="U129" s="93"/>
      <c r="V129" s="81"/>
      <c r="W129" s="94"/>
      <c r="X129" s="81"/>
      <c r="Y129" s="93"/>
      <c r="Z129" s="81"/>
      <c r="AA129" s="94"/>
      <c r="AB129" s="81"/>
      <c r="AC129" s="93"/>
      <c r="AD129" s="81"/>
      <c r="AE129" s="94"/>
      <c r="AF129" s="81"/>
      <c r="AG129" s="93"/>
      <c r="AH129" s="81"/>
      <c r="AI129" s="94"/>
      <c r="AJ129" s="81"/>
      <c r="AK129" s="93"/>
      <c r="AL129" s="81"/>
      <c r="AM129" s="94"/>
      <c r="AN129" s="81"/>
      <c r="AO129" s="93"/>
      <c r="AP129" s="81"/>
      <c r="AQ129" s="94"/>
      <c r="AR129" s="81"/>
      <c r="AS129" s="94"/>
      <c r="AT129" s="306"/>
      <c r="AU129" s="94"/>
      <c r="AV129" s="306"/>
      <c r="AW129" s="94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">
        <v>953</v>
      </c>
      <c r="B130">
        <v>0</v>
      </c>
      <c r="C130" s="52" t="s">
        <v>949</v>
      </c>
      <c r="D130" s="52" t="s">
        <v>949</v>
      </c>
      <c r="E130">
        <v>0</v>
      </c>
      <c r="F130">
        <v>0</v>
      </c>
      <c r="G130" s="64">
        <v>0</v>
      </c>
      <c r="H130">
        <v>300</v>
      </c>
      <c r="I130">
        <v>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69">
        <f t="shared" si="15"/>
        <v>0</v>
      </c>
      <c r="Q130" s="93"/>
      <c r="R130" s="81"/>
      <c r="S130" s="94"/>
      <c r="T130" s="81"/>
      <c r="U130" s="93"/>
      <c r="V130" s="81"/>
      <c r="W130" s="94"/>
      <c r="X130" s="81"/>
      <c r="Y130" s="93"/>
      <c r="Z130" s="81"/>
      <c r="AA130" s="94"/>
      <c r="AB130" s="81"/>
      <c r="AC130" s="93"/>
      <c r="AD130" s="81"/>
      <c r="AE130" s="94"/>
      <c r="AF130" s="81"/>
      <c r="AG130" s="93"/>
      <c r="AH130" s="81"/>
      <c r="AI130" s="94"/>
      <c r="AJ130" s="81"/>
      <c r="AK130" s="93"/>
      <c r="AL130" s="81"/>
      <c r="AM130" s="94"/>
      <c r="AN130" s="81"/>
      <c r="AO130" s="93"/>
      <c r="AP130" s="81"/>
      <c r="AQ130" s="94"/>
      <c r="AR130" s="81"/>
      <c r="AS130" s="94"/>
      <c r="AT130" s="306"/>
      <c r="AU130" s="94"/>
      <c r="AV130" s="306"/>
      <c r="AW130" s="94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">
        <v>954</v>
      </c>
      <c r="B131">
        <v>0</v>
      </c>
      <c r="C131" s="52" t="s">
        <v>949</v>
      </c>
      <c r="D131" s="52" t="s">
        <v>949</v>
      </c>
      <c r="E131">
        <v>0</v>
      </c>
      <c r="F131">
        <v>0</v>
      </c>
      <c r="G131" s="64">
        <v>0</v>
      </c>
      <c r="H131">
        <v>300</v>
      </c>
      <c r="I131">
        <v>300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69">
        <f t="shared" si="15"/>
        <v>0</v>
      </c>
      <c r="Q131" s="93"/>
      <c r="R131" s="81"/>
      <c r="S131" s="94"/>
      <c r="T131" s="81"/>
      <c r="U131" s="93"/>
      <c r="V131" s="81"/>
      <c r="W131" s="94"/>
      <c r="X131" s="81"/>
      <c r="Y131" s="93"/>
      <c r="Z131" s="81"/>
      <c r="AA131" s="94"/>
      <c r="AB131" s="81"/>
      <c r="AC131" s="93"/>
      <c r="AD131" s="81"/>
      <c r="AE131" s="94"/>
      <c r="AF131" s="81"/>
      <c r="AG131" s="93"/>
      <c r="AH131" s="81"/>
      <c r="AI131" s="94"/>
      <c r="AJ131" s="81"/>
      <c r="AK131" s="93"/>
      <c r="AL131" s="81"/>
      <c r="AM131" s="94"/>
      <c r="AN131" s="81"/>
      <c r="AO131" s="93"/>
      <c r="AP131" s="81"/>
      <c r="AQ131" s="94"/>
      <c r="AR131" s="81"/>
      <c r="AS131" s="94"/>
      <c r="AT131" s="306"/>
      <c r="AU131" s="94"/>
      <c r="AV131" s="306"/>
      <c r="AW131" s="94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">
        <v>955</v>
      </c>
      <c r="B132">
        <v>0</v>
      </c>
      <c r="C132" s="52" t="s">
        <v>949</v>
      </c>
      <c r="D132" s="52" t="s">
        <v>949</v>
      </c>
      <c r="E132">
        <v>0</v>
      </c>
      <c r="F132">
        <v>0</v>
      </c>
      <c r="G132" s="64">
        <v>0</v>
      </c>
      <c r="H132">
        <v>300</v>
      </c>
      <c r="I132">
        <v>300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69">
        <f t="shared" ref="P132:P196" si="30">SUM(AY132+BA132)</f>
        <v>0</v>
      </c>
      <c r="Q132" s="93"/>
      <c r="R132" s="81"/>
      <c r="S132" s="94"/>
      <c r="T132" s="81"/>
      <c r="U132" s="93"/>
      <c r="V132" s="81"/>
      <c r="W132" s="94"/>
      <c r="X132" s="81"/>
      <c r="Y132" s="93"/>
      <c r="Z132" s="81"/>
      <c r="AA132" s="94"/>
      <c r="AB132" s="81"/>
      <c r="AC132" s="93"/>
      <c r="AD132" s="81"/>
      <c r="AE132" s="94"/>
      <c r="AF132" s="81"/>
      <c r="AG132" s="93"/>
      <c r="AH132" s="81"/>
      <c r="AI132" s="94"/>
      <c r="AJ132" s="81"/>
      <c r="AK132" s="93"/>
      <c r="AL132" s="81"/>
      <c r="AM132" s="94"/>
      <c r="AN132" s="81"/>
      <c r="AO132" s="93"/>
      <c r="AP132" s="81"/>
      <c r="AQ132" s="94"/>
      <c r="AR132" s="81"/>
      <c r="AS132" s="94"/>
      <c r="AT132" s="306"/>
      <c r="AU132" s="94"/>
      <c r="AV132" s="306"/>
      <c r="AW132" s="94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">
        <v>956</v>
      </c>
      <c r="B133" t="s">
        <v>56</v>
      </c>
      <c r="C133" s="52" t="s">
        <v>957</v>
      </c>
      <c r="D133" s="52" t="s">
        <v>957</v>
      </c>
      <c r="E133" t="s">
        <v>958</v>
      </c>
      <c r="F133" t="s">
        <v>958</v>
      </c>
      <c r="G133" s="64" t="s">
        <v>959</v>
      </c>
      <c r="H133">
        <v>300</v>
      </c>
      <c r="I133">
        <v>300</v>
      </c>
      <c r="J133">
        <v>0</v>
      </c>
      <c r="K133">
        <v>1</v>
      </c>
      <c r="L133">
        <v>2</v>
      </c>
      <c r="M133">
        <v>0</v>
      </c>
      <c r="N133">
        <v>22</v>
      </c>
      <c r="O133">
        <v>0</v>
      </c>
      <c r="P133" s="69">
        <f t="shared" si="30"/>
        <v>0</v>
      </c>
      <c r="Q133" s="93"/>
      <c r="R133" s="81"/>
      <c r="S133" s="94"/>
      <c r="T133" s="81"/>
      <c r="U133" s="93"/>
      <c r="V133" s="81"/>
      <c r="W133" s="94"/>
      <c r="X133" s="81"/>
      <c r="Y133" s="93"/>
      <c r="Z133" s="81"/>
      <c r="AA133" s="94"/>
      <c r="AB133" s="81"/>
      <c r="AC133" s="93"/>
      <c r="AD133" s="81"/>
      <c r="AE133" s="94"/>
      <c r="AF133" s="81"/>
      <c r="AG133" s="93"/>
      <c r="AH133" s="81"/>
      <c r="AI133" s="94"/>
      <c r="AJ133" s="81"/>
      <c r="AK133" s="93"/>
      <c r="AL133" s="81"/>
      <c r="AM133" s="94"/>
      <c r="AN133" s="81"/>
      <c r="AO133" s="93"/>
      <c r="AP133" s="81"/>
      <c r="AQ133" s="94"/>
      <c r="AR133" s="81"/>
      <c r="AS133" s="94"/>
      <c r="AT133" s="306"/>
      <c r="AU133" s="94"/>
      <c r="AV133" s="306"/>
      <c r="AW133" s="94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">
        <v>960</v>
      </c>
      <c r="B134" t="s">
        <v>56</v>
      </c>
      <c r="C134" s="52" t="s">
        <v>957</v>
      </c>
      <c r="D134" s="52" t="s">
        <v>957</v>
      </c>
      <c r="E134" t="s">
        <v>958</v>
      </c>
      <c r="F134" t="s">
        <v>958</v>
      </c>
      <c r="G134" s="64" t="s">
        <v>959</v>
      </c>
      <c r="H134">
        <v>300</v>
      </c>
      <c r="I134">
        <v>300</v>
      </c>
      <c r="J134">
        <v>0</v>
      </c>
      <c r="K134">
        <v>1</v>
      </c>
      <c r="L134">
        <v>0</v>
      </c>
      <c r="M134">
        <v>0</v>
      </c>
      <c r="N134">
        <v>35</v>
      </c>
      <c r="O134">
        <v>0</v>
      </c>
      <c r="P134" s="69">
        <f t="shared" si="30"/>
        <v>0</v>
      </c>
      <c r="Q134" s="93"/>
      <c r="R134" s="81"/>
      <c r="S134" s="94"/>
      <c r="T134" s="81"/>
      <c r="U134" s="93"/>
      <c r="V134" s="81"/>
      <c r="W134" s="94"/>
      <c r="X134" s="81"/>
      <c r="Y134" s="93"/>
      <c r="Z134" s="81"/>
      <c r="AA134" s="94"/>
      <c r="AB134" s="81"/>
      <c r="AC134" s="93"/>
      <c r="AD134" s="81"/>
      <c r="AE134" s="94"/>
      <c r="AF134" s="81"/>
      <c r="AG134" s="93"/>
      <c r="AH134" s="81"/>
      <c r="AI134" s="94"/>
      <c r="AJ134" s="81"/>
      <c r="AK134" s="93"/>
      <c r="AL134" s="81"/>
      <c r="AM134" s="94"/>
      <c r="AN134" s="81"/>
      <c r="AO134" s="93"/>
      <c r="AP134" s="81"/>
      <c r="AQ134" s="94"/>
      <c r="AR134" s="81"/>
      <c r="AS134" s="94"/>
      <c r="AT134" s="306"/>
      <c r="AU134" s="94"/>
      <c r="AV134" s="306"/>
      <c r="AW134" s="94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">
        <v>961</v>
      </c>
      <c r="B135" t="s">
        <v>56</v>
      </c>
      <c r="C135" s="52" t="s">
        <v>957</v>
      </c>
      <c r="D135" s="52" t="s">
        <v>957</v>
      </c>
      <c r="E135" t="s">
        <v>958</v>
      </c>
      <c r="F135" t="s">
        <v>958</v>
      </c>
      <c r="G135" s="64" t="s">
        <v>959</v>
      </c>
      <c r="H135">
        <v>300</v>
      </c>
      <c r="I135">
        <v>300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 s="69">
        <f t="shared" si="30"/>
        <v>0</v>
      </c>
      <c r="Q135" s="93"/>
      <c r="R135" s="81"/>
      <c r="S135" s="94"/>
      <c r="T135" s="81"/>
      <c r="U135" s="93"/>
      <c r="V135" s="81"/>
      <c r="W135" s="94"/>
      <c r="X135" s="81"/>
      <c r="Y135" s="93"/>
      <c r="Z135" s="81"/>
      <c r="AA135" s="94"/>
      <c r="AB135" s="81"/>
      <c r="AC135" s="93"/>
      <c r="AD135" s="81"/>
      <c r="AE135" s="94"/>
      <c r="AF135" s="81"/>
      <c r="AG135" s="93"/>
      <c r="AH135" s="81"/>
      <c r="AI135" s="94"/>
      <c r="AJ135" s="81"/>
      <c r="AK135" s="93"/>
      <c r="AL135" s="81"/>
      <c r="AM135" s="94"/>
      <c r="AN135" s="81"/>
      <c r="AO135" s="93"/>
      <c r="AP135" s="81"/>
      <c r="AQ135" s="94"/>
      <c r="AR135" s="81"/>
      <c r="AS135" s="94"/>
      <c r="AT135" s="306"/>
      <c r="AU135" s="94"/>
      <c r="AV135" s="306"/>
      <c r="AW135" s="94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">
        <v>962</v>
      </c>
      <c r="B136" t="s">
        <v>56</v>
      </c>
      <c r="C136" s="52" t="s">
        <v>957</v>
      </c>
      <c r="D136" s="52" t="s">
        <v>957</v>
      </c>
      <c r="E136" t="s">
        <v>958</v>
      </c>
      <c r="F136" t="s">
        <v>958</v>
      </c>
      <c r="G136" s="64" t="s">
        <v>959</v>
      </c>
      <c r="H136">
        <v>300</v>
      </c>
      <c r="I136">
        <v>300</v>
      </c>
      <c r="J136">
        <v>0</v>
      </c>
      <c r="K136">
        <v>0</v>
      </c>
      <c r="L136">
        <v>1</v>
      </c>
      <c r="M136">
        <v>5</v>
      </c>
      <c r="N136">
        <v>19</v>
      </c>
      <c r="O136">
        <v>0</v>
      </c>
      <c r="P136" s="69">
        <f t="shared" si="30"/>
        <v>0</v>
      </c>
      <c r="Q136" s="93"/>
      <c r="R136" s="81"/>
      <c r="S136" s="94"/>
      <c r="T136" s="81"/>
      <c r="U136" s="93"/>
      <c r="V136" s="81"/>
      <c r="W136" s="94"/>
      <c r="X136" s="81"/>
      <c r="Y136" s="93"/>
      <c r="Z136" s="81"/>
      <c r="AA136" s="94"/>
      <c r="AB136" s="81"/>
      <c r="AC136" s="93"/>
      <c r="AD136" s="81"/>
      <c r="AE136" s="94"/>
      <c r="AF136" s="81"/>
      <c r="AG136" s="93"/>
      <c r="AH136" s="81"/>
      <c r="AI136" s="94"/>
      <c r="AJ136" s="81"/>
      <c r="AK136" s="93"/>
      <c r="AL136" s="81"/>
      <c r="AM136" s="94"/>
      <c r="AN136" s="81"/>
      <c r="AO136" s="93"/>
      <c r="AP136" s="81"/>
      <c r="AQ136" s="94"/>
      <c r="AR136" s="81"/>
      <c r="AS136" s="94"/>
      <c r="AT136" s="306"/>
      <c r="AU136" s="94"/>
      <c r="AV136" s="306"/>
      <c r="AW136" s="94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">
        <v>963</v>
      </c>
      <c r="B137" t="s">
        <v>56</v>
      </c>
      <c r="C137" s="52" t="s">
        <v>957</v>
      </c>
      <c r="D137" s="52" t="s">
        <v>957</v>
      </c>
      <c r="E137" t="s">
        <v>958</v>
      </c>
      <c r="F137" t="s">
        <v>958</v>
      </c>
      <c r="G137" s="64" t="s">
        <v>959</v>
      </c>
      <c r="H137">
        <v>300</v>
      </c>
      <c r="I137">
        <v>300</v>
      </c>
      <c r="J137">
        <v>0</v>
      </c>
      <c r="K137">
        <v>0</v>
      </c>
      <c r="L137">
        <v>0</v>
      </c>
      <c r="M137">
        <v>2</v>
      </c>
      <c r="N137">
        <v>15</v>
      </c>
      <c r="O137">
        <v>0</v>
      </c>
      <c r="P137" s="69">
        <f t="shared" si="30"/>
        <v>0</v>
      </c>
      <c r="Q137" s="93"/>
      <c r="R137" s="81"/>
      <c r="S137" s="94"/>
      <c r="T137" s="81"/>
      <c r="U137" s="93"/>
      <c r="V137" s="81"/>
      <c r="W137" s="94"/>
      <c r="X137" s="81"/>
      <c r="Y137" s="93"/>
      <c r="Z137" s="81"/>
      <c r="AA137" s="94"/>
      <c r="AB137" s="81"/>
      <c r="AC137" s="93"/>
      <c r="AD137" s="81"/>
      <c r="AE137" s="94"/>
      <c r="AF137" s="81"/>
      <c r="AG137" s="93"/>
      <c r="AH137" s="81"/>
      <c r="AI137" s="94"/>
      <c r="AJ137" s="81"/>
      <c r="AK137" s="93"/>
      <c r="AL137" s="81"/>
      <c r="AM137" s="94"/>
      <c r="AN137" s="81"/>
      <c r="AO137" s="93"/>
      <c r="AP137" s="81"/>
      <c r="AQ137" s="94"/>
      <c r="AR137" s="81"/>
      <c r="AS137" s="94"/>
      <c r="AT137" s="306"/>
      <c r="AU137" s="94"/>
      <c r="AV137" s="306"/>
      <c r="AW137" s="94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">
        <v>964</v>
      </c>
      <c r="B138" t="s">
        <v>43</v>
      </c>
      <c r="C138" s="52" t="s">
        <v>965</v>
      </c>
      <c r="D138" s="52" t="s">
        <v>965</v>
      </c>
      <c r="E138">
        <v>260</v>
      </c>
      <c r="F138">
        <v>280</v>
      </c>
      <c r="G138" s="64">
        <v>44958</v>
      </c>
      <c r="H138">
        <v>300</v>
      </c>
      <c r="I138">
        <v>300</v>
      </c>
      <c r="J138">
        <v>0</v>
      </c>
      <c r="K138">
        <v>0</v>
      </c>
      <c r="L138">
        <v>0</v>
      </c>
      <c r="M138">
        <v>5</v>
      </c>
      <c r="N138">
        <v>6</v>
      </c>
      <c r="O138">
        <v>0</v>
      </c>
      <c r="P138" s="69">
        <f t="shared" si="30"/>
        <v>0</v>
      </c>
      <c r="Q138" s="93"/>
      <c r="R138" s="81"/>
      <c r="S138" s="94"/>
      <c r="T138" s="81"/>
      <c r="U138" s="93"/>
      <c r="V138" s="81"/>
      <c r="W138" s="94"/>
      <c r="X138" s="81"/>
      <c r="Y138" s="93"/>
      <c r="Z138" s="81"/>
      <c r="AA138" s="94"/>
      <c r="AB138" s="81"/>
      <c r="AC138" s="93"/>
      <c r="AD138" s="81"/>
      <c r="AE138" s="94"/>
      <c r="AF138" s="81"/>
      <c r="AG138" s="93"/>
      <c r="AH138" s="81"/>
      <c r="AI138" s="94"/>
      <c r="AJ138" s="81"/>
      <c r="AK138" s="93"/>
      <c r="AL138" s="81"/>
      <c r="AM138" s="94"/>
      <c r="AN138" s="81"/>
      <c r="AO138" s="93"/>
      <c r="AP138" s="81"/>
      <c r="AQ138" s="94"/>
      <c r="AR138" s="81"/>
      <c r="AS138" s="94"/>
      <c r="AT138" s="306"/>
      <c r="AU138" s="94"/>
      <c r="AV138" s="306"/>
      <c r="AW138" s="94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">
        <v>966</v>
      </c>
      <c r="B139" t="s">
        <v>43</v>
      </c>
      <c r="C139" s="52" t="s">
        <v>965</v>
      </c>
      <c r="D139" s="52" t="s">
        <v>965</v>
      </c>
      <c r="E139">
        <v>120</v>
      </c>
      <c r="F139">
        <v>120</v>
      </c>
      <c r="G139" s="64">
        <v>44958</v>
      </c>
      <c r="H139">
        <v>200</v>
      </c>
      <c r="I139">
        <v>200</v>
      </c>
      <c r="J139">
        <v>4</v>
      </c>
      <c r="K139">
        <v>1</v>
      </c>
      <c r="L139">
        <v>1</v>
      </c>
      <c r="M139">
        <v>0</v>
      </c>
      <c r="N139">
        <v>3</v>
      </c>
      <c r="O139">
        <v>0</v>
      </c>
      <c r="P139" s="69">
        <f t="shared" si="30"/>
        <v>0</v>
      </c>
      <c r="Q139" s="93"/>
      <c r="R139" s="81"/>
      <c r="S139" s="94"/>
      <c r="T139" s="81"/>
      <c r="U139" s="93"/>
      <c r="V139" s="81"/>
      <c r="W139" s="94"/>
      <c r="X139" s="81"/>
      <c r="Y139" s="93"/>
      <c r="Z139" s="81"/>
      <c r="AA139" s="94"/>
      <c r="AB139" s="81"/>
      <c r="AC139" s="93"/>
      <c r="AD139" s="81"/>
      <c r="AE139" s="94"/>
      <c r="AF139" s="81"/>
      <c r="AG139" s="93"/>
      <c r="AH139" s="81"/>
      <c r="AI139" s="94"/>
      <c r="AJ139" s="81"/>
      <c r="AK139" s="93"/>
      <c r="AL139" s="81"/>
      <c r="AM139" s="94"/>
      <c r="AN139" s="81"/>
      <c r="AO139" s="93"/>
      <c r="AP139" s="81"/>
      <c r="AQ139" s="94"/>
      <c r="AR139" s="81"/>
      <c r="AS139" s="94"/>
      <c r="AT139" s="306"/>
      <c r="AU139" s="94"/>
      <c r="AV139" s="306"/>
      <c r="AW139" s="94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">
        <v>967</v>
      </c>
      <c r="B140" t="s">
        <v>43</v>
      </c>
      <c r="C140" s="52" t="s">
        <v>965</v>
      </c>
      <c r="D140" s="52" t="s">
        <v>965</v>
      </c>
      <c r="E140">
        <v>95</v>
      </c>
      <c r="F140">
        <v>95</v>
      </c>
      <c r="G140" s="64">
        <v>44958</v>
      </c>
      <c r="H140">
        <v>200</v>
      </c>
      <c r="I140">
        <v>200</v>
      </c>
      <c r="J140">
        <v>6</v>
      </c>
      <c r="K140">
        <v>0</v>
      </c>
      <c r="L140">
        <v>0</v>
      </c>
      <c r="M140">
        <v>0</v>
      </c>
      <c r="N140">
        <v>7</v>
      </c>
      <c r="O140">
        <v>0</v>
      </c>
      <c r="P140" s="69">
        <f t="shared" si="30"/>
        <v>0</v>
      </c>
      <c r="Q140" s="93"/>
      <c r="R140" s="81"/>
      <c r="S140" s="94"/>
      <c r="T140" s="81"/>
      <c r="U140" s="93"/>
      <c r="V140" s="81"/>
      <c r="W140" s="94"/>
      <c r="X140" s="81"/>
      <c r="Y140" s="93"/>
      <c r="Z140" s="81"/>
      <c r="AA140" s="94"/>
      <c r="AB140" s="81"/>
      <c r="AC140" s="93"/>
      <c r="AD140" s="81"/>
      <c r="AE140" s="94"/>
      <c r="AF140" s="81"/>
      <c r="AG140" s="93"/>
      <c r="AH140" s="81"/>
      <c r="AI140" s="94"/>
      <c r="AJ140" s="81"/>
      <c r="AK140" s="93"/>
      <c r="AL140" s="81"/>
      <c r="AM140" s="94"/>
      <c r="AN140" s="81"/>
      <c r="AO140" s="93"/>
      <c r="AP140" s="81"/>
      <c r="AQ140" s="94"/>
      <c r="AR140" s="81"/>
      <c r="AS140" s="94"/>
      <c r="AT140" s="306"/>
      <c r="AU140" s="94"/>
      <c r="AV140" s="306"/>
      <c r="AW140" s="94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">
        <v>968</v>
      </c>
      <c r="B141" t="s">
        <v>43</v>
      </c>
      <c r="C141" s="52" t="s">
        <v>965</v>
      </c>
      <c r="D141" s="52" t="s">
        <v>965</v>
      </c>
      <c r="E141">
        <v>90</v>
      </c>
      <c r="F141">
        <v>105</v>
      </c>
      <c r="G141" s="64">
        <v>44958</v>
      </c>
      <c r="H141">
        <v>200</v>
      </c>
      <c r="I141">
        <v>200</v>
      </c>
      <c r="J141">
        <v>6</v>
      </c>
      <c r="K141">
        <v>1</v>
      </c>
      <c r="L141">
        <v>0</v>
      </c>
      <c r="M141">
        <v>1</v>
      </c>
      <c r="N141">
        <v>2</v>
      </c>
      <c r="O141">
        <v>0</v>
      </c>
      <c r="P141" s="69">
        <f t="shared" si="30"/>
        <v>41.666666666666664</v>
      </c>
      <c r="Q141" s="86" t="s">
        <v>358</v>
      </c>
      <c r="R141" s="83">
        <v>2</v>
      </c>
      <c r="S141" s="104"/>
      <c r="T141" s="103"/>
      <c r="U141" s="104"/>
      <c r="V141" s="103"/>
      <c r="W141" s="94"/>
      <c r="X141" s="81"/>
      <c r="Y141" s="93"/>
      <c r="Z141" s="81"/>
      <c r="AA141" s="94"/>
      <c r="AB141" s="81"/>
      <c r="AC141" s="93"/>
      <c r="AD141" s="81"/>
      <c r="AE141" s="94"/>
      <c r="AF141" s="81"/>
      <c r="AG141" s="93"/>
      <c r="AH141" s="81"/>
      <c r="AI141" s="94"/>
      <c r="AJ141" s="81"/>
      <c r="AK141" s="93"/>
      <c r="AL141" s="81"/>
      <c r="AM141" s="94"/>
      <c r="AN141" s="81"/>
      <c r="AO141" s="93"/>
      <c r="AP141" s="81"/>
      <c r="AQ141" s="94"/>
      <c r="AR141" s="81"/>
      <c r="AS141" s="94"/>
      <c r="AT141" s="306"/>
      <c r="AU141" s="94"/>
      <c r="AV141" s="306"/>
      <c r="AW141" s="94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">
        <v>969</v>
      </c>
      <c r="B142" t="s">
        <v>43</v>
      </c>
      <c r="C142" s="52" t="s">
        <v>965</v>
      </c>
      <c r="D142" s="52" t="s">
        <v>965</v>
      </c>
      <c r="E142">
        <v>100</v>
      </c>
      <c r="F142">
        <v>120</v>
      </c>
      <c r="G142" s="64">
        <v>44958</v>
      </c>
      <c r="H142">
        <v>200</v>
      </c>
      <c r="I142">
        <v>200</v>
      </c>
      <c r="J142">
        <v>0</v>
      </c>
      <c r="K142">
        <v>1</v>
      </c>
      <c r="L142">
        <v>0</v>
      </c>
      <c r="M142">
        <v>0</v>
      </c>
      <c r="N142">
        <v>9</v>
      </c>
      <c r="O142">
        <v>1</v>
      </c>
      <c r="P142" s="69">
        <f t="shared" si="30"/>
        <v>0</v>
      </c>
      <c r="Q142" s="93"/>
      <c r="R142" s="81"/>
      <c r="S142" s="94"/>
      <c r="T142" s="81"/>
      <c r="U142" s="93"/>
      <c r="V142" s="81"/>
      <c r="W142" s="94"/>
      <c r="X142" s="81"/>
      <c r="Y142" s="93"/>
      <c r="Z142" s="81"/>
      <c r="AA142" s="94"/>
      <c r="AB142" s="81"/>
      <c r="AC142" s="93"/>
      <c r="AD142" s="81"/>
      <c r="AE142" s="94"/>
      <c r="AF142" s="81"/>
      <c r="AG142" s="93"/>
      <c r="AH142" s="81"/>
      <c r="AI142" s="94"/>
      <c r="AJ142" s="81"/>
      <c r="AK142" s="93"/>
      <c r="AL142" s="81"/>
      <c r="AM142" s="94"/>
      <c r="AN142" s="81"/>
      <c r="AO142" s="93"/>
      <c r="AP142" s="81"/>
      <c r="AQ142" s="94"/>
      <c r="AR142" s="81"/>
      <c r="AS142" s="94"/>
      <c r="AT142" s="306"/>
      <c r="AU142" s="94"/>
      <c r="AV142" s="306"/>
      <c r="AW142" s="94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">
        <v>970</v>
      </c>
      <c r="B143" t="s">
        <v>46</v>
      </c>
      <c r="C143" s="52" t="s">
        <v>971</v>
      </c>
      <c r="D143" s="52" t="s">
        <v>971</v>
      </c>
      <c r="E143">
        <v>114.69999999999999</v>
      </c>
      <c r="F143">
        <v>154.1</v>
      </c>
      <c r="G143" s="64">
        <v>45268</v>
      </c>
      <c r="H143">
        <v>360</v>
      </c>
      <c r="I143">
        <v>360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69">
        <f t="shared" si="30"/>
        <v>352.08333333333331</v>
      </c>
      <c r="Q143" s="86" t="s">
        <v>359</v>
      </c>
      <c r="R143" s="87">
        <v>0.9</v>
      </c>
      <c r="S143" s="82" t="s">
        <v>360</v>
      </c>
      <c r="T143" s="83">
        <v>2.6</v>
      </c>
      <c r="U143" s="82" t="s">
        <v>361</v>
      </c>
      <c r="V143" s="83">
        <v>1.8</v>
      </c>
      <c r="W143" s="82" t="s">
        <v>362</v>
      </c>
      <c r="X143" s="83">
        <v>3.2</v>
      </c>
      <c r="Y143" s="82" t="s">
        <v>363</v>
      </c>
      <c r="Z143" s="83">
        <v>1.9</v>
      </c>
      <c r="AA143" s="82" t="s">
        <v>364</v>
      </c>
      <c r="AB143" s="83">
        <v>2.8</v>
      </c>
      <c r="AC143" s="82" t="s">
        <v>972</v>
      </c>
      <c r="AD143" s="83">
        <v>3.7</v>
      </c>
      <c r="AE143" s="94"/>
      <c r="AF143" s="81"/>
      <c r="AG143" s="93"/>
      <c r="AH143" s="81"/>
      <c r="AI143" s="94"/>
      <c r="AJ143" s="81"/>
      <c r="AK143" s="93"/>
      <c r="AL143" s="81"/>
      <c r="AM143" s="94"/>
      <c r="AN143" s="81"/>
      <c r="AO143" s="93"/>
      <c r="AP143" s="81"/>
      <c r="AQ143" s="94"/>
      <c r="AR143" s="81"/>
      <c r="AS143" s="94"/>
      <c r="AT143" s="306"/>
      <c r="AU143" s="94"/>
      <c r="AV143" s="306"/>
      <c r="AW143" s="94"/>
      <c r="AX143" s="66">
        <f t="shared" si="26"/>
        <v>16.899999999999999</v>
      </c>
      <c r="AY143" s="78">
        <f t="shared" si="27"/>
        <v>352.08333333333331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290.74166666666667</v>
      </c>
      <c r="BC143" s="53">
        <f t="shared" si="29"/>
        <v>330.14166666666665</v>
      </c>
    </row>
    <row r="144" spans="1:55" ht="13.15">
      <c r="A144" t="s">
        <v>973</v>
      </c>
      <c r="B144" t="s">
        <v>181</v>
      </c>
      <c r="C144" s="52" t="s">
        <v>974</v>
      </c>
      <c r="D144" s="52" t="s">
        <v>974</v>
      </c>
      <c r="E144" t="s">
        <v>975</v>
      </c>
      <c r="F144" t="s">
        <v>975</v>
      </c>
      <c r="G144" s="64" t="s">
        <v>976</v>
      </c>
      <c r="H144">
        <v>200</v>
      </c>
      <c r="I144">
        <v>200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69">
        <f t="shared" si="30"/>
        <v>0</v>
      </c>
      <c r="Q144" s="93"/>
      <c r="R144" s="81"/>
      <c r="S144" s="94"/>
      <c r="T144" s="81"/>
      <c r="U144" s="93"/>
      <c r="V144" s="81"/>
      <c r="W144" s="94"/>
      <c r="X144" s="81"/>
      <c r="Y144" s="93"/>
      <c r="Z144" s="81"/>
      <c r="AA144" s="94"/>
      <c r="AB144" s="81"/>
      <c r="AC144" s="93"/>
      <c r="AD144" s="81"/>
      <c r="AE144" s="94"/>
      <c r="AF144" s="81"/>
      <c r="AG144" s="93"/>
      <c r="AH144" s="81"/>
      <c r="AI144" s="94"/>
      <c r="AJ144" s="81"/>
      <c r="AK144" s="93"/>
      <c r="AL144" s="81"/>
      <c r="AM144" s="94"/>
      <c r="AN144" s="81"/>
      <c r="AO144" s="93"/>
      <c r="AP144" s="81"/>
      <c r="AQ144" s="94"/>
      <c r="AR144" s="81"/>
      <c r="AS144" s="94"/>
      <c r="AT144" s="306"/>
      <c r="AU144" s="94"/>
      <c r="AV144" s="306"/>
      <c r="AW144" s="94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">
        <v>977</v>
      </c>
      <c r="B145" t="s">
        <v>181</v>
      </c>
      <c r="C145" s="52" t="s">
        <v>974</v>
      </c>
      <c r="D145" s="52" t="s">
        <v>974</v>
      </c>
      <c r="E145" t="s">
        <v>975</v>
      </c>
      <c r="F145" t="s">
        <v>975</v>
      </c>
      <c r="G145" s="64" t="s">
        <v>976</v>
      </c>
      <c r="H145">
        <v>200</v>
      </c>
      <c r="I145">
        <v>200</v>
      </c>
      <c r="J145">
        <v>0</v>
      </c>
      <c r="K145">
        <v>0</v>
      </c>
      <c r="L145">
        <v>8</v>
      </c>
      <c r="M145">
        <v>0</v>
      </c>
      <c r="N145">
        <v>0</v>
      </c>
      <c r="O145">
        <v>0</v>
      </c>
      <c r="P145" s="69">
        <f t="shared" si="30"/>
        <v>0</v>
      </c>
      <c r="Q145" s="93"/>
      <c r="R145" s="81"/>
      <c r="S145" s="94"/>
      <c r="T145" s="81"/>
      <c r="U145" s="93"/>
      <c r="V145" s="81"/>
      <c r="W145" s="94"/>
      <c r="X145" s="81"/>
      <c r="Y145" s="93"/>
      <c r="Z145" s="81"/>
      <c r="AA145" s="94"/>
      <c r="AB145" s="81"/>
      <c r="AC145" s="93"/>
      <c r="AD145" s="81"/>
      <c r="AE145" s="94"/>
      <c r="AF145" s="81"/>
      <c r="AG145" s="93"/>
      <c r="AH145" s="81"/>
      <c r="AI145" s="94"/>
      <c r="AJ145" s="81"/>
      <c r="AK145" s="93"/>
      <c r="AL145" s="81"/>
      <c r="AM145" s="94"/>
      <c r="AN145" s="81"/>
      <c r="AO145" s="93"/>
      <c r="AP145" s="81"/>
      <c r="AQ145" s="94"/>
      <c r="AR145" s="81"/>
      <c r="AS145" s="94"/>
      <c r="AT145" s="306"/>
      <c r="AU145" s="94"/>
      <c r="AV145" s="306"/>
      <c r="AW145" s="94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">
        <v>978</v>
      </c>
      <c r="B146" t="s">
        <v>81</v>
      </c>
      <c r="C146" s="52" t="s">
        <v>979</v>
      </c>
      <c r="D146" s="52" t="s">
        <v>979</v>
      </c>
      <c r="E146">
        <v>20</v>
      </c>
      <c r="F146">
        <v>20</v>
      </c>
      <c r="G146" s="64" t="s">
        <v>980</v>
      </c>
      <c r="H146">
        <v>300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69">
        <f t="shared" si="30"/>
        <v>0</v>
      </c>
      <c r="Q146" s="93"/>
      <c r="R146" s="81"/>
      <c r="S146" s="94"/>
      <c r="T146" s="81"/>
      <c r="U146" s="93"/>
      <c r="V146" s="81"/>
      <c r="W146" s="94"/>
      <c r="X146" s="81"/>
      <c r="Y146" s="93"/>
      <c r="Z146" s="81"/>
      <c r="AA146" s="94"/>
      <c r="AB146" s="81"/>
      <c r="AC146" s="93"/>
      <c r="AD146" s="81"/>
      <c r="AE146" s="94"/>
      <c r="AF146" s="81"/>
      <c r="AG146" s="93"/>
      <c r="AH146" s="81"/>
      <c r="AI146" s="94"/>
      <c r="AJ146" s="81"/>
      <c r="AK146" s="93"/>
      <c r="AL146" s="81"/>
      <c r="AM146" s="94"/>
      <c r="AN146" s="81"/>
      <c r="AO146" s="93"/>
      <c r="AP146" s="81"/>
      <c r="AQ146" s="94"/>
      <c r="AR146" s="81"/>
      <c r="AS146" s="94"/>
      <c r="AT146" s="306"/>
      <c r="AU146" s="94"/>
      <c r="AV146" s="306"/>
      <c r="AW146" s="94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">
        <v>981</v>
      </c>
      <c r="B147" t="s">
        <v>81</v>
      </c>
      <c r="C147" s="52" t="s">
        <v>979</v>
      </c>
      <c r="D147" s="52" t="s">
        <v>982</v>
      </c>
      <c r="E147">
        <v>20</v>
      </c>
      <c r="F147">
        <v>20</v>
      </c>
      <c r="G147" s="64" t="s">
        <v>980</v>
      </c>
      <c r="H147">
        <v>300</v>
      </c>
      <c r="I147">
        <v>300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 s="69">
        <f t="shared" ref="P147" si="32">SUM(AY147+BA147)</f>
        <v>0</v>
      </c>
      <c r="Q147" s="93"/>
      <c r="R147" s="81"/>
      <c r="S147" s="94"/>
      <c r="T147" s="81"/>
      <c r="U147" s="93"/>
      <c r="V147" s="81"/>
      <c r="W147" s="94"/>
      <c r="X147" s="81"/>
      <c r="Y147" s="93"/>
      <c r="Z147" s="81"/>
      <c r="AA147" s="94"/>
      <c r="AB147" s="81"/>
      <c r="AC147" s="93"/>
      <c r="AD147" s="81"/>
      <c r="AE147" s="94"/>
      <c r="AF147" s="81"/>
      <c r="AG147" s="93"/>
      <c r="AH147" s="81"/>
      <c r="AI147" s="94"/>
      <c r="AJ147" s="81"/>
      <c r="AK147" s="93"/>
      <c r="AL147" s="81"/>
      <c r="AM147" s="94"/>
      <c r="AN147" s="81"/>
      <c r="AO147" s="93"/>
      <c r="AP147" s="81"/>
      <c r="AQ147" s="94"/>
      <c r="AR147" s="81"/>
      <c r="AS147" s="94"/>
      <c r="AT147" s="306"/>
      <c r="AU147" s="94"/>
      <c r="AV147" s="306"/>
      <c r="AW147" s="94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">
        <v>983</v>
      </c>
      <c r="B148" s="35" t="s">
        <v>91</v>
      </c>
      <c r="C148" s="52" t="s">
        <v>984</v>
      </c>
      <c r="D148" s="52" t="s">
        <v>984</v>
      </c>
      <c r="E148">
        <v>100</v>
      </c>
      <c r="F148">
        <v>100</v>
      </c>
      <c r="G148" s="64">
        <v>44998</v>
      </c>
      <c r="H148">
        <v>300</v>
      </c>
      <c r="I148">
        <v>300</v>
      </c>
      <c r="J148">
        <v>2</v>
      </c>
      <c r="K148">
        <v>9</v>
      </c>
      <c r="L148">
        <v>0</v>
      </c>
      <c r="M148">
        <v>7</v>
      </c>
      <c r="N148">
        <v>12</v>
      </c>
      <c r="O148">
        <v>0</v>
      </c>
      <c r="P148" s="69">
        <f t="shared" si="30"/>
        <v>281.25</v>
      </c>
      <c r="Q148" s="82" t="s">
        <v>479</v>
      </c>
      <c r="R148" s="83">
        <v>4.5</v>
      </c>
      <c r="S148" s="82" t="s">
        <v>480</v>
      </c>
      <c r="T148" s="83">
        <v>4.5</v>
      </c>
      <c r="U148" s="82" t="s">
        <v>481</v>
      </c>
      <c r="V148" s="83">
        <v>4.5</v>
      </c>
      <c r="W148" s="94"/>
      <c r="X148" s="81"/>
      <c r="Y148" s="93"/>
      <c r="Z148" s="81"/>
      <c r="AA148" s="94"/>
      <c r="AB148" s="81"/>
      <c r="AC148" s="93"/>
      <c r="AD148" s="81"/>
      <c r="AE148" s="94"/>
      <c r="AF148" s="81"/>
      <c r="AG148" s="93"/>
      <c r="AH148" s="81"/>
      <c r="AI148" s="94"/>
      <c r="AJ148" s="81"/>
      <c r="AK148" s="93"/>
      <c r="AL148" s="81"/>
      <c r="AM148" s="94"/>
      <c r="AN148" s="81"/>
      <c r="AO148" s="93"/>
      <c r="AP148" s="81"/>
      <c r="AQ148" s="94"/>
      <c r="AR148" s="81"/>
      <c r="AS148" s="94"/>
      <c r="AT148" s="306"/>
      <c r="AU148" s="94"/>
      <c r="AV148" s="306"/>
      <c r="AW148" s="94"/>
      <c r="AX148" s="66">
        <f t="shared" si="26"/>
        <v>13.5</v>
      </c>
      <c r="AY148" s="78">
        <f t="shared" si="27"/>
        <v>281.25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240.625</v>
      </c>
      <c r="BC148" s="53">
        <f t="shared" si="29"/>
        <v>240.625</v>
      </c>
    </row>
    <row r="149" spans="1:55" ht="13.15">
      <c r="A149" t="s">
        <v>985</v>
      </c>
      <c r="B149" s="35" t="s">
        <v>91</v>
      </c>
      <c r="C149" s="52" t="s">
        <v>984</v>
      </c>
      <c r="D149" s="52" t="s">
        <v>984</v>
      </c>
      <c r="E149">
        <v>100</v>
      </c>
      <c r="F149">
        <v>100</v>
      </c>
      <c r="G149" s="64" t="s">
        <v>986</v>
      </c>
      <c r="H149">
        <v>300</v>
      </c>
      <c r="I149">
        <v>300</v>
      </c>
      <c r="J149">
        <v>2</v>
      </c>
      <c r="K149">
        <v>1</v>
      </c>
      <c r="L149">
        <v>0</v>
      </c>
      <c r="M149">
        <v>12</v>
      </c>
      <c r="N149">
        <v>9</v>
      </c>
      <c r="O149">
        <v>0</v>
      </c>
      <c r="P149" s="69">
        <f t="shared" si="30"/>
        <v>20.833333333333332</v>
      </c>
      <c r="Q149" s="104" t="s">
        <v>483</v>
      </c>
      <c r="R149" s="103">
        <v>1</v>
      </c>
      <c r="S149" s="94"/>
      <c r="T149" s="81"/>
      <c r="U149" s="93"/>
      <c r="V149" s="81"/>
      <c r="W149" s="94"/>
      <c r="X149" s="81"/>
      <c r="Y149" s="93"/>
      <c r="Z149" s="81"/>
      <c r="AA149" s="94"/>
      <c r="AB149" s="81"/>
      <c r="AC149" s="93"/>
      <c r="AD149" s="81"/>
      <c r="AE149" s="94"/>
      <c r="AF149" s="81"/>
      <c r="AG149" s="93"/>
      <c r="AH149" s="81"/>
      <c r="AI149" s="94"/>
      <c r="AJ149" s="81"/>
      <c r="AK149" s="93"/>
      <c r="AL149" s="81"/>
      <c r="AM149" s="94"/>
      <c r="AN149" s="81"/>
      <c r="AO149" s="93"/>
      <c r="AP149" s="81"/>
      <c r="AQ149" s="94"/>
      <c r="AR149" s="81"/>
      <c r="AS149" s="94"/>
      <c r="AT149" s="306"/>
      <c r="AU149" s="94"/>
      <c r="AV149" s="306"/>
      <c r="AW149" s="94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">
        <v>987</v>
      </c>
      <c r="B150" s="35" t="s">
        <v>91</v>
      </c>
      <c r="C150" s="52" t="s">
        <v>984</v>
      </c>
      <c r="D150" s="52" t="s">
        <v>984</v>
      </c>
      <c r="E150">
        <v>200</v>
      </c>
      <c r="F150">
        <v>200</v>
      </c>
      <c r="G150" s="64" t="s">
        <v>986</v>
      </c>
      <c r="H150">
        <v>300</v>
      </c>
      <c r="I150">
        <v>300</v>
      </c>
      <c r="J150">
        <v>6</v>
      </c>
      <c r="K150">
        <v>4</v>
      </c>
      <c r="L150">
        <v>0</v>
      </c>
      <c r="M150">
        <v>20</v>
      </c>
      <c r="N150">
        <v>6</v>
      </c>
      <c r="O150">
        <v>0</v>
      </c>
      <c r="P150" s="69">
        <f t="shared" si="30"/>
        <v>41.666666666666664</v>
      </c>
      <c r="Q150" s="104" t="s">
        <v>482</v>
      </c>
      <c r="R150" s="103">
        <v>1</v>
      </c>
      <c r="S150" s="104" t="s">
        <v>482</v>
      </c>
      <c r="T150" s="103">
        <v>1</v>
      </c>
      <c r="U150" s="93"/>
      <c r="V150" s="81"/>
      <c r="W150" s="94"/>
      <c r="X150" s="81"/>
      <c r="Y150" s="93"/>
      <c r="Z150" s="81"/>
      <c r="AA150" s="94"/>
      <c r="AB150" s="81"/>
      <c r="AC150" s="93"/>
      <c r="AD150" s="81"/>
      <c r="AE150" s="94"/>
      <c r="AF150" s="81"/>
      <c r="AG150" s="93"/>
      <c r="AH150" s="81"/>
      <c r="AI150" s="94"/>
      <c r="AJ150" s="81"/>
      <c r="AK150" s="93"/>
      <c r="AL150" s="81"/>
      <c r="AM150" s="94"/>
      <c r="AN150" s="81"/>
      <c r="AO150" s="93"/>
      <c r="AP150" s="81"/>
      <c r="AQ150" s="94"/>
      <c r="AR150" s="81"/>
      <c r="AS150" s="94"/>
      <c r="AT150" s="306"/>
      <c r="AU150" s="94"/>
      <c r="AV150" s="306"/>
      <c r="AW150" s="94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">
        <v>988</v>
      </c>
      <c r="B151" t="s">
        <v>100</v>
      </c>
      <c r="C151" s="52" t="s">
        <v>989</v>
      </c>
      <c r="D151" s="52" t="s">
        <v>989</v>
      </c>
      <c r="E151">
        <v>100</v>
      </c>
      <c r="F151">
        <v>100</v>
      </c>
      <c r="G151" s="64">
        <v>45105</v>
      </c>
      <c r="H151">
        <v>300</v>
      </c>
      <c r="I151">
        <v>300</v>
      </c>
      <c r="J151">
        <v>5</v>
      </c>
      <c r="K151">
        <v>3</v>
      </c>
      <c r="L151">
        <v>0</v>
      </c>
      <c r="M151">
        <v>11</v>
      </c>
      <c r="N151">
        <v>6</v>
      </c>
      <c r="O151">
        <v>0</v>
      </c>
      <c r="P151" s="69">
        <f t="shared" si="30"/>
        <v>20.833333333333332</v>
      </c>
      <c r="Q151" s="82" t="s">
        <v>491</v>
      </c>
      <c r="R151" s="83">
        <v>1</v>
      </c>
      <c r="S151" s="94"/>
      <c r="T151" s="81"/>
      <c r="U151" s="93"/>
      <c r="V151" s="81"/>
      <c r="W151" s="94"/>
      <c r="X151" s="81"/>
      <c r="Y151" s="93"/>
      <c r="Z151" s="81"/>
      <c r="AA151" s="94"/>
      <c r="AB151" s="81"/>
      <c r="AC151" s="93"/>
      <c r="AD151" s="81"/>
      <c r="AE151" s="94"/>
      <c r="AF151" s="81"/>
      <c r="AG151" s="93"/>
      <c r="AH151" s="81"/>
      <c r="AI151" s="94"/>
      <c r="AJ151" s="81"/>
      <c r="AK151" s="93"/>
      <c r="AL151" s="81"/>
      <c r="AM151" s="94"/>
      <c r="AN151" s="81"/>
      <c r="AO151" s="93"/>
      <c r="AP151" s="81"/>
      <c r="AQ151" s="94"/>
      <c r="AR151" s="81"/>
      <c r="AS151" s="94"/>
      <c r="AT151" s="306"/>
      <c r="AU151" s="94"/>
      <c r="AV151" s="306"/>
      <c r="AW151" s="94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">
        <v>990</v>
      </c>
      <c r="B152" t="s">
        <v>122</v>
      </c>
      <c r="C152" s="52" t="s">
        <v>991</v>
      </c>
      <c r="D152" s="52" t="s">
        <v>991</v>
      </c>
      <c r="E152">
        <v>0</v>
      </c>
      <c r="F152">
        <v>0</v>
      </c>
      <c r="G152" s="64" t="s">
        <v>992</v>
      </c>
      <c r="H152">
        <v>300</v>
      </c>
      <c r="I152">
        <v>300</v>
      </c>
      <c r="J152">
        <v>10</v>
      </c>
      <c r="K152">
        <v>10</v>
      </c>
      <c r="L152">
        <v>6</v>
      </c>
      <c r="M152">
        <v>0</v>
      </c>
      <c r="N152">
        <v>0</v>
      </c>
      <c r="O152">
        <v>15</v>
      </c>
      <c r="P152" s="69">
        <f t="shared" si="30"/>
        <v>20.833333333333332</v>
      </c>
      <c r="Q152" s="104" t="s">
        <v>993</v>
      </c>
      <c r="R152" s="103">
        <v>1</v>
      </c>
      <c r="S152" s="94"/>
      <c r="T152" s="81"/>
      <c r="U152" s="93"/>
      <c r="V152" s="81"/>
      <c r="W152" s="94"/>
      <c r="X152" s="81"/>
      <c r="Y152" s="93"/>
      <c r="Z152" s="81"/>
      <c r="AA152" s="94"/>
      <c r="AB152" s="81"/>
      <c r="AC152" s="93"/>
      <c r="AD152" s="81"/>
      <c r="AE152" s="94"/>
      <c r="AF152" s="81"/>
      <c r="AG152" s="93"/>
      <c r="AH152" s="81"/>
      <c r="AI152" s="94"/>
      <c r="AJ152" s="81"/>
      <c r="AK152" s="93"/>
      <c r="AL152" s="81"/>
      <c r="AM152" s="94"/>
      <c r="AN152" s="81"/>
      <c r="AO152" s="93"/>
      <c r="AP152" s="81"/>
      <c r="AQ152" s="94"/>
      <c r="AR152" s="81"/>
      <c r="AS152" s="94"/>
      <c r="AT152" s="306"/>
      <c r="AU152" s="94"/>
      <c r="AV152" s="306"/>
      <c r="AW152" s="94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">
        <v>994</v>
      </c>
      <c r="B153" t="s">
        <v>122</v>
      </c>
      <c r="C153" s="52" t="s">
        <v>991</v>
      </c>
      <c r="D153" s="52" t="s">
        <v>991</v>
      </c>
      <c r="E153">
        <v>15</v>
      </c>
      <c r="F153">
        <v>15</v>
      </c>
      <c r="G153" s="64">
        <v>42720</v>
      </c>
      <c r="H153">
        <v>300</v>
      </c>
      <c r="I153">
        <v>300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61</v>
      </c>
      <c r="P153" s="69">
        <f t="shared" si="30"/>
        <v>0</v>
      </c>
      <c r="Q153" s="93"/>
      <c r="R153" s="81"/>
      <c r="S153" s="94"/>
      <c r="T153" s="81"/>
      <c r="U153" s="93"/>
      <c r="V153" s="81"/>
      <c r="W153" s="94"/>
      <c r="X153" s="81"/>
      <c r="Y153" s="93"/>
      <c r="Z153" s="81"/>
      <c r="AA153" s="94"/>
      <c r="AB153" s="81"/>
      <c r="AC153" s="93"/>
      <c r="AD153" s="81"/>
      <c r="AE153" s="94"/>
      <c r="AF153" s="81"/>
      <c r="AG153" s="93"/>
      <c r="AH153" s="81"/>
      <c r="AI153" s="94"/>
      <c r="AJ153" s="81"/>
      <c r="AK153" s="93"/>
      <c r="AL153" s="81"/>
      <c r="AM153" s="94"/>
      <c r="AN153" s="81"/>
      <c r="AO153" s="93"/>
      <c r="AP153" s="81"/>
      <c r="AQ153" s="94"/>
      <c r="AR153" s="81"/>
      <c r="AS153" s="94"/>
      <c r="AT153" s="306"/>
      <c r="AU153" s="94"/>
      <c r="AV153" s="306"/>
      <c r="AW153" s="94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">
        <v>995</v>
      </c>
      <c r="B154" t="s">
        <v>164</v>
      </c>
      <c r="C154" s="52" t="s">
        <v>996</v>
      </c>
      <c r="D154" s="52" t="s">
        <v>996</v>
      </c>
      <c r="E154">
        <v>5</v>
      </c>
      <c r="F154" t="s">
        <v>975</v>
      </c>
      <c r="G154" s="64">
        <v>44119</v>
      </c>
      <c r="H154">
        <v>32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 s="69">
        <f t="shared" si="30"/>
        <v>0</v>
      </c>
      <c r="Q154" s="93"/>
      <c r="R154" s="81"/>
      <c r="S154" s="94"/>
      <c r="T154" s="81"/>
      <c r="U154" s="93"/>
      <c r="V154" s="81"/>
      <c r="W154" s="94"/>
      <c r="X154" s="81"/>
      <c r="Y154" s="93"/>
      <c r="Z154" s="81"/>
      <c r="AA154" s="94"/>
      <c r="AB154" s="81"/>
      <c r="AC154" s="93"/>
      <c r="AD154" s="81"/>
      <c r="AE154" s="94"/>
      <c r="AF154" s="81"/>
      <c r="AG154" s="93"/>
      <c r="AH154" s="81"/>
      <c r="AI154" s="94"/>
      <c r="AJ154" s="81"/>
      <c r="AK154" s="93"/>
      <c r="AL154" s="81"/>
      <c r="AM154" s="94"/>
      <c r="AN154" s="81"/>
      <c r="AO154" s="93"/>
      <c r="AP154" s="81"/>
      <c r="AQ154" s="94"/>
      <c r="AR154" s="81"/>
      <c r="AS154" s="94"/>
      <c r="AT154" s="306"/>
      <c r="AU154" s="94"/>
      <c r="AV154" s="306"/>
      <c r="AW154" s="94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">
        <v>997</v>
      </c>
      <c r="B155" t="s">
        <v>164</v>
      </c>
      <c r="C155" s="52" t="s">
        <v>996</v>
      </c>
      <c r="D155" s="52" t="s">
        <v>996</v>
      </c>
      <c r="E155" t="s">
        <v>998</v>
      </c>
      <c r="F155" t="s">
        <v>998</v>
      </c>
      <c r="G155" s="64">
        <v>44119</v>
      </c>
      <c r="H155">
        <v>63</v>
      </c>
      <c r="I155">
        <v>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69">
        <f t="shared" si="30"/>
        <v>0</v>
      </c>
      <c r="Q155" s="93"/>
      <c r="R155" s="81"/>
      <c r="S155" s="94"/>
      <c r="T155" s="81"/>
      <c r="U155" s="93"/>
      <c r="V155" s="81"/>
      <c r="W155" s="94"/>
      <c r="X155" s="81"/>
      <c r="Y155" s="93"/>
      <c r="Z155" s="81"/>
      <c r="AA155" s="94"/>
      <c r="AB155" s="81"/>
      <c r="AC155" s="93"/>
      <c r="AD155" s="81"/>
      <c r="AE155" s="94"/>
      <c r="AF155" s="81"/>
      <c r="AG155" s="93"/>
      <c r="AH155" s="81"/>
      <c r="AI155" s="94"/>
      <c r="AJ155" s="81"/>
      <c r="AK155" s="93"/>
      <c r="AL155" s="81"/>
      <c r="AM155" s="94"/>
      <c r="AN155" s="81"/>
      <c r="AO155" s="93"/>
      <c r="AP155" s="81"/>
      <c r="AQ155" s="94"/>
      <c r="AR155" s="81"/>
      <c r="AS155" s="94"/>
      <c r="AT155" s="306"/>
      <c r="AU155" s="94"/>
      <c r="AV155" s="306"/>
      <c r="AW155" s="94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">
        <v>999</v>
      </c>
      <c r="B156" t="s">
        <v>155</v>
      </c>
      <c r="C156" s="52" t="s">
        <v>1000</v>
      </c>
      <c r="D156" s="52" t="s">
        <v>1000</v>
      </c>
      <c r="E156">
        <v>31.8</v>
      </c>
      <c r="F156">
        <v>31.400000000000002</v>
      </c>
      <c r="G156" s="64">
        <v>45273</v>
      </c>
      <c r="H156">
        <v>360</v>
      </c>
      <c r="I156">
        <v>360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69">
        <f t="shared" si="30"/>
        <v>252.08333333333334</v>
      </c>
      <c r="Q156" s="82" t="s">
        <v>505</v>
      </c>
      <c r="R156" s="287">
        <v>1.6</v>
      </c>
      <c r="S156" s="82" t="s">
        <v>580</v>
      </c>
      <c r="T156" s="83">
        <v>5</v>
      </c>
      <c r="U156" s="104" t="s">
        <v>583</v>
      </c>
      <c r="V156" s="103">
        <v>5.5</v>
      </c>
      <c r="W156" s="94"/>
      <c r="X156" s="81"/>
      <c r="Y156" s="93"/>
      <c r="Z156" s="81"/>
      <c r="AA156" s="94"/>
      <c r="AB156" s="81"/>
      <c r="AC156" s="93"/>
      <c r="AD156" s="81"/>
      <c r="AE156" s="94"/>
      <c r="AF156" s="81"/>
      <c r="AG156" s="93"/>
      <c r="AH156" s="81"/>
      <c r="AI156" s="94"/>
      <c r="AJ156" s="81"/>
      <c r="AK156" s="93"/>
      <c r="AL156" s="81"/>
      <c r="AM156" s="94"/>
      <c r="AN156" s="81"/>
      <c r="AO156" s="93"/>
      <c r="AP156" s="81"/>
      <c r="AQ156" s="94"/>
      <c r="AR156" s="81"/>
      <c r="AS156" s="94"/>
      <c r="AT156" s="306"/>
      <c r="AU156" s="94"/>
      <c r="AV156" s="306"/>
      <c r="AW156" s="94"/>
      <c r="AX156" s="66">
        <f t="shared" si="26"/>
        <v>12.1</v>
      </c>
      <c r="AY156" s="78">
        <f t="shared" si="27"/>
        <v>252.08333333333334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157.84166666666667</v>
      </c>
      <c r="BC156" s="53">
        <f t="shared" si="29"/>
        <v>157.44166666666666</v>
      </c>
    </row>
    <row r="157" spans="1:55" ht="13.15">
      <c r="A157" t="s">
        <v>1001</v>
      </c>
      <c r="B157" t="s">
        <v>155</v>
      </c>
      <c r="C157" s="52" t="s">
        <v>1000</v>
      </c>
      <c r="D157" s="52" t="s">
        <v>1000</v>
      </c>
      <c r="E157">
        <v>100</v>
      </c>
      <c r="F157">
        <v>100</v>
      </c>
      <c r="G157" s="64">
        <v>45014</v>
      </c>
      <c r="H157">
        <v>300</v>
      </c>
      <c r="I157">
        <v>300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42</v>
      </c>
      <c r="P157" s="69">
        <f t="shared" si="30"/>
        <v>20.833333333333332</v>
      </c>
      <c r="Q157" s="104" t="s">
        <v>582</v>
      </c>
      <c r="R157" s="103">
        <v>1</v>
      </c>
      <c r="S157" s="94"/>
      <c r="T157" s="81"/>
      <c r="U157" s="93"/>
      <c r="V157" s="81"/>
      <c r="W157" s="94"/>
      <c r="X157" s="81"/>
      <c r="Y157" s="93"/>
      <c r="Z157" s="81"/>
      <c r="AA157" s="94"/>
      <c r="AB157" s="81"/>
      <c r="AC157" s="93"/>
      <c r="AD157" s="81"/>
      <c r="AE157" s="94"/>
      <c r="AF157" s="81"/>
      <c r="AG157" s="93"/>
      <c r="AH157" s="81"/>
      <c r="AI157" s="94"/>
      <c r="AJ157" s="81"/>
      <c r="AK157" s="93"/>
      <c r="AL157" s="81"/>
      <c r="AM157" s="94"/>
      <c r="AN157" s="81"/>
      <c r="AO157" s="93"/>
      <c r="AP157" s="81"/>
      <c r="AQ157" s="94"/>
      <c r="AR157" s="81"/>
      <c r="AS157" s="94"/>
      <c r="AT157" s="306"/>
      <c r="AU157" s="94"/>
      <c r="AV157" s="306"/>
      <c r="AW157" s="94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">
        <v>1002</v>
      </c>
      <c r="B158" t="s">
        <v>155</v>
      </c>
      <c r="C158" s="52" t="s">
        <v>1000</v>
      </c>
      <c r="D158" s="52" t="s">
        <v>1000</v>
      </c>
      <c r="E158">
        <v>265</v>
      </c>
      <c r="F158">
        <v>245</v>
      </c>
      <c r="G158" s="64">
        <v>45014</v>
      </c>
      <c r="H158">
        <v>300</v>
      </c>
      <c r="I158">
        <v>300</v>
      </c>
      <c r="J158">
        <v>1</v>
      </c>
      <c r="K158">
        <v>3</v>
      </c>
      <c r="L158">
        <v>0</v>
      </c>
      <c r="M158">
        <v>1</v>
      </c>
      <c r="N158">
        <v>7</v>
      </c>
      <c r="O158">
        <v>0</v>
      </c>
      <c r="P158" s="69">
        <f t="shared" si="30"/>
        <v>20.833333333333332</v>
      </c>
      <c r="Q158" s="104" t="s">
        <v>581</v>
      </c>
      <c r="R158" s="103">
        <v>1</v>
      </c>
      <c r="S158" s="94"/>
      <c r="T158" s="81"/>
      <c r="U158" s="93"/>
      <c r="V158" s="81"/>
      <c r="W158" s="94"/>
      <c r="X158" s="81"/>
      <c r="Y158" s="93"/>
      <c r="Z158" s="81"/>
      <c r="AA158" s="94"/>
      <c r="AB158" s="81"/>
      <c r="AC158" s="93"/>
      <c r="AD158" s="81"/>
      <c r="AE158" s="94"/>
      <c r="AF158" s="81"/>
      <c r="AG158" s="93"/>
      <c r="AH158" s="81"/>
      <c r="AI158" s="94"/>
      <c r="AJ158" s="81"/>
      <c r="AK158" s="93"/>
      <c r="AL158" s="81"/>
      <c r="AM158" s="94"/>
      <c r="AN158" s="81"/>
      <c r="AO158" s="93"/>
      <c r="AP158" s="81"/>
      <c r="AQ158" s="94"/>
      <c r="AR158" s="81"/>
      <c r="AS158" s="94"/>
      <c r="AT158" s="306"/>
      <c r="AU158" s="94"/>
      <c r="AV158" s="306"/>
      <c r="AW158" s="94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">
        <v>1003</v>
      </c>
      <c r="B159" t="s">
        <v>182</v>
      </c>
      <c r="C159" s="52" t="s">
        <v>1004</v>
      </c>
      <c r="D159" s="52" t="s">
        <v>1004</v>
      </c>
      <c r="E159">
        <v>140</v>
      </c>
      <c r="F159">
        <v>140</v>
      </c>
      <c r="G159" s="64">
        <v>45005</v>
      </c>
      <c r="H159">
        <v>300</v>
      </c>
      <c r="I159">
        <v>300</v>
      </c>
      <c r="J159">
        <v>5</v>
      </c>
      <c r="K159">
        <v>0</v>
      </c>
      <c r="L159">
        <v>3</v>
      </c>
      <c r="M159">
        <v>8</v>
      </c>
      <c r="N159">
        <v>6</v>
      </c>
      <c r="O159">
        <v>0</v>
      </c>
      <c r="P159" s="69">
        <f t="shared" si="30"/>
        <v>20.833333333333332</v>
      </c>
      <c r="Q159" s="266" t="s">
        <v>644</v>
      </c>
      <c r="R159" s="267">
        <v>1</v>
      </c>
      <c r="S159" s="94" t="s">
        <v>1005</v>
      </c>
      <c r="T159" s="81"/>
      <c r="U159" s="93"/>
      <c r="V159" s="81"/>
      <c r="W159" s="94"/>
      <c r="X159" s="81"/>
      <c r="Y159" s="93"/>
      <c r="Z159" s="81"/>
      <c r="AA159" s="94"/>
      <c r="AB159" s="81"/>
      <c r="AC159" s="93"/>
      <c r="AD159" s="81"/>
      <c r="AE159" s="94"/>
      <c r="AF159" s="81"/>
      <c r="AG159" s="93"/>
      <c r="AH159" s="81"/>
      <c r="AI159" s="94"/>
      <c r="AJ159" s="81"/>
      <c r="AK159" s="93"/>
      <c r="AL159" s="81"/>
      <c r="AM159" s="94"/>
      <c r="AN159" s="81"/>
      <c r="AO159" s="93"/>
      <c r="AP159" s="81"/>
      <c r="AQ159" s="94"/>
      <c r="AR159" s="81"/>
      <c r="AS159" s="94"/>
      <c r="AT159" s="306"/>
      <c r="AU159" s="94"/>
      <c r="AV159" s="306"/>
      <c r="AW159" s="94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">
        <v>1006</v>
      </c>
      <c r="B160" t="s">
        <v>182</v>
      </c>
      <c r="C160" s="52" t="s">
        <v>1004</v>
      </c>
      <c r="D160" s="52" t="s">
        <v>1004</v>
      </c>
      <c r="E160">
        <v>120</v>
      </c>
      <c r="F160">
        <v>120</v>
      </c>
      <c r="G160" s="64">
        <v>45005</v>
      </c>
      <c r="H160">
        <v>300</v>
      </c>
      <c r="I160">
        <v>300</v>
      </c>
      <c r="J160">
        <v>6</v>
      </c>
      <c r="K160">
        <v>0</v>
      </c>
      <c r="L160">
        <v>1</v>
      </c>
      <c r="M160">
        <v>8</v>
      </c>
      <c r="N160">
        <v>6</v>
      </c>
      <c r="O160">
        <v>0</v>
      </c>
      <c r="P160" s="69">
        <f t="shared" si="30"/>
        <v>0</v>
      </c>
      <c r="Q160" s="93"/>
      <c r="R160" s="81"/>
      <c r="S160" s="94"/>
      <c r="T160" s="81"/>
      <c r="U160" s="93"/>
      <c r="V160" s="81"/>
      <c r="W160" s="94"/>
      <c r="X160" s="81"/>
      <c r="Y160" s="93"/>
      <c r="Z160" s="81"/>
      <c r="AA160" s="94"/>
      <c r="AB160" s="81"/>
      <c r="AC160" s="93"/>
      <c r="AD160" s="81"/>
      <c r="AE160" s="94"/>
      <c r="AF160" s="81"/>
      <c r="AG160" s="93"/>
      <c r="AH160" s="81"/>
      <c r="AI160" s="94"/>
      <c r="AJ160" s="81"/>
      <c r="AK160" s="93"/>
      <c r="AL160" s="81"/>
      <c r="AM160" s="94"/>
      <c r="AN160" s="81"/>
      <c r="AO160" s="93"/>
      <c r="AP160" s="81"/>
      <c r="AQ160" s="94"/>
      <c r="AR160" s="81"/>
      <c r="AS160" s="94"/>
      <c r="AT160" s="306"/>
      <c r="AU160" s="94"/>
      <c r="AV160" s="306"/>
      <c r="AW160" s="94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">
        <v>1007</v>
      </c>
      <c r="B161" t="s">
        <v>183</v>
      </c>
      <c r="C161" s="52" t="s">
        <v>1008</v>
      </c>
      <c r="D161" s="52" t="s">
        <v>1008</v>
      </c>
      <c r="E161">
        <v>25</v>
      </c>
      <c r="F161">
        <v>25</v>
      </c>
      <c r="G161" s="64" t="s">
        <v>1009</v>
      </c>
      <c r="H161">
        <v>300</v>
      </c>
      <c r="I161">
        <v>300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39</v>
      </c>
      <c r="P161" s="69">
        <f t="shared" si="30"/>
        <v>0</v>
      </c>
      <c r="Q161" s="93"/>
      <c r="R161" s="81"/>
      <c r="S161" s="94"/>
      <c r="T161" s="81"/>
      <c r="U161" s="93"/>
      <c r="V161" s="81"/>
      <c r="W161" s="94"/>
      <c r="X161" s="81"/>
      <c r="Y161" s="93"/>
      <c r="Z161" s="81"/>
      <c r="AA161" s="94"/>
      <c r="AB161" s="81"/>
      <c r="AC161" s="93"/>
      <c r="AD161" s="81"/>
      <c r="AE161" s="94"/>
      <c r="AF161" s="81"/>
      <c r="AG161" s="93"/>
      <c r="AH161" s="81"/>
      <c r="AI161" s="94"/>
      <c r="AJ161" s="81"/>
      <c r="AK161" s="93"/>
      <c r="AL161" s="81"/>
      <c r="AM161" s="94"/>
      <c r="AN161" s="81"/>
      <c r="AO161" s="93"/>
      <c r="AP161" s="81"/>
      <c r="AQ161" s="94"/>
      <c r="AR161" s="81"/>
      <c r="AS161" s="94"/>
      <c r="AT161" s="306"/>
      <c r="AU161" s="94"/>
      <c r="AV161" s="306"/>
      <c r="AW161" s="94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">
        <v>1010</v>
      </c>
      <c r="B162" t="s">
        <v>66</v>
      </c>
      <c r="C162" s="52" t="s">
        <v>1011</v>
      </c>
      <c r="D162" s="52" t="s">
        <v>1011</v>
      </c>
      <c r="E162">
        <v>100</v>
      </c>
      <c r="F162">
        <v>110</v>
      </c>
      <c r="G162" s="64">
        <v>44959</v>
      </c>
      <c r="H162">
        <v>300</v>
      </c>
      <c r="I162">
        <v>300</v>
      </c>
      <c r="J162">
        <v>0</v>
      </c>
      <c r="K162">
        <v>2</v>
      </c>
      <c r="L162">
        <v>10</v>
      </c>
      <c r="M162">
        <v>5</v>
      </c>
      <c r="N162">
        <v>0</v>
      </c>
      <c r="O162">
        <v>25</v>
      </c>
      <c r="P162" s="69">
        <f t="shared" si="30"/>
        <v>41.666666666666664</v>
      </c>
      <c r="Q162" s="86" t="s">
        <v>416</v>
      </c>
      <c r="R162" s="87">
        <v>2</v>
      </c>
      <c r="S162" s="102"/>
      <c r="T162" s="103"/>
      <c r="U162" s="93"/>
      <c r="V162" s="81"/>
      <c r="W162" s="94"/>
      <c r="X162" s="81"/>
      <c r="Y162" s="93"/>
      <c r="Z162" s="81"/>
      <c r="AA162" s="94"/>
      <c r="AB162" s="81"/>
      <c r="AC162" s="93"/>
      <c r="AD162" s="81"/>
      <c r="AE162" s="94"/>
      <c r="AF162" s="81"/>
      <c r="AG162" s="93"/>
      <c r="AH162" s="81"/>
      <c r="AI162" s="94"/>
      <c r="AJ162" s="81"/>
      <c r="AK162" s="93"/>
      <c r="AL162" s="81"/>
      <c r="AM162" s="94"/>
      <c r="AN162" s="81"/>
      <c r="AO162" s="93"/>
      <c r="AP162" s="81"/>
      <c r="AQ162" s="94"/>
      <c r="AR162" s="81"/>
      <c r="AS162" s="94"/>
      <c r="AT162" s="306"/>
      <c r="AU162" s="94"/>
      <c r="AV162" s="306"/>
      <c r="AW162" s="94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">
        <v>1012</v>
      </c>
      <c r="B163" t="s">
        <v>66</v>
      </c>
      <c r="C163" s="52" t="s">
        <v>1011</v>
      </c>
      <c r="D163" s="52" t="s">
        <v>1011</v>
      </c>
      <c r="E163">
        <v>170</v>
      </c>
      <c r="F163">
        <v>180</v>
      </c>
      <c r="G163" s="64">
        <v>44959</v>
      </c>
      <c r="H163">
        <v>300</v>
      </c>
      <c r="I163">
        <v>300</v>
      </c>
      <c r="J163">
        <v>0</v>
      </c>
      <c r="K163">
        <v>1</v>
      </c>
      <c r="L163">
        <v>0</v>
      </c>
      <c r="M163">
        <v>5</v>
      </c>
      <c r="N163">
        <v>0</v>
      </c>
      <c r="O163">
        <v>0</v>
      </c>
      <c r="P163" s="69">
        <f t="shared" si="30"/>
        <v>0</v>
      </c>
      <c r="Q163" s="93"/>
      <c r="R163" s="81"/>
      <c r="S163" s="94"/>
      <c r="T163" s="81"/>
      <c r="U163" s="93"/>
      <c r="V163" s="81"/>
      <c r="W163" s="94"/>
      <c r="X163" s="81"/>
      <c r="Y163" s="93"/>
      <c r="Z163" s="81"/>
      <c r="AA163" s="94"/>
      <c r="AB163" s="81"/>
      <c r="AC163" s="93"/>
      <c r="AD163" s="81"/>
      <c r="AE163" s="94"/>
      <c r="AF163" s="81"/>
      <c r="AG163" s="93"/>
      <c r="AH163" s="81"/>
      <c r="AI163" s="94"/>
      <c r="AJ163" s="81"/>
      <c r="AK163" s="93"/>
      <c r="AL163" s="81"/>
      <c r="AM163" s="94"/>
      <c r="AN163" s="81"/>
      <c r="AO163" s="93"/>
      <c r="AP163" s="81"/>
      <c r="AQ163" s="94"/>
      <c r="AR163" s="81"/>
      <c r="AS163" s="94"/>
      <c r="AT163" s="306"/>
      <c r="AU163" s="94"/>
      <c r="AV163" s="306"/>
      <c r="AW163" s="94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">
        <v>1013</v>
      </c>
      <c r="B164" t="s">
        <v>66</v>
      </c>
      <c r="C164" s="52" t="s">
        <v>1011</v>
      </c>
      <c r="D164" s="52" t="s">
        <v>1011</v>
      </c>
      <c r="E164">
        <v>80</v>
      </c>
      <c r="F164">
        <v>80</v>
      </c>
      <c r="G164" s="64">
        <v>44959</v>
      </c>
      <c r="H164">
        <v>300</v>
      </c>
      <c r="I164">
        <v>300</v>
      </c>
      <c r="J164">
        <v>3</v>
      </c>
      <c r="K164">
        <v>0</v>
      </c>
      <c r="L164">
        <v>12</v>
      </c>
      <c r="M164">
        <v>11</v>
      </c>
      <c r="N164">
        <v>12</v>
      </c>
      <c r="O164">
        <v>0</v>
      </c>
      <c r="P164" s="69">
        <f t="shared" si="30"/>
        <v>0</v>
      </c>
      <c r="Q164" s="93"/>
      <c r="R164" s="81"/>
      <c r="S164" s="94"/>
      <c r="T164" s="81"/>
      <c r="U164" s="93"/>
      <c r="V164" s="81"/>
      <c r="W164" s="94"/>
      <c r="X164" s="81"/>
      <c r="Y164" s="93"/>
      <c r="Z164" s="81"/>
      <c r="AA164" s="94"/>
      <c r="AB164" s="81"/>
      <c r="AC164" s="93"/>
      <c r="AD164" s="81"/>
      <c r="AE164" s="94"/>
      <c r="AF164" s="81"/>
      <c r="AG164" s="93"/>
      <c r="AH164" s="81"/>
      <c r="AI164" s="94"/>
      <c r="AJ164" s="81"/>
      <c r="AK164" s="93"/>
      <c r="AL164" s="81"/>
      <c r="AM164" s="94"/>
      <c r="AN164" s="81"/>
      <c r="AO164" s="93"/>
      <c r="AP164" s="81"/>
      <c r="AQ164" s="94"/>
      <c r="AR164" s="81"/>
      <c r="AS164" s="94"/>
      <c r="AT164" s="306"/>
      <c r="AU164" s="94"/>
      <c r="AV164" s="306"/>
      <c r="AW164" s="94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80</v>
      </c>
      <c r="BC164" s="53">
        <f t="shared" si="29"/>
        <v>80</v>
      </c>
    </row>
    <row r="165" spans="1:55" ht="13.15">
      <c r="A165" t="s">
        <v>1014</v>
      </c>
      <c r="B165" t="s">
        <v>66</v>
      </c>
      <c r="C165" s="52" t="s">
        <v>1011</v>
      </c>
      <c r="D165" s="52" t="s">
        <v>1011</v>
      </c>
      <c r="E165">
        <v>160</v>
      </c>
      <c r="F165">
        <v>180</v>
      </c>
      <c r="G165" s="64">
        <v>44959</v>
      </c>
      <c r="H165">
        <v>300</v>
      </c>
      <c r="I165">
        <v>300</v>
      </c>
      <c r="J165">
        <v>0</v>
      </c>
      <c r="K165">
        <v>0</v>
      </c>
      <c r="L165">
        <v>2</v>
      </c>
      <c r="M165">
        <v>8</v>
      </c>
      <c r="N165">
        <v>12</v>
      </c>
      <c r="O165">
        <v>0</v>
      </c>
      <c r="P165" s="69">
        <f t="shared" si="30"/>
        <v>0</v>
      </c>
      <c r="Q165" s="93"/>
      <c r="R165" s="81"/>
      <c r="S165" s="94"/>
      <c r="T165" s="81"/>
      <c r="U165" s="93"/>
      <c r="V165" s="81"/>
      <c r="W165" s="94"/>
      <c r="X165" s="81"/>
      <c r="Y165" s="93"/>
      <c r="Z165" s="81"/>
      <c r="AA165" s="94"/>
      <c r="AB165" s="81"/>
      <c r="AC165" s="93"/>
      <c r="AD165" s="81"/>
      <c r="AE165" s="94"/>
      <c r="AF165" s="81"/>
      <c r="AG165" s="93"/>
      <c r="AH165" s="81"/>
      <c r="AI165" s="94"/>
      <c r="AJ165" s="81"/>
      <c r="AK165" s="93"/>
      <c r="AL165" s="81"/>
      <c r="AM165" s="94"/>
      <c r="AN165" s="81"/>
      <c r="AO165" s="93"/>
      <c r="AP165" s="81"/>
      <c r="AQ165" s="94"/>
      <c r="AR165" s="81"/>
      <c r="AS165" s="94"/>
      <c r="AT165" s="306"/>
      <c r="AU165" s="94"/>
      <c r="AV165" s="306"/>
      <c r="AW165" s="94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">
        <v>1015</v>
      </c>
      <c r="B166" t="s">
        <v>66</v>
      </c>
      <c r="C166" s="52" t="s">
        <v>1011</v>
      </c>
      <c r="D166" s="52" t="s">
        <v>1011</v>
      </c>
      <c r="E166">
        <v>110</v>
      </c>
      <c r="F166">
        <v>130</v>
      </c>
      <c r="G166" s="64">
        <v>44959</v>
      </c>
      <c r="H166">
        <v>300</v>
      </c>
      <c r="I166">
        <v>300</v>
      </c>
      <c r="J166">
        <v>0</v>
      </c>
      <c r="K166">
        <v>0</v>
      </c>
      <c r="L166">
        <v>3</v>
      </c>
      <c r="M166">
        <v>20</v>
      </c>
      <c r="N166">
        <v>10</v>
      </c>
      <c r="O166">
        <v>0</v>
      </c>
      <c r="P166" s="69">
        <f t="shared" si="30"/>
        <v>0</v>
      </c>
      <c r="Q166" s="93"/>
      <c r="R166" s="81"/>
      <c r="S166" s="94"/>
      <c r="T166" s="81"/>
      <c r="U166" s="93"/>
      <c r="V166" s="81"/>
      <c r="W166" s="94"/>
      <c r="X166" s="81"/>
      <c r="Y166" s="93"/>
      <c r="Z166" s="81"/>
      <c r="AA166" s="94"/>
      <c r="AB166" s="81"/>
      <c r="AC166" s="93"/>
      <c r="AD166" s="81"/>
      <c r="AE166" s="94"/>
      <c r="AF166" s="81"/>
      <c r="AG166" s="93"/>
      <c r="AH166" s="81"/>
      <c r="AI166" s="94"/>
      <c r="AJ166" s="81"/>
      <c r="AK166" s="93"/>
      <c r="AL166" s="81"/>
      <c r="AM166" s="94"/>
      <c r="AN166" s="81"/>
      <c r="AO166" s="93"/>
      <c r="AP166" s="81"/>
      <c r="AQ166" s="94"/>
      <c r="AR166" s="81"/>
      <c r="AS166" s="94"/>
      <c r="AT166" s="306"/>
      <c r="AU166" s="94"/>
      <c r="AV166" s="306"/>
      <c r="AW166" s="94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">
        <v>1016</v>
      </c>
      <c r="B167" t="s">
        <v>66</v>
      </c>
      <c r="C167" s="52" t="s">
        <v>1011</v>
      </c>
      <c r="D167" s="52" t="s">
        <v>1011</v>
      </c>
      <c r="E167">
        <v>20</v>
      </c>
      <c r="F167">
        <v>20</v>
      </c>
      <c r="G167" s="64">
        <v>44959</v>
      </c>
      <c r="H167">
        <v>300</v>
      </c>
      <c r="I167">
        <v>300</v>
      </c>
      <c r="J167">
        <v>0</v>
      </c>
      <c r="K167">
        <v>0</v>
      </c>
      <c r="L167">
        <v>0</v>
      </c>
      <c r="M167">
        <v>18</v>
      </c>
      <c r="N167">
        <v>0</v>
      </c>
      <c r="O167">
        <v>0</v>
      </c>
      <c r="P167" s="69">
        <f t="shared" si="30"/>
        <v>0</v>
      </c>
      <c r="Q167" s="93"/>
      <c r="R167" s="81"/>
      <c r="S167" s="94"/>
      <c r="T167" s="81"/>
      <c r="U167" s="93"/>
      <c r="V167" s="81"/>
      <c r="W167" s="94"/>
      <c r="X167" s="81"/>
      <c r="Y167" s="93"/>
      <c r="Z167" s="81"/>
      <c r="AA167" s="94"/>
      <c r="AB167" s="81"/>
      <c r="AC167" s="93"/>
      <c r="AD167" s="81"/>
      <c r="AE167" s="94"/>
      <c r="AF167" s="81"/>
      <c r="AG167" s="93"/>
      <c r="AH167" s="81"/>
      <c r="AI167" s="94"/>
      <c r="AJ167" s="81"/>
      <c r="AK167" s="93"/>
      <c r="AL167" s="81"/>
      <c r="AM167" s="94"/>
      <c r="AN167" s="81"/>
      <c r="AO167" s="93"/>
      <c r="AP167" s="81"/>
      <c r="AQ167" s="94"/>
      <c r="AR167" s="81"/>
      <c r="AS167" s="94"/>
      <c r="AT167" s="306"/>
      <c r="AU167" s="94"/>
      <c r="AV167" s="306"/>
      <c r="AW167" s="94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">
        <v>1017</v>
      </c>
      <c r="B168" t="s">
        <v>66</v>
      </c>
      <c r="C168" s="52" t="s">
        <v>1011</v>
      </c>
      <c r="D168" s="52" t="s">
        <v>1011</v>
      </c>
      <c r="E168">
        <v>20</v>
      </c>
      <c r="F168">
        <v>20</v>
      </c>
      <c r="G168" s="64">
        <v>44959</v>
      </c>
      <c r="H168">
        <v>300</v>
      </c>
      <c r="I168">
        <v>300</v>
      </c>
      <c r="J168">
        <v>0</v>
      </c>
      <c r="K168">
        <v>2</v>
      </c>
      <c r="L168">
        <v>0</v>
      </c>
      <c r="M168">
        <v>3</v>
      </c>
      <c r="N168">
        <v>0</v>
      </c>
      <c r="O168">
        <v>0</v>
      </c>
      <c r="P168" s="69">
        <f t="shared" si="30"/>
        <v>0</v>
      </c>
      <c r="Q168" s="93"/>
      <c r="R168" s="81"/>
      <c r="S168" s="94"/>
      <c r="T168" s="81"/>
      <c r="U168" s="93"/>
      <c r="V168" s="81"/>
      <c r="W168" s="94"/>
      <c r="X168" s="81"/>
      <c r="Y168" s="93"/>
      <c r="Z168" s="81"/>
      <c r="AA168" s="94"/>
      <c r="AB168" s="81"/>
      <c r="AC168" s="93"/>
      <c r="AD168" s="81"/>
      <c r="AE168" s="94"/>
      <c r="AF168" s="81"/>
      <c r="AG168" s="93"/>
      <c r="AH168" s="81"/>
      <c r="AI168" s="94"/>
      <c r="AJ168" s="81"/>
      <c r="AK168" s="93"/>
      <c r="AL168" s="81"/>
      <c r="AM168" s="94"/>
      <c r="AN168" s="81"/>
      <c r="AO168" s="93"/>
      <c r="AP168" s="81"/>
      <c r="AQ168" s="94"/>
      <c r="AR168" s="81"/>
      <c r="AS168" s="94"/>
      <c r="AT168" s="306"/>
      <c r="AU168" s="94"/>
      <c r="AV168" s="306"/>
      <c r="AW168" s="94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">
        <v>1018</v>
      </c>
      <c r="B169" t="s">
        <v>66</v>
      </c>
      <c r="C169" s="52" t="s">
        <v>1011</v>
      </c>
      <c r="D169" s="52" t="s">
        <v>1011</v>
      </c>
      <c r="E169">
        <v>10</v>
      </c>
      <c r="F169">
        <v>20</v>
      </c>
      <c r="G169" s="64">
        <v>44959</v>
      </c>
      <c r="H169">
        <v>300</v>
      </c>
      <c r="I169">
        <v>300</v>
      </c>
      <c r="J169">
        <v>6</v>
      </c>
      <c r="K169">
        <v>4</v>
      </c>
      <c r="L169">
        <v>6</v>
      </c>
      <c r="M169">
        <v>21</v>
      </c>
      <c r="N169">
        <v>12</v>
      </c>
      <c r="O169">
        <v>0</v>
      </c>
      <c r="P169" s="69">
        <f t="shared" si="30"/>
        <v>0</v>
      </c>
      <c r="Q169" s="93"/>
      <c r="R169" s="81"/>
      <c r="S169" s="94"/>
      <c r="T169" s="81"/>
      <c r="U169" s="93"/>
      <c r="V169" s="81"/>
      <c r="W169" s="94"/>
      <c r="X169" s="81"/>
      <c r="Y169" s="93"/>
      <c r="Z169" s="81"/>
      <c r="AA169" s="94"/>
      <c r="AB169" s="81"/>
      <c r="AC169" s="93"/>
      <c r="AD169" s="81"/>
      <c r="AE169" s="94"/>
      <c r="AF169" s="81"/>
      <c r="AG169" s="93"/>
      <c r="AH169" s="81"/>
      <c r="AI169" s="94"/>
      <c r="AJ169" s="81"/>
      <c r="AK169" s="93"/>
      <c r="AL169" s="81"/>
      <c r="AM169" s="94"/>
      <c r="AN169" s="81"/>
      <c r="AO169" s="93"/>
      <c r="AP169" s="81"/>
      <c r="AQ169" s="94"/>
      <c r="AR169" s="81"/>
      <c r="AS169" s="94"/>
      <c r="AT169" s="306"/>
      <c r="AU169" s="94"/>
      <c r="AV169" s="306"/>
      <c r="AW169" s="94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">
        <v>1019</v>
      </c>
      <c r="B170" t="s">
        <v>66</v>
      </c>
      <c r="C170" s="52" t="s">
        <v>1011</v>
      </c>
      <c r="D170" s="52" t="s">
        <v>1011</v>
      </c>
      <c r="E170">
        <v>90</v>
      </c>
      <c r="F170">
        <v>90</v>
      </c>
      <c r="G170" s="64">
        <v>44959</v>
      </c>
      <c r="H170">
        <v>300</v>
      </c>
      <c r="I170">
        <v>300</v>
      </c>
      <c r="J170">
        <v>3</v>
      </c>
      <c r="K170">
        <v>1</v>
      </c>
      <c r="L170">
        <v>6</v>
      </c>
      <c r="M170">
        <v>11</v>
      </c>
      <c r="N170">
        <v>12</v>
      </c>
      <c r="O170">
        <v>0</v>
      </c>
      <c r="P170" s="69">
        <f t="shared" si="30"/>
        <v>0</v>
      </c>
      <c r="Q170" s="93"/>
      <c r="R170" s="81"/>
      <c r="S170" s="94"/>
      <c r="T170" s="81"/>
      <c r="U170" s="93"/>
      <c r="V170" s="81"/>
      <c r="W170" s="94"/>
      <c r="X170" s="81"/>
      <c r="Y170" s="93"/>
      <c r="Z170" s="81"/>
      <c r="AA170" s="94"/>
      <c r="AB170" s="81"/>
      <c r="AC170" s="93"/>
      <c r="AD170" s="81"/>
      <c r="AE170" s="94"/>
      <c r="AF170" s="81"/>
      <c r="AG170" s="93"/>
      <c r="AH170" s="81"/>
      <c r="AI170" s="94"/>
      <c r="AJ170" s="81"/>
      <c r="AK170" s="93"/>
      <c r="AL170" s="81"/>
      <c r="AM170" s="94"/>
      <c r="AN170" s="81"/>
      <c r="AO170" s="93"/>
      <c r="AP170" s="81"/>
      <c r="AQ170" s="94"/>
      <c r="AR170" s="81"/>
      <c r="AS170" s="94"/>
      <c r="AT170" s="306"/>
      <c r="AU170" s="94"/>
      <c r="AV170" s="306"/>
      <c r="AW170" s="94"/>
      <c r="AX170" s="66">
        <f t="shared" si="26"/>
        <v>0</v>
      </c>
      <c r="AY170" s="78">
        <f t="shared" si="27"/>
        <v>0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90</v>
      </c>
      <c r="BC170" s="53">
        <f t="shared" si="29"/>
        <v>90</v>
      </c>
    </row>
    <row r="171" spans="1:55" ht="13.15">
      <c r="A171" t="s">
        <v>1020</v>
      </c>
      <c r="B171" t="s">
        <v>66</v>
      </c>
      <c r="C171" s="52" t="s">
        <v>1011</v>
      </c>
      <c r="D171" s="52" t="s">
        <v>1011</v>
      </c>
      <c r="E171">
        <v>15</v>
      </c>
      <c r="F171">
        <v>40</v>
      </c>
      <c r="G171" s="64">
        <v>44959</v>
      </c>
      <c r="H171">
        <v>300</v>
      </c>
      <c r="I171">
        <v>300</v>
      </c>
      <c r="J171">
        <v>0</v>
      </c>
      <c r="K171">
        <v>6</v>
      </c>
      <c r="L171">
        <v>4</v>
      </c>
      <c r="M171">
        <v>24</v>
      </c>
      <c r="N171">
        <v>18</v>
      </c>
      <c r="O171">
        <v>0</v>
      </c>
      <c r="P171" s="69">
        <f t="shared" si="30"/>
        <v>83.333333333333329</v>
      </c>
      <c r="Q171" s="84" t="s">
        <v>417</v>
      </c>
      <c r="R171" s="292">
        <v>4</v>
      </c>
      <c r="S171" s="94"/>
      <c r="T171" s="81"/>
      <c r="U171" s="93"/>
      <c r="V171" s="81"/>
      <c r="W171" s="94"/>
      <c r="X171" s="81"/>
      <c r="Y171" s="93"/>
      <c r="Z171" s="81"/>
      <c r="AA171" s="94"/>
      <c r="AB171" s="81"/>
      <c r="AC171" s="93"/>
      <c r="AD171" s="81"/>
      <c r="AE171" s="94"/>
      <c r="AF171" s="81"/>
      <c r="AG171" s="93"/>
      <c r="AH171" s="81"/>
      <c r="AI171" s="94"/>
      <c r="AJ171" s="81"/>
      <c r="AK171" s="93"/>
      <c r="AL171" s="81"/>
      <c r="AM171" s="94"/>
      <c r="AN171" s="81"/>
      <c r="AO171" s="93"/>
      <c r="AP171" s="81"/>
      <c r="AQ171" s="94"/>
      <c r="AR171" s="81"/>
      <c r="AS171" s="94"/>
      <c r="AT171" s="306"/>
      <c r="AU171" s="94"/>
      <c r="AV171" s="306"/>
      <c r="AW171" s="94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">
        <v>1021</v>
      </c>
      <c r="B172" t="s">
        <v>66</v>
      </c>
      <c r="C172" s="52" t="s">
        <v>1011</v>
      </c>
      <c r="D172" s="52" t="s">
        <v>1011</v>
      </c>
      <c r="E172">
        <v>100</v>
      </c>
      <c r="F172">
        <v>120</v>
      </c>
      <c r="G172" s="64">
        <v>44959</v>
      </c>
      <c r="H172">
        <v>300</v>
      </c>
      <c r="I172">
        <v>300</v>
      </c>
      <c r="J172">
        <v>0</v>
      </c>
      <c r="K172">
        <v>3</v>
      </c>
      <c r="L172">
        <v>0</v>
      </c>
      <c r="M172">
        <v>25</v>
      </c>
      <c r="N172">
        <v>12</v>
      </c>
      <c r="O172">
        <v>0</v>
      </c>
      <c r="P172" s="69">
        <f t="shared" si="30"/>
        <v>0</v>
      </c>
      <c r="Q172" s="93"/>
      <c r="R172" s="81"/>
      <c r="S172" s="94"/>
      <c r="T172" s="81"/>
      <c r="U172" s="93"/>
      <c r="V172" s="81"/>
      <c r="W172" s="94"/>
      <c r="X172" s="81"/>
      <c r="Y172" s="93"/>
      <c r="Z172" s="81"/>
      <c r="AA172" s="94"/>
      <c r="AB172" s="81"/>
      <c r="AC172" s="93"/>
      <c r="AD172" s="81"/>
      <c r="AE172" s="94"/>
      <c r="AF172" s="81"/>
      <c r="AG172" s="93"/>
      <c r="AH172" s="81"/>
      <c r="AI172" s="94"/>
      <c r="AJ172" s="81"/>
      <c r="AK172" s="93"/>
      <c r="AL172" s="81"/>
      <c r="AM172" s="94"/>
      <c r="AN172" s="81"/>
      <c r="AO172" s="93"/>
      <c r="AP172" s="81"/>
      <c r="AQ172" s="94"/>
      <c r="AR172" s="81"/>
      <c r="AS172" s="94"/>
      <c r="AT172" s="306"/>
      <c r="AU172" s="94"/>
      <c r="AV172" s="306"/>
      <c r="AW172" s="94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">
        <v>1022</v>
      </c>
      <c r="B173" t="s">
        <v>66</v>
      </c>
      <c r="C173" s="52" t="s">
        <v>1011</v>
      </c>
      <c r="D173" s="52" t="s">
        <v>1011</v>
      </c>
      <c r="E173">
        <v>80</v>
      </c>
      <c r="F173">
        <v>90</v>
      </c>
      <c r="G173" s="64">
        <v>44959</v>
      </c>
      <c r="H173">
        <v>300</v>
      </c>
      <c r="I173">
        <v>300</v>
      </c>
      <c r="J173">
        <v>3</v>
      </c>
      <c r="K173">
        <v>0</v>
      </c>
      <c r="L173">
        <v>0</v>
      </c>
      <c r="M173">
        <v>9</v>
      </c>
      <c r="N173">
        <v>10</v>
      </c>
      <c r="O173">
        <v>0</v>
      </c>
      <c r="P173" s="69">
        <f t="shared" si="30"/>
        <v>0</v>
      </c>
      <c r="Q173" s="93"/>
      <c r="R173" s="81"/>
      <c r="S173" s="94"/>
      <c r="T173" s="81"/>
      <c r="U173" s="93"/>
      <c r="V173" s="81"/>
      <c r="W173" s="94"/>
      <c r="X173" s="81"/>
      <c r="Y173" s="93"/>
      <c r="Z173" s="81"/>
      <c r="AA173" s="94"/>
      <c r="AB173" s="81"/>
      <c r="AC173" s="93"/>
      <c r="AD173" s="81"/>
      <c r="AE173" s="94"/>
      <c r="AF173" s="81"/>
      <c r="AG173" s="93"/>
      <c r="AH173" s="81"/>
      <c r="AI173" s="94"/>
      <c r="AJ173" s="81"/>
      <c r="AK173" s="93"/>
      <c r="AL173" s="81"/>
      <c r="AM173" s="94"/>
      <c r="AN173" s="81"/>
      <c r="AO173" s="93"/>
      <c r="AP173" s="81"/>
      <c r="AQ173" s="94"/>
      <c r="AR173" s="81"/>
      <c r="AS173" s="94"/>
      <c r="AT173" s="306"/>
      <c r="AU173" s="94"/>
      <c r="AV173" s="306"/>
      <c r="AW173" s="94"/>
      <c r="AX173" s="66">
        <f t="shared" si="26"/>
        <v>0</v>
      </c>
      <c r="AY173" s="78">
        <f t="shared" si="27"/>
        <v>0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80</v>
      </c>
      <c r="BC173" s="53">
        <f t="shared" si="29"/>
        <v>90</v>
      </c>
    </row>
    <row r="174" spans="1:55" ht="13.15">
      <c r="A174" t="s">
        <v>1023</v>
      </c>
      <c r="B174" t="s">
        <v>65</v>
      </c>
      <c r="C174" s="52" t="s">
        <v>1024</v>
      </c>
      <c r="D174" s="52" t="s">
        <v>1024</v>
      </c>
      <c r="E174">
        <v>166</v>
      </c>
      <c r="F174">
        <v>147</v>
      </c>
      <c r="G174" s="64">
        <v>44964</v>
      </c>
      <c r="H174">
        <v>227</v>
      </c>
      <c r="I174">
        <v>202</v>
      </c>
      <c r="J174">
        <v>0</v>
      </c>
      <c r="K174">
        <v>4</v>
      </c>
      <c r="L174">
        <v>1</v>
      </c>
      <c r="M174">
        <v>1</v>
      </c>
      <c r="N174">
        <v>0</v>
      </c>
      <c r="O174">
        <v>37</v>
      </c>
      <c r="P174" s="69">
        <f t="shared" si="30"/>
        <v>79.166666666666671</v>
      </c>
      <c r="Q174" s="84" t="s">
        <v>1025</v>
      </c>
      <c r="R174" s="85">
        <v>2</v>
      </c>
      <c r="S174" s="84" t="s">
        <v>415</v>
      </c>
      <c r="T174" s="85">
        <v>1.8</v>
      </c>
      <c r="U174" s="93"/>
      <c r="V174" s="81"/>
      <c r="W174" s="94"/>
      <c r="X174" s="81"/>
      <c r="Y174" s="93"/>
      <c r="Z174" s="81"/>
      <c r="AA174" s="94"/>
      <c r="AB174" s="81"/>
      <c r="AC174" s="93"/>
      <c r="AD174" s="81"/>
      <c r="AE174" s="94"/>
      <c r="AF174" s="81"/>
      <c r="AG174" s="93"/>
      <c r="AH174" s="81"/>
      <c r="AI174" s="94"/>
      <c r="AJ174" s="81"/>
      <c r="AK174" s="93"/>
      <c r="AL174" s="81"/>
      <c r="AM174" s="94"/>
      <c r="AN174" s="81"/>
      <c r="AO174" s="93"/>
      <c r="AP174" s="81"/>
      <c r="AQ174" s="94"/>
      <c r="AR174" s="81"/>
      <c r="AS174" s="94"/>
      <c r="AT174" s="306"/>
      <c r="AU174" s="94"/>
      <c r="AV174" s="306"/>
      <c r="AW174" s="94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">
        <v>1026</v>
      </c>
      <c r="B175" t="s">
        <v>65</v>
      </c>
      <c r="C175" s="52" t="s">
        <v>1024</v>
      </c>
      <c r="D175" s="52" t="s">
        <v>1024</v>
      </c>
      <c r="E175">
        <v>250</v>
      </c>
      <c r="F175">
        <v>275</v>
      </c>
      <c r="G175" s="64">
        <v>44964</v>
      </c>
      <c r="H175">
        <v>300</v>
      </c>
      <c r="I175">
        <v>300</v>
      </c>
      <c r="J175">
        <v>4</v>
      </c>
      <c r="K175">
        <v>0</v>
      </c>
      <c r="L175">
        <v>0</v>
      </c>
      <c r="M175">
        <v>2</v>
      </c>
      <c r="N175">
        <v>12</v>
      </c>
      <c r="O175">
        <v>0</v>
      </c>
      <c r="P175" s="69">
        <f t="shared" si="30"/>
        <v>0</v>
      </c>
      <c r="Q175" s="93"/>
      <c r="R175" s="81"/>
      <c r="S175" s="94"/>
      <c r="T175" s="81"/>
      <c r="U175" s="93"/>
      <c r="V175" s="81"/>
      <c r="W175" s="94"/>
      <c r="X175" s="81"/>
      <c r="Y175" s="93"/>
      <c r="Z175" s="81"/>
      <c r="AA175" s="94"/>
      <c r="AB175" s="81"/>
      <c r="AC175" s="93"/>
      <c r="AD175" s="81"/>
      <c r="AE175" s="94"/>
      <c r="AF175" s="81"/>
      <c r="AG175" s="93"/>
      <c r="AH175" s="81"/>
      <c r="AI175" s="94"/>
      <c r="AJ175" s="81"/>
      <c r="AK175" s="93"/>
      <c r="AL175" s="81"/>
      <c r="AM175" s="94"/>
      <c r="AN175" s="81"/>
      <c r="AO175" s="93"/>
      <c r="AP175" s="81"/>
      <c r="AQ175" s="94"/>
      <c r="AR175" s="81"/>
      <c r="AS175" s="94"/>
      <c r="AT175" s="306"/>
      <c r="AU175" s="94"/>
      <c r="AV175" s="306"/>
      <c r="AW175" s="94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">
        <v>1027</v>
      </c>
      <c r="B176" t="s">
        <v>63</v>
      </c>
      <c r="C176" s="52" t="s">
        <v>1028</v>
      </c>
      <c r="D176" s="52" t="s">
        <v>1028</v>
      </c>
      <c r="E176">
        <v>125.49999999999999</v>
      </c>
      <c r="F176">
        <v>167.89999999999998</v>
      </c>
      <c r="G176" s="64">
        <v>45243</v>
      </c>
      <c r="H176">
        <v>360</v>
      </c>
      <c r="I176">
        <v>360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69">
        <f t="shared" si="30"/>
        <v>450</v>
      </c>
      <c r="Q176" s="82" t="s">
        <v>397</v>
      </c>
      <c r="R176" s="83">
        <v>2.2000000000000002</v>
      </c>
      <c r="S176" s="88" t="s">
        <v>398</v>
      </c>
      <c r="T176" s="89">
        <v>0.8</v>
      </c>
      <c r="U176" s="88" t="s">
        <v>399</v>
      </c>
      <c r="V176" s="89">
        <v>3</v>
      </c>
      <c r="W176" s="88" t="s">
        <v>400</v>
      </c>
      <c r="X176" s="89">
        <v>2.9</v>
      </c>
      <c r="Y176" s="88" t="s">
        <v>401</v>
      </c>
      <c r="Z176" s="89">
        <v>2.8</v>
      </c>
      <c r="AA176" s="88" t="s">
        <v>402</v>
      </c>
      <c r="AB176" s="89">
        <v>2.9</v>
      </c>
      <c r="AC176" s="88" t="s">
        <v>1029</v>
      </c>
      <c r="AD176" s="89">
        <v>2</v>
      </c>
      <c r="AE176" s="94" t="s">
        <v>1030</v>
      </c>
      <c r="AF176" s="258">
        <v>3</v>
      </c>
      <c r="AG176" s="82" t="s">
        <v>411</v>
      </c>
      <c r="AH176" s="83">
        <v>0.8</v>
      </c>
      <c r="AI176" s="84" t="s">
        <v>410</v>
      </c>
      <c r="AJ176" s="292">
        <v>1.2</v>
      </c>
      <c r="AK176" s="93"/>
      <c r="AL176" s="81"/>
      <c r="AM176" s="94"/>
      <c r="AN176" s="81"/>
      <c r="AO176" s="93"/>
      <c r="AP176" s="81"/>
      <c r="AQ176" s="94"/>
      <c r="AR176" s="81"/>
      <c r="AS176" s="94"/>
      <c r="AT176" s="306"/>
      <c r="AU176" s="94"/>
      <c r="AV176" s="306"/>
      <c r="AW176" s="94"/>
      <c r="AX176" s="66">
        <f t="shared" si="26"/>
        <v>21.6</v>
      </c>
      <c r="AY176" s="78">
        <f t="shared" si="27"/>
        <v>450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350.5</v>
      </c>
      <c r="BC176" s="53">
        <f t="shared" si="29"/>
        <v>392.9</v>
      </c>
    </row>
    <row r="177" spans="1:55" ht="13.15">
      <c r="A177" t="s">
        <v>1031</v>
      </c>
      <c r="B177" t="s">
        <v>227</v>
      </c>
      <c r="C177" s="52" t="s">
        <v>1032</v>
      </c>
      <c r="D177" s="52" t="s">
        <v>1032</v>
      </c>
      <c r="E177">
        <v>60</v>
      </c>
      <c r="F177">
        <v>60</v>
      </c>
      <c r="G177" s="64">
        <v>44117</v>
      </c>
      <c r="H177">
        <v>300</v>
      </c>
      <c r="I177">
        <v>300</v>
      </c>
      <c r="J177">
        <v>5</v>
      </c>
      <c r="K177">
        <v>6</v>
      </c>
      <c r="L177">
        <v>6</v>
      </c>
      <c r="M177">
        <v>11</v>
      </c>
      <c r="N177">
        <v>12</v>
      </c>
      <c r="O177">
        <v>0</v>
      </c>
      <c r="P177" s="69">
        <f t="shared" si="30"/>
        <v>0</v>
      </c>
      <c r="Q177" s="93"/>
      <c r="R177" s="81"/>
      <c r="S177" s="94"/>
      <c r="T177" s="81"/>
      <c r="U177" s="93"/>
      <c r="V177" s="81"/>
      <c r="W177" s="94"/>
      <c r="X177" s="81"/>
      <c r="Y177" s="93"/>
      <c r="Z177" s="81"/>
      <c r="AA177" s="94"/>
      <c r="AB177" s="81"/>
      <c r="AC177" s="93"/>
      <c r="AD177" s="81"/>
      <c r="AE177" s="94"/>
      <c r="AF177" s="81"/>
      <c r="AG177" s="93"/>
      <c r="AH177" s="81"/>
      <c r="AI177" s="94"/>
      <c r="AJ177" s="81"/>
      <c r="AK177" s="93"/>
      <c r="AL177" s="81"/>
      <c r="AM177" s="94"/>
      <c r="AN177" s="81"/>
      <c r="AO177" s="93"/>
      <c r="AP177" s="81"/>
      <c r="AQ177" s="94"/>
      <c r="AR177" s="81"/>
      <c r="AS177" s="94"/>
      <c r="AT177" s="306"/>
      <c r="AU177" s="94"/>
      <c r="AV177" s="306"/>
      <c r="AW177" s="94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">
        <v>1033</v>
      </c>
      <c r="B178" t="s">
        <v>227</v>
      </c>
      <c r="C178" s="52" t="s">
        <v>1032</v>
      </c>
      <c r="D178" s="52" t="s">
        <v>1032</v>
      </c>
      <c r="E178">
        <v>20</v>
      </c>
      <c r="F178">
        <v>30</v>
      </c>
      <c r="G178" s="64">
        <v>0</v>
      </c>
      <c r="H178">
        <v>300</v>
      </c>
      <c r="I178">
        <v>300</v>
      </c>
      <c r="J178">
        <v>6</v>
      </c>
      <c r="K178">
        <v>6</v>
      </c>
      <c r="L178">
        <v>1</v>
      </c>
      <c r="M178">
        <v>23</v>
      </c>
      <c r="N178">
        <v>12</v>
      </c>
      <c r="O178">
        <v>0</v>
      </c>
      <c r="P178" s="69">
        <f t="shared" si="30"/>
        <v>41.666666666666664</v>
      </c>
      <c r="Q178" s="82" t="s">
        <v>1034</v>
      </c>
      <c r="R178" s="83">
        <v>1</v>
      </c>
      <c r="S178" s="269" t="s">
        <v>699</v>
      </c>
      <c r="T178" s="267">
        <v>1</v>
      </c>
      <c r="U178" s="93"/>
      <c r="V178" s="81"/>
      <c r="W178" s="94"/>
      <c r="X178" s="81"/>
      <c r="Y178" s="93"/>
      <c r="Z178" s="81"/>
      <c r="AA178" s="94"/>
      <c r="AB178" s="81"/>
      <c r="AC178" s="93"/>
      <c r="AD178" s="81"/>
      <c r="AE178" s="94"/>
      <c r="AF178" s="81"/>
      <c r="AG178" s="93"/>
      <c r="AH178" s="81"/>
      <c r="AI178" s="94"/>
      <c r="AJ178" s="81"/>
      <c r="AK178" s="93"/>
      <c r="AL178" s="81"/>
      <c r="AM178" s="94"/>
      <c r="AN178" s="81"/>
      <c r="AO178" s="93"/>
      <c r="AP178" s="81"/>
      <c r="AQ178" s="94"/>
      <c r="AR178" s="81"/>
      <c r="AS178" s="94"/>
      <c r="AT178" s="306"/>
      <c r="AU178" s="94"/>
      <c r="AV178" s="306"/>
      <c r="AW178" s="94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">
        <v>1035</v>
      </c>
      <c r="B179" t="s">
        <v>229</v>
      </c>
      <c r="C179" s="52" t="s">
        <v>1036</v>
      </c>
      <c r="D179" s="52" t="s">
        <v>1036</v>
      </c>
      <c r="E179">
        <v>113</v>
      </c>
      <c r="F179">
        <v>110</v>
      </c>
      <c r="G179" s="64">
        <v>45082</v>
      </c>
      <c r="H179">
        <v>300</v>
      </c>
      <c r="I179">
        <v>300</v>
      </c>
      <c r="J179">
        <v>1</v>
      </c>
      <c r="K179">
        <v>0</v>
      </c>
      <c r="L179">
        <v>3</v>
      </c>
      <c r="M179">
        <v>0</v>
      </c>
      <c r="N179">
        <v>0</v>
      </c>
      <c r="O179">
        <v>26</v>
      </c>
      <c r="P179" s="69">
        <f t="shared" si="30"/>
        <v>20.833333333333332</v>
      </c>
      <c r="Q179" s="109" t="s">
        <v>702</v>
      </c>
      <c r="R179" s="87">
        <v>1</v>
      </c>
      <c r="S179" s="94"/>
      <c r="T179" s="81"/>
      <c r="U179" s="93"/>
      <c r="V179" s="81"/>
      <c r="W179" s="94"/>
      <c r="X179" s="81"/>
      <c r="Y179" s="93"/>
      <c r="Z179" s="81"/>
      <c r="AA179" s="94"/>
      <c r="AB179" s="81"/>
      <c r="AC179" s="93"/>
      <c r="AD179" s="81"/>
      <c r="AE179" s="94"/>
      <c r="AF179" s="81"/>
      <c r="AG179" s="93"/>
      <c r="AH179" s="81"/>
      <c r="AI179" s="94"/>
      <c r="AJ179" s="81"/>
      <c r="AK179" s="93"/>
      <c r="AL179" s="81"/>
      <c r="AM179" s="94"/>
      <c r="AN179" s="81"/>
      <c r="AO179" s="93"/>
      <c r="AP179" s="81"/>
      <c r="AQ179" s="94"/>
      <c r="AR179" s="81"/>
      <c r="AS179" s="94"/>
      <c r="AT179" s="306"/>
      <c r="AU179" s="94"/>
      <c r="AV179" s="306"/>
      <c r="AW179" s="94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">
        <v>1037</v>
      </c>
      <c r="B180" t="s">
        <v>229</v>
      </c>
      <c r="C180" s="52" t="s">
        <v>1036</v>
      </c>
      <c r="D180" s="52" t="s">
        <v>1036</v>
      </c>
      <c r="E180">
        <v>0</v>
      </c>
      <c r="F180">
        <v>0</v>
      </c>
      <c r="G180" s="64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69">
        <f t="shared" si="30"/>
        <v>0</v>
      </c>
      <c r="Q180" s="93"/>
      <c r="R180" s="81"/>
      <c r="S180" s="94"/>
      <c r="T180" s="81"/>
      <c r="U180" s="93"/>
      <c r="V180" s="81"/>
      <c r="W180" s="94"/>
      <c r="X180" s="81"/>
      <c r="Y180" s="93"/>
      <c r="Z180" s="81"/>
      <c r="AA180" s="94"/>
      <c r="AB180" s="81"/>
      <c r="AC180" s="93"/>
      <c r="AD180" s="81"/>
      <c r="AE180" s="94"/>
      <c r="AF180" s="81"/>
      <c r="AG180" s="93"/>
      <c r="AH180" s="81"/>
      <c r="AI180" s="94"/>
      <c r="AJ180" s="81"/>
      <c r="AK180" s="93"/>
      <c r="AL180" s="81"/>
      <c r="AM180" s="94"/>
      <c r="AN180" s="81"/>
      <c r="AO180" s="93"/>
      <c r="AP180" s="81"/>
      <c r="AQ180" s="94"/>
      <c r="AR180" s="81"/>
      <c r="AS180" s="94"/>
      <c r="AT180" s="306"/>
      <c r="AU180" s="94"/>
      <c r="AV180" s="306"/>
      <c r="AW180" s="94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">
        <v>1038</v>
      </c>
      <c r="B181" t="s">
        <v>229</v>
      </c>
      <c r="C181" s="52" t="s">
        <v>1036</v>
      </c>
      <c r="D181" s="52" t="s">
        <v>1036</v>
      </c>
      <c r="E181">
        <v>0</v>
      </c>
      <c r="F181">
        <v>0</v>
      </c>
      <c r="G181" s="64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 s="69">
        <f t="shared" si="30"/>
        <v>0</v>
      </c>
      <c r="Q181" s="93"/>
      <c r="R181" s="81"/>
      <c r="S181" s="94"/>
      <c r="T181" s="81"/>
      <c r="U181" s="93"/>
      <c r="V181" s="81"/>
      <c r="W181" s="94"/>
      <c r="X181" s="81"/>
      <c r="Y181" s="93"/>
      <c r="Z181" s="81"/>
      <c r="AA181" s="94"/>
      <c r="AB181" s="81"/>
      <c r="AC181" s="93"/>
      <c r="AD181" s="81"/>
      <c r="AE181" s="94"/>
      <c r="AF181" s="81"/>
      <c r="AG181" s="93"/>
      <c r="AH181" s="81"/>
      <c r="AI181" s="94"/>
      <c r="AJ181" s="81"/>
      <c r="AK181" s="93"/>
      <c r="AL181" s="81"/>
      <c r="AM181" s="94"/>
      <c r="AN181" s="81"/>
      <c r="AO181" s="93"/>
      <c r="AP181" s="81"/>
      <c r="AQ181" s="94"/>
      <c r="AR181" s="81"/>
      <c r="AS181" s="94"/>
      <c r="AT181" s="306"/>
      <c r="AU181" s="94"/>
      <c r="AV181" s="306"/>
      <c r="AW181" s="94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">
        <v>1039</v>
      </c>
      <c r="B182" t="s">
        <v>229</v>
      </c>
      <c r="C182" s="52" t="s">
        <v>1036</v>
      </c>
      <c r="D182" s="52" t="s">
        <v>1036</v>
      </c>
      <c r="E182">
        <v>0</v>
      </c>
      <c r="F182">
        <v>0</v>
      </c>
      <c r="G182" s="64">
        <v>0</v>
      </c>
      <c r="H182">
        <v>100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69">
        <f t="shared" si="30"/>
        <v>0</v>
      </c>
      <c r="Q182" s="93"/>
      <c r="R182" s="81"/>
      <c r="S182" s="94"/>
      <c r="T182" s="81"/>
      <c r="U182" s="93"/>
      <c r="V182" s="81"/>
      <c r="W182" s="94"/>
      <c r="X182" s="81"/>
      <c r="Y182" s="93"/>
      <c r="Z182" s="81"/>
      <c r="AA182" s="94"/>
      <c r="AB182" s="81"/>
      <c r="AC182" s="93"/>
      <c r="AD182" s="81"/>
      <c r="AE182" s="94"/>
      <c r="AF182" s="81"/>
      <c r="AG182" s="93"/>
      <c r="AH182" s="81"/>
      <c r="AI182" s="94"/>
      <c r="AJ182" s="81"/>
      <c r="AK182" s="93"/>
      <c r="AL182" s="81"/>
      <c r="AM182" s="94"/>
      <c r="AN182" s="81"/>
      <c r="AO182" s="93"/>
      <c r="AP182" s="81"/>
      <c r="AQ182" s="94"/>
      <c r="AR182" s="81"/>
      <c r="AS182" s="94"/>
      <c r="AT182" s="306"/>
      <c r="AU182" s="94"/>
      <c r="AV182" s="306"/>
      <c r="AW182" s="94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">
        <v>1040</v>
      </c>
      <c r="B183" t="s">
        <v>266</v>
      </c>
      <c r="C183" s="52" t="s">
        <v>1041</v>
      </c>
      <c r="D183" s="52" t="s">
        <v>1041</v>
      </c>
      <c r="E183">
        <v>90</v>
      </c>
      <c r="F183">
        <v>90</v>
      </c>
      <c r="G183" s="64" t="s">
        <v>1042</v>
      </c>
      <c r="H183">
        <v>300</v>
      </c>
      <c r="I183">
        <v>300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24</v>
      </c>
      <c r="P183" s="69">
        <f t="shared" si="30"/>
        <v>104.16666666666667</v>
      </c>
      <c r="Q183" s="82" t="s">
        <v>755</v>
      </c>
      <c r="R183" s="83">
        <v>5</v>
      </c>
      <c r="S183" s="94"/>
      <c r="T183" s="81"/>
      <c r="U183" s="93"/>
      <c r="V183" s="81"/>
      <c r="W183" s="94"/>
      <c r="X183" s="81"/>
      <c r="Y183" s="93"/>
      <c r="Z183" s="81"/>
      <c r="AA183" s="94"/>
      <c r="AB183" s="81"/>
      <c r="AC183" s="93"/>
      <c r="AD183" s="81"/>
      <c r="AE183" s="94"/>
      <c r="AF183" s="81"/>
      <c r="AG183" s="93"/>
      <c r="AH183" s="81"/>
      <c r="AI183" s="94"/>
      <c r="AJ183" s="81"/>
      <c r="AK183" s="93"/>
      <c r="AL183" s="81"/>
      <c r="AM183" s="94"/>
      <c r="AN183" s="81"/>
      <c r="AO183" s="93"/>
      <c r="AP183" s="81"/>
      <c r="AQ183" s="94"/>
      <c r="AR183" s="81"/>
      <c r="AS183" s="94"/>
      <c r="AT183" s="306"/>
      <c r="AU183" s="94"/>
      <c r="AV183" s="306"/>
      <c r="AW183" s="94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">
        <v>1043</v>
      </c>
      <c r="B184" t="s">
        <v>83</v>
      </c>
      <c r="C184" s="52" t="s">
        <v>1044</v>
      </c>
      <c r="D184" s="52" t="s">
        <v>1044</v>
      </c>
      <c r="E184">
        <v>40</v>
      </c>
      <c r="F184">
        <v>40</v>
      </c>
      <c r="G184" s="64">
        <v>45105</v>
      </c>
      <c r="H184">
        <v>125</v>
      </c>
      <c r="I184">
        <v>125</v>
      </c>
      <c r="J184">
        <v>0</v>
      </c>
      <c r="K184">
        <v>0</v>
      </c>
      <c r="L184">
        <v>5</v>
      </c>
      <c r="M184">
        <v>0</v>
      </c>
      <c r="N184">
        <v>4</v>
      </c>
      <c r="O184">
        <v>34</v>
      </c>
      <c r="P184" s="69">
        <f t="shared" si="30"/>
        <v>0</v>
      </c>
      <c r="Q184" s="93"/>
      <c r="R184" s="81"/>
      <c r="S184" s="94"/>
      <c r="T184" s="81"/>
      <c r="U184" s="93"/>
      <c r="V184" s="81"/>
      <c r="W184" s="94"/>
      <c r="X184" s="81"/>
      <c r="Y184" s="93"/>
      <c r="Z184" s="81"/>
      <c r="AA184" s="94"/>
      <c r="AB184" s="81"/>
      <c r="AC184" s="93"/>
      <c r="AD184" s="81"/>
      <c r="AE184" s="94"/>
      <c r="AF184" s="81"/>
      <c r="AG184" s="93"/>
      <c r="AH184" s="81"/>
      <c r="AI184" s="94"/>
      <c r="AJ184" s="81"/>
      <c r="AK184" s="93"/>
      <c r="AL184" s="81"/>
      <c r="AM184" s="94"/>
      <c r="AN184" s="81"/>
      <c r="AO184" s="93"/>
      <c r="AP184" s="81"/>
      <c r="AQ184" s="94"/>
      <c r="AR184" s="81"/>
      <c r="AS184" s="94"/>
      <c r="AT184" s="306"/>
      <c r="AU184" s="94"/>
      <c r="AV184" s="306"/>
      <c r="AW184" s="94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">
        <v>1045</v>
      </c>
      <c r="B185" t="s">
        <v>112</v>
      </c>
      <c r="C185" s="52" t="s">
        <v>1046</v>
      </c>
      <c r="D185" s="52" t="s">
        <v>1046</v>
      </c>
      <c r="E185">
        <v>90</v>
      </c>
      <c r="F185">
        <v>90</v>
      </c>
      <c r="G185" s="64">
        <v>44126</v>
      </c>
      <c r="H185">
        <v>300</v>
      </c>
      <c r="I185">
        <v>300</v>
      </c>
      <c r="J185">
        <v>6</v>
      </c>
      <c r="K185">
        <v>4</v>
      </c>
      <c r="L185">
        <v>0</v>
      </c>
      <c r="M185">
        <v>10</v>
      </c>
      <c r="N185">
        <v>6</v>
      </c>
      <c r="O185">
        <v>0</v>
      </c>
      <c r="P185" s="69">
        <f t="shared" si="30"/>
        <v>0</v>
      </c>
      <c r="Q185" s="93"/>
      <c r="R185" s="81"/>
      <c r="S185" s="94"/>
      <c r="T185" s="81"/>
      <c r="U185" s="93"/>
      <c r="V185" s="81"/>
      <c r="W185" s="94"/>
      <c r="X185" s="81"/>
      <c r="Y185" s="93"/>
      <c r="Z185" s="81"/>
      <c r="AA185" s="94"/>
      <c r="AB185" s="81"/>
      <c r="AC185" s="93"/>
      <c r="AD185" s="81"/>
      <c r="AE185" s="94"/>
      <c r="AF185" s="81"/>
      <c r="AG185" s="93"/>
      <c r="AH185" s="81"/>
      <c r="AI185" s="94"/>
      <c r="AJ185" s="81"/>
      <c r="AK185" s="93"/>
      <c r="AL185" s="81"/>
      <c r="AM185" s="94"/>
      <c r="AN185" s="81"/>
      <c r="AO185" s="93"/>
      <c r="AP185" s="81"/>
      <c r="AQ185" s="94"/>
      <c r="AR185" s="81"/>
      <c r="AS185" s="94"/>
      <c r="AT185" s="306"/>
      <c r="AU185" s="94"/>
      <c r="AV185" s="306"/>
      <c r="AW185" s="94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">
        <v>1047</v>
      </c>
      <c r="B186" t="s">
        <v>156</v>
      </c>
      <c r="C186" s="52" t="s">
        <v>1048</v>
      </c>
      <c r="D186" s="52" t="s">
        <v>1048</v>
      </c>
      <c r="E186">
        <v>43</v>
      </c>
      <c r="F186">
        <v>58</v>
      </c>
      <c r="G186" s="64">
        <v>44252</v>
      </c>
      <c r="H186">
        <v>300</v>
      </c>
      <c r="I186">
        <v>300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69">
        <f t="shared" si="30"/>
        <v>0</v>
      </c>
      <c r="Q186" s="93"/>
      <c r="R186" s="81"/>
      <c r="S186" s="94"/>
      <c r="T186" s="81"/>
      <c r="U186" s="93"/>
      <c r="V186" s="81"/>
      <c r="W186" s="94"/>
      <c r="X186" s="81"/>
      <c r="Y186" s="93"/>
      <c r="Z186" s="81"/>
      <c r="AA186" s="94"/>
      <c r="AB186" s="81"/>
      <c r="AC186" s="93"/>
      <c r="AD186" s="81"/>
      <c r="AE186" s="94"/>
      <c r="AF186" s="81"/>
      <c r="AG186" s="93"/>
      <c r="AH186" s="81"/>
      <c r="AI186" s="94"/>
      <c r="AJ186" s="81"/>
      <c r="AK186" s="93"/>
      <c r="AL186" s="81"/>
      <c r="AM186" s="94"/>
      <c r="AN186" s="81"/>
      <c r="AO186" s="93"/>
      <c r="AP186" s="81"/>
      <c r="AQ186" s="94"/>
      <c r="AR186" s="81"/>
      <c r="AS186" s="94"/>
      <c r="AT186" s="306"/>
      <c r="AU186" s="94"/>
      <c r="AV186" s="306"/>
      <c r="AW186" s="94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">
        <v>1049</v>
      </c>
      <c r="B187" t="s">
        <v>1050</v>
      </c>
      <c r="C187" s="52" t="s">
        <v>1051</v>
      </c>
      <c r="D187" s="52" t="s">
        <v>1051</v>
      </c>
      <c r="E187">
        <v>0</v>
      </c>
      <c r="F187">
        <v>0</v>
      </c>
      <c r="G187" s="64">
        <v>0</v>
      </c>
      <c r="H187">
        <v>300</v>
      </c>
      <c r="I187">
        <v>300</v>
      </c>
      <c r="J187">
        <v>4</v>
      </c>
      <c r="K187">
        <v>6</v>
      </c>
      <c r="L187">
        <v>10</v>
      </c>
      <c r="M187">
        <v>14</v>
      </c>
      <c r="N187">
        <v>12</v>
      </c>
      <c r="O187">
        <v>0</v>
      </c>
      <c r="P187" s="69">
        <f t="shared" si="30"/>
        <v>0</v>
      </c>
      <c r="Q187" s="93"/>
      <c r="R187" s="81"/>
      <c r="S187" s="94"/>
      <c r="T187" s="81"/>
      <c r="U187" s="93"/>
      <c r="V187" s="81"/>
      <c r="W187" s="94"/>
      <c r="X187" s="81"/>
      <c r="Y187" s="93"/>
      <c r="Z187" s="81"/>
      <c r="AA187" s="94"/>
      <c r="AB187" s="81"/>
      <c r="AC187" s="93"/>
      <c r="AD187" s="81"/>
      <c r="AE187" s="94"/>
      <c r="AF187" s="81"/>
      <c r="AG187" s="93"/>
      <c r="AH187" s="81"/>
      <c r="AI187" s="94"/>
      <c r="AJ187" s="81"/>
      <c r="AK187" s="93"/>
      <c r="AL187" s="81"/>
      <c r="AM187" s="94"/>
      <c r="AN187" s="81"/>
      <c r="AO187" s="93"/>
      <c r="AP187" s="81"/>
      <c r="AQ187" s="94"/>
      <c r="AR187" s="81"/>
      <c r="AS187" s="94"/>
      <c r="AT187" s="306"/>
      <c r="AU187" s="94"/>
      <c r="AV187" s="306"/>
      <c r="AW187" s="94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">
        <v>1052</v>
      </c>
      <c r="B188" t="s">
        <v>1050</v>
      </c>
      <c r="C188" s="52" t="s">
        <v>1051</v>
      </c>
      <c r="D188" s="52" t="s">
        <v>1051</v>
      </c>
      <c r="E188">
        <v>0</v>
      </c>
      <c r="F188">
        <v>0</v>
      </c>
      <c r="G188" s="64">
        <v>0</v>
      </c>
      <c r="H188">
        <v>300</v>
      </c>
      <c r="I188">
        <v>300</v>
      </c>
      <c r="J188">
        <v>0</v>
      </c>
      <c r="K188">
        <v>0</v>
      </c>
      <c r="L188">
        <v>0</v>
      </c>
      <c r="M188">
        <v>5</v>
      </c>
      <c r="N188">
        <v>12</v>
      </c>
      <c r="O188">
        <v>0</v>
      </c>
      <c r="P188" s="69">
        <f t="shared" si="30"/>
        <v>0</v>
      </c>
      <c r="Q188" s="93"/>
      <c r="R188" s="81"/>
      <c r="S188" s="94"/>
      <c r="T188" s="81"/>
      <c r="U188" s="93"/>
      <c r="V188" s="81"/>
      <c r="W188" s="94"/>
      <c r="X188" s="81"/>
      <c r="Y188" s="93"/>
      <c r="Z188" s="81"/>
      <c r="AA188" s="94"/>
      <c r="AB188" s="81"/>
      <c r="AC188" s="93"/>
      <c r="AD188" s="81"/>
      <c r="AE188" s="94"/>
      <c r="AF188" s="81"/>
      <c r="AG188" s="93"/>
      <c r="AH188" s="81"/>
      <c r="AI188" s="94"/>
      <c r="AJ188" s="81"/>
      <c r="AK188" s="93"/>
      <c r="AL188" s="81"/>
      <c r="AM188" s="94"/>
      <c r="AN188" s="81"/>
      <c r="AO188" s="93"/>
      <c r="AP188" s="81"/>
      <c r="AQ188" s="94"/>
      <c r="AR188" s="81"/>
      <c r="AS188" s="94"/>
      <c r="AT188" s="306"/>
      <c r="AU188" s="94"/>
      <c r="AV188" s="306"/>
      <c r="AW188" s="94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">
        <v>1053</v>
      </c>
      <c r="B189" t="s">
        <v>1050</v>
      </c>
      <c r="C189" s="52" t="s">
        <v>1051</v>
      </c>
      <c r="D189" s="52" t="s">
        <v>1051</v>
      </c>
      <c r="E189">
        <v>0</v>
      </c>
      <c r="F189">
        <v>0</v>
      </c>
      <c r="G189" s="64">
        <v>0</v>
      </c>
      <c r="H189">
        <v>300</v>
      </c>
      <c r="I189">
        <v>300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0</v>
      </c>
      <c r="P189" s="69">
        <f t="shared" si="30"/>
        <v>0</v>
      </c>
      <c r="Q189" s="93"/>
      <c r="R189" s="81"/>
      <c r="S189" s="94"/>
      <c r="T189" s="81"/>
      <c r="U189" s="93"/>
      <c r="V189" s="81"/>
      <c r="W189" s="94"/>
      <c r="X189" s="81"/>
      <c r="Y189" s="93"/>
      <c r="Z189" s="81"/>
      <c r="AA189" s="94"/>
      <c r="AB189" s="81"/>
      <c r="AC189" s="93"/>
      <c r="AD189" s="81"/>
      <c r="AE189" s="94"/>
      <c r="AF189" s="81"/>
      <c r="AG189" s="93"/>
      <c r="AH189" s="81"/>
      <c r="AI189" s="94"/>
      <c r="AJ189" s="81"/>
      <c r="AK189" s="93"/>
      <c r="AL189" s="81"/>
      <c r="AM189" s="94"/>
      <c r="AN189" s="81"/>
      <c r="AO189" s="93"/>
      <c r="AP189" s="81"/>
      <c r="AQ189" s="94"/>
      <c r="AR189" s="81"/>
      <c r="AS189" s="94"/>
      <c r="AT189" s="306"/>
      <c r="AU189" s="94"/>
      <c r="AV189" s="306"/>
      <c r="AW189" s="94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">
        <v>1054</v>
      </c>
      <c r="B190" t="s">
        <v>1050</v>
      </c>
      <c r="C190" s="52" t="s">
        <v>1051</v>
      </c>
      <c r="D190" s="52" t="s">
        <v>1051</v>
      </c>
      <c r="E190">
        <v>0</v>
      </c>
      <c r="F190">
        <v>0</v>
      </c>
      <c r="G190" s="64">
        <v>0</v>
      </c>
      <c r="H190">
        <v>300</v>
      </c>
      <c r="I190">
        <v>300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 s="69">
        <f t="shared" si="30"/>
        <v>0</v>
      </c>
      <c r="Q190" s="93"/>
      <c r="R190" s="81"/>
      <c r="S190" s="94"/>
      <c r="T190" s="81"/>
      <c r="U190" s="93"/>
      <c r="V190" s="81"/>
      <c r="W190" s="94"/>
      <c r="X190" s="81"/>
      <c r="Y190" s="93"/>
      <c r="Z190" s="81"/>
      <c r="AA190" s="94"/>
      <c r="AB190" s="81"/>
      <c r="AC190" s="93"/>
      <c r="AD190" s="81"/>
      <c r="AE190" s="94"/>
      <c r="AF190" s="81"/>
      <c r="AG190" s="93"/>
      <c r="AH190" s="81"/>
      <c r="AI190" s="94"/>
      <c r="AJ190" s="81"/>
      <c r="AK190" s="93"/>
      <c r="AL190" s="81"/>
      <c r="AM190" s="94"/>
      <c r="AN190" s="81"/>
      <c r="AO190" s="93"/>
      <c r="AP190" s="81"/>
      <c r="AQ190" s="94"/>
      <c r="AR190" s="81"/>
      <c r="AS190" s="94"/>
      <c r="AT190" s="306"/>
      <c r="AU190" s="94"/>
      <c r="AV190" s="306"/>
      <c r="AW190" s="94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">
        <v>1055</v>
      </c>
      <c r="B191" t="s">
        <v>158</v>
      </c>
      <c r="C191" s="52" t="s">
        <v>1056</v>
      </c>
      <c r="D191" s="52" t="s">
        <v>1056</v>
      </c>
      <c r="E191">
        <v>172.4</v>
      </c>
      <c r="F191">
        <v>119</v>
      </c>
      <c r="G191" s="64">
        <v>45250</v>
      </c>
      <c r="H191">
        <v>360</v>
      </c>
      <c r="I191">
        <v>360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69">
        <f t="shared" si="30"/>
        <v>189.58333333333334</v>
      </c>
      <c r="Q191" s="82" t="s">
        <v>584</v>
      </c>
      <c r="R191" s="83">
        <v>2.2999999999999998</v>
      </c>
      <c r="S191" s="82" t="s">
        <v>585</v>
      </c>
      <c r="T191" s="83">
        <v>0.7</v>
      </c>
      <c r="U191" s="82" t="s">
        <v>586</v>
      </c>
      <c r="V191" s="83">
        <v>2.1</v>
      </c>
      <c r="W191" s="102" t="s">
        <v>1057</v>
      </c>
      <c r="X191" s="103">
        <v>2</v>
      </c>
      <c r="Y191" s="104" t="s">
        <v>591</v>
      </c>
      <c r="Z191" s="103">
        <v>1</v>
      </c>
      <c r="AA191" s="311" t="s">
        <v>592</v>
      </c>
      <c r="AB191" s="310">
        <v>1</v>
      </c>
      <c r="AC191" s="93"/>
      <c r="AD191" s="81"/>
      <c r="AE191" s="94"/>
      <c r="AF191" s="81"/>
      <c r="AG191" s="93"/>
      <c r="AH191" s="81"/>
      <c r="AI191" s="94"/>
      <c r="AJ191" s="81"/>
      <c r="AK191" s="93"/>
      <c r="AL191" s="81"/>
      <c r="AM191" s="94"/>
      <c r="AN191" s="81"/>
      <c r="AO191" s="93"/>
      <c r="AP191" s="81"/>
      <c r="AQ191" s="94"/>
      <c r="AR191" s="81"/>
      <c r="AS191" s="94"/>
      <c r="AT191" s="306"/>
      <c r="AU191" s="94"/>
      <c r="AV191" s="306"/>
      <c r="AW191" s="94"/>
      <c r="AX191" s="66">
        <f t="shared" si="26"/>
        <v>9.1</v>
      </c>
      <c r="AY191" s="78">
        <f t="shared" si="27"/>
        <v>189.58333333333334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267.19166666666666</v>
      </c>
      <c r="BC191" s="53">
        <f t="shared" si="29"/>
        <v>213.79166666666669</v>
      </c>
    </row>
    <row r="192" spans="1:55" ht="13.15">
      <c r="A192" t="s">
        <v>1058</v>
      </c>
      <c r="B192" t="s">
        <v>158</v>
      </c>
      <c r="C192" s="52" t="s">
        <v>1056</v>
      </c>
      <c r="D192" s="52" t="s">
        <v>1056</v>
      </c>
      <c r="E192">
        <v>100</v>
      </c>
      <c r="F192">
        <v>100</v>
      </c>
      <c r="G192" s="64">
        <v>44116</v>
      </c>
      <c r="H192">
        <v>300</v>
      </c>
      <c r="I192">
        <v>300</v>
      </c>
      <c r="J192">
        <v>0</v>
      </c>
      <c r="K192">
        <v>0</v>
      </c>
      <c r="L192">
        <v>0</v>
      </c>
      <c r="M192">
        <v>2</v>
      </c>
      <c r="N192">
        <v>6</v>
      </c>
      <c r="O192">
        <v>35</v>
      </c>
      <c r="P192" s="69">
        <f t="shared" si="30"/>
        <v>0</v>
      </c>
      <c r="Q192" s="93"/>
      <c r="R192" s="81"/>
      <c r="S192" s="94"/>
      <c r="T192" s="81"/>
      <c r="U192" s="93"/>
      <c r="V192" s="81"/>
      <c r="W192" s="94"/>
      <c r="X192" s="81"/>
      <c r="Y192" s="93"/>
      <c r="Z192" s="81"/>
      <c r="AA192" s="94"/>
      <c r="AB192" s="81"/>
      <c r="AC192" s="93"/>
      <c r="AD192" s="81"/>
      <c r="AE192" s="94"/>
      <c r="AF192" s="81"/>
      <c r="AG192" s="93"/>
      <c r="AH192" s="81"/>
      <c r="AI192" s="94"/>
      <c r="AJ192" s="81"/>
      <c r="AK192" s="93"/>
      <c r="AL192" s="81"/>
      <c r="AM192" s="94"/>
      <c r="AN192" s="81"/>
      <c r="AO192" s="93"/>
      <c r="AP192" s="81"/>
      <c r="AQ192" s="94"/>
      <c r="AR192" s="81"/>
      <c r="AS192" s="94"/>
      <c r="AT192" s="306"/>
      <c r="AU192" s="94"/>
      <c r="AV192" s="306"/>
      <c r="AW192" s="94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">
        <v>1059</v>
      </c>
      <c r="B193" t="s">
        <v>158</v>
      </c>
      <c r="C193" s="52" t="s">
        <v>1056</v>
      </c>
      <c r="D193" s="52" t="s">
        <v>1056</v>
      </c>
      <c r="E193">
        <v>260</v>
      </c>
      <c r="F193">
        <v>230</v>
      </c>
      <c r="G193" s="64">
        <v>44382</v>
      </c>
      <c r="H193">
        <v>300</v>
      </c>
      <c r="I193">
        <v>300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17</v>
      </c>
      <c r="P193" s="69">
        <f t="shared" si="30"/>
        <v>83.333333333333329</v>
      </c>
      <c r="Q193" s="82" t="s">
        <v>1060</v>
      </c>
      <c r="R193" s="83">
        <v>4</v>
      </c>
      <c r="S193" s="94"/>
      <c r="T193" s="81"/>
      <c r="U193" s="93"/>
      <c r="V193" s="81"/>
      <c r="W193" s="94"/>
      <c r="X193" s="81"/>
      <c r="Y193" s="93"/>
      <c r="Z193" s="81"/>
      <c r="AA193" s="94"/>
      <c r="AB193" s="81"/>
      <c r="AC193" s="93"/>
      <c r="AD193" s="81"/>
      <c r="AE193" s="94"/>
      <c r="AF193" s="81"/>
      <c r="AG193" s="93"/>
      <c r="AH193" s="81"/>
      <c r="AI193" s="94"/>
      <c r="AJ193" s="81"/>
      <c r="AK193" s="93"/>
      <c r="AL193" s="81"/>
      <c r="AM193" s="94"/>
      <c r="AN193" s="81"/>
      <c r="AO193" s="93"/>
      <c r="AP193" s="81"/>
      <c r="AQ193" s="94"/>
      <c r="AR193" s="81"/>
      <c r="AS193" s="94"/>
      <c r="AT193" s="306"/>
      <c r="AU193" s="94"/>
      <c r="AV193" s="306"/>
      <c r="AW193" s="94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">
        <v>1061</v>
      </c>
      <c r="B194" t="s">
        <v>158</v>
      </c>
      <c r="C194" s="52" t="s">
        <v>1056</v>
      </c>
      <c r="D194" s="52" t="s">
        <v>1056</v>
      </c>
      <c r="E194">
        <v>250</v>
      </c>
      <c r="F194">
        <v>250</v>
      </c>
      <c r="G194" s="64">
        <v>44116</v>
      </c>
      <c r="H194">
        <v>300</v>
      </c>
      <c r="I194">
        <v>300</v>
      </c>
      <c r="J194">
        <v>0</v>
      </c>
      <c r="K194">
        <v>0</v>
      </c>
      <c r="L194">
        <v>3</v>
      </c>
      <c r="M194">
        <v>0</v>
      </c>
      <c r="N194">
        <v>4</v>
      </c>
      <c r="O194">
        <v>29</v>
      </c>
      <c r="P194" s="69">
        <f t="shared" si="30"/>
        <v>0</v>
      </c>
      <c r="Q194" s="93"/>
      <c r="R194" s="81"/>
      <c r="S194" s="94"/>
      <c r="T194" s="81"/>
      <c r="U194" s="93"/>
      <c r="V194" s="81"/>
      <c r="W194" s="94"/>
      <c r="X194" s="81"/>
      <c r="Y194" s="93"/>
      <c r="Z194" s="81"/>
      <c r="AA194" s="94"/>
      <c r="AB194" s="81"/>
      <c r="AC194" s="93"/>
      <c r="AD194" s="81"/>
      <c r="AE194" s="94"/>
      <c r="AF194" s="81"/>
      <c r="AG194" s="93"/>
      <c r="AH194" s="81"/>
      <c r="AI194" s="94"/>
      <c r="AJ194" s="81"/>
      <c r="AK194" s="93"/>
      <c r="AL194" s="81"/>
      <c r="AM194" s="94"/>
      <c r="AN194" s="81"/>
      <c r="AO194" s="93"/>
      <c r="AP194" s="81"/>
      <c r="AQ194" s="94"/>
      <c r="AR194" s="81"/>
      <c r="AS194" s="94"/>
      <c r="AT194" s="306"/>
      <c r="AU194" s="94"/>
      <c r="AV194" s="306"/>
      <c r="AW194" s="94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">
        <v>1062</v>
      </c>
      <c r="B195" t="s">
        <v>158</v>
      </c>
      <c r="C195" s="52" t="s">
        <v>1056</v>
      </c>
      <c r="D195" s="52" t="s">
        <v>1056</v>
      </c>
      <c r="E195">
        <v>50</v>
      </c>
      <c r="F195">
        <v>0</v>
      </c>
      <c r="G195" s="64">
        <v>44116</v>
      </c>
      <c r="H195">
        <v>300</v>
      </c>
      <c r="I195">
        <v>300</v>
      </c>
      <c r="J195">
        <v>0</v>
      </c>
      <c r="K195">
        <v>0</v>
      </c>
      <c r="L195">
        <v>0</v>
      </c>
      <c r="M195">
        <v>16</v>
      </c>
      <c r="N195">
        <v>9</v>
      </c>
      <c r="O195">
        <v>18</v>
      </c>
      <c r="P195" s="69">
        <f t="shared" si="30"/>
        <v>87.5</v>
      </c>
      <c r="Q195" s="104" t="s">
        <v>593</v>
      </c>
      <c r="R195" s="103">
        <v>1</v>
      </c>
      <c r="S195" s="94"/>
      <c r="T195" s="81"/>
      <c r="U195" s="104" t="s">
        <v>1063</v>
      </c>
      <c r="V195" s="103">
        <v>3.2</v>
      </c>
      <c r="W195" s="94"/>
      <c r="X195" s="81"/>
      <c r="Y195" s="93"/>
      <c r="Z195" s="81"/>
      <c r="AA195" s="94"/>
      <c r="AB195" s="81"/>
      <c r="AC195" s="93"/>
      <c r="AD195" s="81"/>
      <c r="AE195" s="94"/>
      <c r="AF195" s="81"/>
      <c r="AG195" s="93"/>
      <c r="AH195" s="81"/>
      <c r="AI195" s="94"/>
      <c r="AJ195" s="81"/>
      <c r="AK195" s="93"/>
      <c r="AL195" s="81"/>
      <c r="AM195" s="94"/>
      <c r="AN195" s="81"/>
      <c r="AO195" s="93"/>
      <c r="AP195" s="81"/>
      <c r="AQ195" s="94"/>
      <c r="AR195" s="81"/>
      <c r="AS195" s="94"/>
      <c r="AT195" s="306"/>
      <c r="AU195" s="94"/>
      <c r="AV195" s="306"/>
      <c r="AW195" s="94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">
        <v>1064</v>
      </c>
      <c r="B196" t="s">
        <v>158</v>
      </c>
      <c r="C196" s="52" t="s">
        <v>1056</v>
      </c>
      <c r="D196" s="52" t="s">
        <v>1056</v>
      </c>
      <c r="E196">
        <v>150</v>
      </c>
      <c r="F196">
        <v>150</v>
      </c>
      <c r="G196" s="64">
        <v>44116</v>
      </c>
      <c r="H196">
        <v>300</v>
      </c>
      <c r="I196">
        <v>300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12</v>
      </c>
      <c r="P196" s="69">
        <f t="shared" si="30"/>
        <v>0</v>
      </c>
      <c r="Q196" s="93"/>
      <c r="R196" s="81"/>
      <c r="S196" s="94"/>
      <c r="T196" s="81"/>
      <c r="U196" s="93"/>
      <c r="V196" s="81"/>
      <c r="W196" s="94"/>
      <c r="X196" s="81"/>
      <c r="Y196" s="93"/>
      <c r="Z196" s="81"/>
      <c r="AA196" s="94"/>
      <c r="AB196" s="81"/>
      <c r="AC196" s="93"/>
      <c r="AD196" s="81"/>
      <c r="AE196" s="94"/>
      <c r="AF196" s="81"/>
      <c r="AG196" s="93"/>
      <c r="AH196" s="81"/>
      <c r="AI196" s="94"/>
      <c r="AJ196" s="81"/>
      <c r="AK196" s="93"/>
      <c r="AL196" s="81"/>
      <c r="AM196" s="94"/>
      <c r="AN196" s="81"/>
      <c r="AO196" s="93"/>
      <c r="AP196" s="81"/>
      <c r="AQ196" s="94"/>
      <c r="AR196" s="81"/>
      <c r="AS196" s="94"/>
      <c r="AT196" s="306"/>
      <c r="AU196" s="94"/>
      <c r="AV196" s="306"/>
      <c r="AW196" s="94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">
        <v>1065</v>
      </c>
      <c r="B197" t="s">
        <v>158</v>
      </c>
      <c r="C197" s="52" t="s">
        <v>1056</v>
      </c>
      <c r="D197" s="52" t="s">
        <v>1056</v>
      </c>
      <c r="E197">
        <v>241</v>
      </c>
      <c r="F197">
        <v>156</v>
      </c>
      <c r="G197" s="64">
        <v>44482</v>
      </c>
      <c r="H197">
        <v>300</v>
      </c>
      <c r="I197">
        <v>300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14</v>
      </c>
      <c r="P197" s="69">
        <f t="shared" ref="P197:P253" si="42">SUM(AY197+BA197)</f>
        <v>202.08333333333337</v>
      </c>
      <c r="Q197" s="93" t="s">
        <v>1066</v>
      </c>
      <c r="R197" s="81">
        <v>5</v>
      </c>
      <c r="S197" s="90" t="s">
        <v>1067</v>
      </c>
      <c r="T197" s="83">
        <v>2.9</v>
      </c>
      <c r="U197" s="82" t="s">
        <v>588</v>
      </c>
      <c r="V197" s="83">
        <v>1.8</v>
      </c>
      <c r="W197" s="94"/>
      <c r="X197" s="81"/>
      <c r="Y197" s="93"/>
      <c r="Z197" s="81"/>
      <c r="AA197" s="94"/>
      <c r="AB197" s="81"/>
      <c r="AC197" s="93"/>
      <c r="AD197" s="81"/>
      <c r="AE197" s="94"/>
      <c r="AF197" s="81"/>
      <c r="AG197" s="93"/>
      <c r="AH197" s="81"/>
      <c r="AI197" s="94"/>
      <c r="AJ197" s="81"/>
      <c r="AK197" s="93"/>
      <c r="AL197" s="81"/>
      <c r="AM197" s="94"/>
      <c r="AN197" s="81"/>
      <c r="AO197" s="93"/>
      <c r="AP197" s="81"/>
      <c r="AQ197" s="94"/>
      <c r="AR197" s="81"/>
      <c r="AS197" s="94"/>
      <c r="AT197" s="306"/>
      <c r="AU197" s="94"/>
      <c r="AV197" s="306"/>
      <c r="AW197" s="94"/>
      <c r="AX197" s="66">
        <f t="shared" si="38"/>
        <v>9.7000000000000011</v>
      </c>
      <c r="AY197" s="78">
        <f t="shared" si="39"/>
        <v>202.08333333333337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342.04166666666669</v>
      </c>
      <c r="BC197" s="53">
        <f t="shared" si="41"/>
        <v>257.04166666666669</v>
      </c>
    </row>
    <row r="198" spans="1:55" ht="13.15">
      <c r="A198" t="s">
        <v>1068</v>
      </c>
      <c r="B198" t="s">
        <v>158</v>
      </c>
      <c r="C198" s="52" t="s">
        <v>1056</v>
      </c>
      <c r="D198" s="52" t="s">
        <v>1056</v>
      </c>
      <c r="E198">
        <v>0</v>
      </c>
      <c r="F198">
        <v>0</v>
      </c>
      <c r="G198" s="64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69">
        <f t="shared" si="42"/>
        <v>0</v>
      </c>
      <c r="Q198" s="93"/>
      <c r="R198" s="81"/>
      <c r="S198" s="94"/>
      <c r="T198" s="81"/>
      <c r="U198" s="93"/>
      <c r="V198" s="81"/>
      <c r="W198" s="94"/>
      <c r="X198" s="81"/>
      <c r="Y198" s="93"/>
      <c r="Z198" s="81"/>
      <c r="AA198" s="94"/>
      <c r="AB198" s="81"/>
      <c r="AC198" s="93"/>
      <c r="AD198" s="81"/>
      <c r="AE198" s="94"/>
      <c r="AF198" s="81"/>
      <c r="AG198" s="93"/>
      <c r="AH198" s="81"/>
      <c r="AI198" s="94"/>
      <c r="AJ198" s="81"/>
      <c r="AK198" s="93"/>
      <c r="AL198" s="81"/>
      <c r="AM198" s="94"/>
      <c r="AN198" s="81"/>
      <c r="AO198" s="93"/>
      <c r="AP198" s="81"/>
      <c r="AQ198" s="94"/>
      <c r="AR198" s="81"/>
      <c r="AS198" s="94"/>
      <c r="AT198" s="306"/>
      <c r="AU198" s="94"/>
      <c r="AV198" s="306"/>
      <c r="AW198" s="94"/>
      <c r="AX198" s="66">
        <f t="shared" si="38"/>
        <v>0</v>
      </c>
      <c r="AY198" s="78">
        <f t="shared" si="39"/>
        <v>0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0</v>
      </c>
      <c r="BC198" s="53">
        <f t="shared" si="41"/>
        <v>0</v>
      </c>
    </row>
    <row r="199" spans="1:55" ht="13.15">
      <c r="A199" t="s">
        <v>1069</v>
      </c>
      <c r="B199" t="s">
        <v>161</v>
      </c>
      <c r="C199" s="52" t="s">
        <v>1070</v>
      </c>
      <c r="D199" s="52" t="s">
        <v>1070</v>
      </c>
      <c r="E199">
        <v>130</v>
      </c>
      <c r="F199">
        <v>155</v>
      </c>
      <c r="G199" s="64">
        <v>44974</v>
      </c>
      <c r="H199">
        <v>300</v>
      </c>
      <c r="I199">
        <v>300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23</v>
      </c>
      <c r="P199" s="69">
        <f t="shared" si="42"/>
        <v>0</v>
      </c>
      <c r="Q199" s="93"/>
      <c r="R199" s="81"/>
      <c r="S199" s="94"/>
      <c r="T199" s="81"/>
      <c r="U199" s="93"/>
      <c r="V199" s="81"/>
      <c r="W199" s="94"/>
      <c r="X199" s="81"/>
      <c r="Y199" s="93"/>
      <c r="Z199" s="81"/>
      <c r="AA199" s="94"/>
      <c r="AB199" s="81"/>
      <c r="AC199" s="93"/>
      <c r="AD199" s="81"/>
      <c r="AE199" s="94"/>
      <c r="AF199" s="81"/>
      <c r="AG199" s="93"/>
      <c r="AH199" s="81"/>
      <c r="AI199" s="94"/>
      <c r="AJ199" s="81"/>
      <c r="AK199" s="93"/>
      <c r="AL199" s="81"/>
      <c r="AM199" s="94"/>
      <c r="AN199" s="81"/>
      <c r="AO199" s="93"/>
      <c r="AP199" s="81"/>
      <c r="AQ199" s="94"/>
      <c r="AR199" s="81"/>
      <c r="AS199" s="94"/>
      <c r="AT199" s="306"/>
      <c r="AU199" s="94"/>
      <c r="AV199" s="306"/>
      <c r="AW199" s="94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130</v>
      </c>
      <c r="BC199" s="53">
        <f t="shared" si="41"/>
        <v>155</v>
      </c>
    </row>
    <row r="200" spans="1:55" ht="13.15">
      <c r="A200" t="s">
        <v>1071</v>
      </c>
      <c r="B200" t="s">
        <v>161</v>
      </c>
      <c r="C200" s="52" t="s">
        <v>1070</v>
      </c>
      <c r="D200" s="52" t="s">
        <v>1070</v>
      </c>
      <c r="E200">
        <v>136</v>
      </c>
      <c r="F200">
        <v>122</v>
      </c>
      <c r="G200" s="64">
        <v>44974</v>
      </c>
      <c r="H200">
        <v>300</v>
      </c>
      <c r="I200">
        <v>300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34</v>
      </c>
      <c r="P200" s="69">
        <f t="shared" si="42"/>
        <v>222.91666666666666</v>
      </c>
      <c r="Q200" s="82" t="s">
        <v>597</v>
      </c>
      <c r="R200" s="83">
        <v>5</v>
      </c>
      <c r="S200" s="82" t="s">
        <v>598</v>
      </c>
      <c r="T200" s="83">
        <v>1.5</v>
      </c>
      <c r="U200" s="84" t="s">
        <v>599</v>
      </c>
      <c r="V200" s="292">
        <v>3.2</v>
      </c>
      <c r="W200" s="311" t="s">
        <v>600</v>
      </c>
      <c r="X200" s="310">
        <v>1</v>
      </c>
      <c r="Y200" s="104"/>
      <c r="Z200" s="103"/>
      <c r="AA200" s="94"/>
      <c r="AB200" s="81"/>
      <c r="AC200" s="93"/>
      <c r="AD200" s="81"/>
      <c r="AE200" s="94"/>
      <c r="AF200" s="81"/>
      <c r="AG200" s="93"/>
      <c r="AH200" s="81"/>
      <c r="AI200" s="94"/>
      <c r="AJ200" s="81"/>
      <c r="AK200" s="93"/>
      <c r="AL200" s="81"/>
      <c r="AM200" s="94"/>
      <c r="AN200" s="81"/>
      <c r="AO200" s="93"/>
      <c r="AP200" s="81"/>
      <c r="AQ200" s="94"/>
      <c r="AR200" s="81"/>
      <c r="AS200" s="94"/>
      <c r="AT200" s="306"/>
      <c r="AU200" s="94"/>
      <c r="AV200" s="306"/>
      <c r="AW200" s="94"/>
      <c r="AX200" s="66">
        <f t="shared" si="38"/>
        <v>10.7</v>
      </c>
      <c r="AY200" s="78">
        <f t="shared" si="39"/>
        <v>222.91666666666666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247.45833333333331</v>
      </c>
      <c r="BC200" s="53">
        <f t="shared" si="41"/>
        <v>233.45833333333331</v>
      </c>
    </row>
    <row r="201" spans="1:55" ht="13.15">
      <c r="A201" t="s">
        <v>1072</v>
      </c>
      <c r="B201" t="s">
        <v>161</v>
      </c>
      <c r="C201" s="52" t="s">
        <v>1070</v>
      </c>
      <c r="D201" s="52" t="s">
        <v>1070</v>
      </c>
      <c r="E201" t="s">
        <v>829</v>
      </c>
      <c r="F201" t="s">
        <v>829</v>
      </c>
      <c r="G201" s="64">
        <v>44974</v>
      </c>
      <c r="H201">
        <v>80</v>
      </c>
      <c r="I201">
        <v>80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0</v>
      </c>
      <c r="P201" s="69">
        <f t="shared" si="42"/>
        <v>0</v>
      </c>
      <c r="Q201" s="93"/>
      <c r="R201" s="81"/>
      <c r="S201" s="94"/>
      <c r="T201" s="81"/>
      <c r="U201" s="93"/>
      <c r="V201" s="81"/>
      <c r="W201" s="94"/>
      <c r="X201" s="81"/>
      <c r="Y201" s="93"/>
      <c r="Z201" s="81"/>
      <c r="AA201" s="94"/>
      <c r="AB201" s="81"/>
      <c r="AC201" s="93"/>
      <c r="AD201" s="81"/>
      <c r="AE201" s="94"/>
      <c r="AF201" s="81"/>
      <c r="AG201" s="93"/>
      <c r="AH201" s="81"/>
      <c r="AI201" s="94"/>
      <c r="AJ201" s="81"/>
      <c r="AK201" s="93"/>
      <c r="AL201" s="81"/>
      <c r="AM201" s="94"/>
      <c r="AN201" s="81"/>
      <c r="AO201" s="93"/>
      <c r="AP201" s="81"/>
      <c r="AQ201" s="94"/>
      <c r="AR201" s="81"/>
      <c r="AS201" s="94"/>
      <c r="AT201" s="306"/>
      <c r="AU201" s="94"/>
      <c r="AV201" s="306"/>
      <c r="AW201" s="94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">
        <v>1073</v>
      </c>
      <c r="B202" t="s">
        <v>161</v>
      </c>
      <c r="C202" s="52" t="s">
        <v>1070</v>
      </c>
      <c r="D202" s="52" t="s">
        <v>1070</v>
      </c>
      <c r="E202" t="s">
        <v>829</v>
      </c>
      <c r="F202" t="s">
        <v>829</v>
      </c>
      <c r="G202" s="64">
        <v>44974</v>
      </c>
      <c r="H202">
        <v>80</v>
      </c>
      <c r="I202">
        <v>80</v>
      </c>
      <c r="J202">
        <v>0</v>
      </c>
      <c r="K202">
        <v>0</v>
      </c>
      <c r="L202">
        <v>0</v>
      </c>
      <c r="M202">
        <v>0</v>
      </c>
      <c r="N202">
        <v>11</v>
      </c>
      <c r="O202">
        <v>0</v>
      </c>
      <c r="P202" s="69">
        <f t="shared" si="42"/>
        <v>0</v>
      </c>
      <c r="Q202" s="93"/>
      <c r="R202" s="81"/>
      <c r="S202" s="94"/>
      <c r="T202" s="81"/>
      <c r="U202" s="93"/>
      <c r="V202" s="81"/>
      <c r="W202" s="94"/>
      <c r="X202" s="81"/>
      <c r="Y202" s="93"/>
      <c r="Z202" s="81"/>
      <c r="AA202" s="94"/>
      <c r="AB202" s="81"/>
      <c r="AC202" s="93"/>
      <c r="AD202" s="81"/>
      <c r="AE202" s="94"/>
      <c r="AF202" s="81"/>
      <c r="AG202" s="93"/>
      <c r="AH202" s="81"/>
      <c r="AI202" s="94"/>
      <c r="AJ202" s="81"/>
      <c r="AK202" s="93"/>
      <c r="AL202" s="81"/>
      <c r="AM202" s="94"/>
      <c r="AN202" s="81"/>
      <c r="AO202" s="93"/>
      <c r="AP202" s="81"/>
      <c r="AQ202" s="94"/>
      <c r="AR202" s="81"/>
      <c r="AS202" s="94"/>
      <c r="AT202" s="306"/>
      <c r="AU202" s="94"/>
      <c r="AV202" s="306"/>
      <c r="AW202" s="94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">
        <v>1074</v>
      </c>
      <c r="B203" t="s">
        <v>161</v>
      </c>
      <c r="C203" s="52" t="s">
        <v>1070</v>
      </c>
      <c r="D203" s="52" t="s">
        <v>1070</v>
      </c>
      <c r="E203" t="s">
        <v>829</v>
      </c>
      <c r="F203" t="s">
        <v>829</v>
      </c>
      <c r="G203" s="64">
        <v>44974</v>
      </c>
      <c r="H203">
        <v>80</v>
      </c>
      <c r="I203">
        <v>80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</v>
      </c>
      <c r="P203" s="69">
        <f t="shared" si="42"/>
        <v>0</v>
      </c>
      <c r="Q203" s="93"/>
      <c r="R203" s="81"/>
      <c r="S203" s="94"/>
      <c r="T203" s="81"/>
      <c r="U203" s="93"/>
      <c r="V203" s="81"/>
      <c r="W203" s="94"/>
      <c r="X203" s="81"/>
      <c r="Y203" s="93"/>
      <c r="Z203" s="81"/>
      <c r="AA203" s="94"/>
      <c r="AB203" s="81"/>
      <c r="AC203" s="93"/>
      <c r="AD203" s="81"/>
      <c r="AE203" s="94"/>
      <c r="AF203" s="81"/>
      <c r="AG203" s="93"/>
      <c r="AH203" s="81"/>
      <c r="AI203" s="94"/>
      <c r="AJ203" s="81"/>
      <c r="AK203" s="93"/>
      <c r="AL203" s="81"/>
      <c r="AM203" s="94"/>
      <c r="AN203" s="81"/>
      <c r="AO203" s="93"/>
      <c r="AP203" s="81"/>
      <c r="AQ203" s="94"/>
      <c r="AR203" s="81"/>
      <c r="AS203" s="94"/>
      <c r="AT203" s="306"/>
      <c r="AU203" s="94"/>
      <c r="AV203" s="306"/>
      <c r="AW203" s="94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">
        <v>1075</v>
      </c>
      <c r="B204" t="s">
        <v>161</v>
      </c>
      <c r="C204" s="52" t="s">
        <v>1070</v>
      </c>
      <c r="D204" s="52" t="s">
        <v>1070</v>
      </c>
      <c r="E204" t="s">
        <v>829</v>
      </c>
      <c r="F204" t="s">
        <v>829</v>
      </c>
      <c r="G204" s="64">
        <v>44974</v>
      </c>
      <c r="H204">
        <v>80</v>
      </c>
      <c r="I204">
        <v>80</v>
      </c>
      <c r="J204">
        <v>0</v>
      </c>
      <c r="K204">
        <v>0</v>
      </c>
      <c r="L204">
        <v>0</v>
      </c>
      <c r="M204">
        <v>0</v>
      </c>
      <c r="N204">
        <v>10</v>
      </c>
      <c r="O204">
        <v>0</v>
      </c>
      <c r="P204" s="69">
        <f t="shared" si="42"/>
        <v>0</v>
      </c>
      <c r="Q204" s="93"/>
      <c r="R204" s="81"/>
      <c r="S204" s="94"/>
      <c r="T204" s="81"/>
      <c r="U204" s="93"/>
      <c r="V204" s="81"/>
      <c r="W204" s="94"/>
      <c r="X204" s="81"/>
      <c r="Y204" s="93"/>
      <c r="Z204" s="81"/>
      <c r="AA204" s="94"/>
      <c r="AB204" s="81"/>
      <c r="AC204" s="93"/>
      <c r="AD204" s="81"/>
      <c r="AE204" s="94"/>
      <c r="AF204" s="81"/>
      <c r="AG204" s="93"/>
      <c r="AH204" s="81"/>
      <c r="AI204" s="94"/>
      <c r="AJ204" s="81"/>
      <c r="AK204" s="93"/>
      <c r="AL204" s="81"/>
      <c r="AM204" s="94"/>
      <c r="AN204" s="81"/>
      <c r="AO204" s="93"/>
      <c r="AP204" s="81"/>
      <c r="AQ204" s="94"/>
      <c r="AR204" s="81"/>
      <c r="AS204" s="94"/>
      <c r="AT204" s="306"/>
      <c r="AU204" s="94"/>
      <c r="AV204" s="306"/>
      <c r="AW204" s="94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">
        <v>1076</v>
      </c>
      <c r="B205" t="s">
        <v>161</v>
      </c>
      <c r="C205" s="52" t="s">
        <v>1070</v>
      </c>
      <c r="D205" s="52" t="s">
        <v>1070</v>
      </c>
      <c r="E205" t="s">
        <v>829</v>
      </c>
      <c r="F205" t="s">
        <v>829</v>
      </c>
      <c r="G205" s="64">
        <v>44974</v>
      </c>
      <c r="H205">
        <v>80</v>
      </c>
      <c r="I205">
        <v>80</v>
      </c>
      <c r="J205">
        <v>0</v>
      </c>
      <c r="K205">
        <v>0</v>
      </c>
      <c r="L205">
        <v>0</v>
      </c>
      <c r="M205">
        <v>0</v>
      </c>
      <c r="N205">
        <v>12</v>
      </c>
      <c r="O205">
        <v>0</v>
      </c>
      <c r="P205" s="69">
        <f t="shared" si="42"/>
        <v>0</v>
      </c>
      <c r="Q205" s="93"/>
      <c r="R205" s="81"/>
      <c r="S205" s="94"/>
      <c r="T205" s="81"/>
      <c r="U205" s="93"/>
      <c r="V205" s="81"/>
      <c r="W205" s="94"/>
      <c r="X205" s="81"/>
      <c r="Y205" s="93"/>
      <c r="Z205" s="81"/>
      <c r="AA205" s="94"/>
      <c r="AB205" s="81"/>
      <c r="AC205" s="93"/>
      <c r="AD205" s="81"/>
      <c r="AE205" s="94"/>
      <c r="AF205" s="81"/>
      <c r="AG205" s="93"/>
      <c r="AH205" s="81"/>
      <c r="AI205" s="94"/>
      <c r="AJ205" s="81"/>
      <c r="AK205" s="93"/>
      <c r="AL205" s="81"/>
      <c r="AM205" s="94"/>
      <c r="AN205" s="81"/>
      <c r="AO205" s="93"/>
      <c r="AP205" s="81"/>
      <c r="AQ205" s="94"/>
      <c r="AR205" s="81"/>
      <c r="AS205" s="94"/>
      <c r="AT205" s="306"/>
      <c r="AU205" s="94"/>
      <c r="AV205" s="306"/>
      <c r="AW205" s="94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">
        <v>1077</v>
      </c>
      <c r="B206" t="s">
        <v>161</v>
      </c>
      <c r="C206" s="52" t="s">
        <v>1070</v>
      </c>
      <c r="D206" s="52" t="s">
        <v>1070</v>
      </c>
      <c r="E206" t="s">
        <v>829</v>
      </c>
      <c r="F206" t="s">
        <v>829</v>
      </c>
      <c r="G206" s="64">
        <v>44974</v>
      </c>
      <c r="H206">
        <v>80</v>
      </c>
      <c r="I206">
        <v>80</v>
      </c>
      <c r="J206">
        <v>0</v>
      </c>
      <c r="K206">
        <v>0</v>
      </c>
      <c r="L206">
        <v>0</v>
      </c>
      <c r="M206">
        <v>0</v>
      </c>
      <c r="N206">
        <v>12</v>
      </c>
      <c r="O206">
        <v>0</v>
      </c>
      <c r="P206" s="69">
        <f t="shared" si="42"/>
        <v>0</v>
      </c>
      <c r="Q206" s="93"/>
      <c r="R206" s="81"/>
      <c r="S206" s="94"/>
      <c r="T206" s="81"/>
      <c r="U206" s="93"/>
      <c r="V206" s="81"/>
      <c r="W206" s="94"/>
      <c r="X206" s="81"/>
      <c r="Y206" s="93"/>
      <c r="Z206" s="81"/>
      <c r="AA206" s="94"/>
      <c r="AB206" s="81"/>
      <c r="AC206" s="93"/>
      <c r="AD206" s="81"/>
      <c r="AE206" s="94"/>
      <c r="AF206" s="81"/>
      <c r="AG206" s="93"/>
      <c r="AH206" s="81"/>
      <c r="AI206" s="94"/>
      <c r="AJ206" s="81"/>
      <c r="AK206" s="93"/>
      <c r="AL206" s="81"/>
      <c r="AM206" s="94"/>
      <c r="AN206" s="81"/>
      <c r="AO206" s="93"/>
      <c r="AP206" s="81"/>
      <c r="AQ206" s="94"/>
      <c r="AR206" s="81"/>
      <c r="AS206" s="94"/>
      <c r="AT206" s="306"/>
      <c r="AU206" s="94"/>
      <c r="AV206" s="306"/>
      <c r="AW206" s="94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">
        <v>1078</v>
      </c>
      <c r="B207" t="s">
        <v>161</v>
      </c>
      <c r="C207" s="52" t="s">
        <v>1070</v>
      </c>
      <c r="D207" s="52" t="s">
        <v>1070</v>
      </c>
      <c r="E207" t="s">
        <v>829</v>
      </c>
      <c r="F207" t="s">
        <v>829</v>
      </c>
      <c r="G207" s="64">
        <v>44974</v>
      </c>
      <c r="H207">
        <v>80</v>
      </c>
      <c r="I207">
        <v>80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 s="69">
        <f t="shared" si="42"/>
        <v>0</v>
      </c>
      <c r="Q207" s="93"/>
      <c r="R207" s="81"/>
      <c r="S207" s="94"/>
      <c r="T207" s="81"/>
      <c r="U207" s="93"/>
      <c r="V207" s="81"/>
      <c r="W207" s="94"/>
      <c r="X207" s="81"/>
      <c r="Y207" s="93"/>
      <c r="Z207" s="81"/>
      <c r="AA207" s="94"/>
      <c r="AB207" s="81"/>
      <c r="AC207" s="93"/>
      <c r="AD207" s="81"/>
      <c r="AE207" s="94"/>
      <c r="AF207" s="81"/>
      <c r="AG207" s="93"/>
      <c r="AH207" s="81"/>
      <c r="AI207" s="94"/>
      <c r="AJ207" s="81"/>
      <c r="AK207" s="93"/>
      <c r="AL207" s="81"/>
      <c r="AM207" s="94"/>
      <c r="AN207" s="81"/>
      <c r="AO207" s="93"/>
      <c r="AP207" s="81"/>
      <c r="AQ207" s="94"/>
      <c r="AR207" s="81"/>
      <c r="AS207" s="94"/>
      <c r="AT207" s="306"/>
      <c r="AU207" s="94"/>
      <c r="AV207" s="306"/>
      <c r="AW207" s="94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">
        <v>1079</v>
      </c>
      <c r="B208" t="s">
        <v>161</v>
      </c>
      <c r="C208" s="52" t="s">
        <v>1070</v>
      </c>
      <c r="D208" s="52" t="s">
        <v>1070</v>
      </c>
      <c r="E208" t="s">
        <v>829</v>
      </c>
      <c r="F208" t="s">
        <v>829</v>
      </c>
      <c r="G208" s="64">
        <v>44974</v>
      </c>
      <c r="H208">
        <v>80</v>
      </c>
      <c r="I208">
        <v>80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 s="69">
        <f t="shared" si="42"/>
        <v>0</v>
      </c>
      <c r="Q208" s="93"/>
      <c r="R208" s="81"/>
      <c r="S208" s="94"/>
      <c r="T208" s="81"/>
      <c r="U208" s="93"/>
      <c r="V208" s="81"/>
      <c r="W208" s="94"/>
      <c r="X208" s="81"/>
      <c r="Y208" s="93"/>
      <c r="Z208" s="81"/>
      <c r="AA208" s="94"/>
      <c r="AB208" s="81"/>
      <c r="AC208" s="93"/>
      <c r="AD208" s="81"/>
      <c r="AE208" s="94"/>
      <c r="AF208" s="81"/>
      <c r="AG208" s="93"/>
      <c r="AH208" s="81"/>
      <c r="AI208" s="94"/>
      <c r="AJ208" s="81"/>
      <c r="AK208" s="93"/>
      <c r="AL208" s="81"/>
      <c r="AM208" s="94"/>
      <c r="AN208" s="81"/>
      <c r="AO208" s="93"/>
      <c r="AP208" s="81"/>
      <c r="AQ208" s="94"/>
      <c r="AR208" s="81"/>
      <c r="AS208" s="94"/>
      <c r="AT208" s="306"/>
      <c r="AU208" s="94"/>
      <c r="AV208" s="306"/>
      <c r="AW208" s="94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">
        <v>1080</v>
      </c>
      <c r="B209" t="s">
        <v>161</v>
      </c>
      <c r="C209" s="52" t="s">
        <v>1070</v>
      </c>
      <c r="D209" s="52" t="s">
        <v>1070</v>
      </c>
      <c r="E209" t="s">
        <v>829</v>
      </c>
      <c r="F209" t="s">
        <v>829</v>
      </c>
      <c r="G209" s="64">
        <v>44974</v>
      </c>
      <c r="H209">
        <v>80</v>
      </c>
      <c r="I209">
        <v>80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0</v>
      </c>
      <c r="P209" s="69">
        <f t="shared" si="42"/>
        <v>0</v>
      </c>
      <c r="Q209" s="93"/>
      <c r="R209" s="81"/>
      <c r="S209" s="94"/>
      <c r="T209" s="81"/>
      <c r="U209" s="93"/>
      <c r="V209" s="81"/>
      <c r="W209" s="94"/>
      <c r="X209" s="81"/>
      <c r="Y209" s="93"/>
      <c r="Z209" s="81"/>
      <c r="AA209" s="94"/>
      <c r="AB209" s="81"/>
      <c r="AC209" s="93"/>
      <c r="AD209" s="81"/>
      <c r="AE209" s="94"/>
      <c r="AF209" s="81"/>
      <c r="AG209" s="93"/>
      <c r="AH209" s="81"/>
      <c r="AI209" s="94"/>
      <c r="AJ209" s="81"/>
      <c r="AK209" s="93"/>
      <c r="AL209" s="81"/>
      <c r="AM209" s="94"/>
      <c r="AN209" s="81"/>
      <c r="AO209" s="93"/>
      <c r="AP209" s="81"/>
      <c r="AQ209" s="94"/>
      <c r="AR209" s="81"/>
      <c r="AS209" s="94"/>
      <c r="AT209" s="306"/>
      <c r="AU209" s="94"/>
      <c r="AV209" s="306"/>
      <c r="AW209" s="94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">
        <v>1081</v>
      </c>
      <c r="B210" t="s">
        <v>161</v>
      </c>
      <c r="C210" s="52" t="s">
        <v>1070</v>
      </c>
      <c r="D210" s="52" t="s">
        <v>1070</v>
      </c>
      <c r="E210" t="s">
        <v>829</v>
      </c>
      <c r="F210" t="s">
        <v>829</v>
      </c>
      <c r="G210" s="64">
        <v>44974</v>
      </c>
      <c r="H210">
        <v>80</v>
      </c>
      <c r="I210">
        <v>80</v>
      </c>
      <c r="J210">
        <v>0</v>
      </c>
      <c r="K210">
        <v>0</v>
      </c>
      <c r="L210">
        <v>0</v>
      </c>
      <c r="M210">
        <v>0</v>
      </c>
      <c r="N210">
        <v>19</v>
      </c>
      <c r="O210">
        <v>0</v>
      </c>
      <c r="P210" s="69">
        <f t="shared" si="42"/>
        <v>0</v>
      </c>
      <c r="Q210" s="93"/>
      <c r="R210" s="81"/>
      <c r="S210" s="94"/>
      <c r="T210" s="81"/>
      <c r="U210" s="93"/>
      <c r="V210" s="81"/>
      <c r="W210" s="94"/>
      <c r="X210" s="81"/>
      <c r="Y210" s="93"/>
      <c r="Z210" s="81"/>
      <c r="AA210" s="94"/>
      <c r="AB210" s="81"/>
      <c r="AC210" s="93"/>
      <c r="AD210" s="81"/>
      <c r="AE210" s="94"/>
      <c r="AF210" s="81"/>
      <c r="AG210" s="93"/>
      <c r="AH210" s="81"/>
      <c r="AI210" s="94"/>
      <c r="AJ210" s="81"/>
      <c r="AK210" s="93"/>
      <c r="AL210" s="81"/>
      <c r="AM210" s="94"/>
      <c r="AN210" s="81"/>
      <c r="AO210" s="93"/>
      <c r="AP210" s="81"/>
      <c r="AQ210" s="94"/>
      <c r="AR210" s="81"/>
      <c r="AS210" s="94"/>
      <c r="AT210" s="306"/>
      <c r="AU210" s="94"/>
      <c r="AV210" s="306"/>
      <c r="AW210" s="94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">
        <v>1082</v>
      </c>
      <c r="B211" t="s">
        <v>161</v>
      </c>
      <c r="C211" s="52" t="s">
        <v>1070</v>
      </c>
      <c r="D211" s="52" t="s">
        <v>1070</v>
      </c>
      <c r="E211" t="s">
        <v>829</v>
      </c>
      <c r="F211" t="s">
        <v>829</v>
      </c>
      <c r="G211" s="64">
        <v>44974</v>
      </c>
      <c r="H211">
        <v>80</v>
      </c>
      <c r="I211">
        <v>80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0</v>
      </c>
      <c r="P211" s="69">
        <f t="shared" si="42"/>
        <v>0</v>
      </c>
      <c r="Q211" s="93"/>
      <c r="R211" s="81"/>
      <c r="S211" s="94"/>
      <c r="T211" s="81"/>
      <c r="U211" s="93"/>
      <c r="V211" s="81"/>
      <c r="W211" s="94"/>
      <c r="X211" s="81"/>
      <c r="Y211" s="93"/>
      <c r="Z211" s="81"/>
      <c r="AA211" s="94"/>
      <c r="AB211" s="81"/>
      <c r="AC211" s="93"/>
      <c r="AD211" s="81"/>
      <c r="AE211" s="94"/>
      <c r="AF211" s="81"/>
      <c r="AG211" s="93"/>
      <c r="AH211" s="81"/>
      <c r="AI211" s="94"/>
      <c r="AJ211" s="81"/>
      <c r="AK211" s="93"/>
      <c r="AL211" s="81"/>
      <c r="AM211" s="94"/>
      <c r="AN211" s="81"/>
      <c r="AO211" s="93"/>
      <c r="AP211" s="81"/>
      <c r="AQ211" s="94"/>
      <c r="AR211" s="81"/>
      <c r="AS211" s="94"/>
      <c r="AT211" s="306"/>
      <c r="AU211" s="94"/>
      <c r="AV211" s="306"/>
      <c r="AW211" s="94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">
        <v>1083</v>
      </c>
      <c r="B212" t="s">
        <v>161</v>
      </c>
      <c r="C212" s="52" t="s">
        <v>1070</v>
      </c>
      <c r="D212" s="52" t="s">
        <v>1070</v>
      </c>
      <c r="E212" t="s">
        <v>829</v>
      </c>
      <c r="F212" t="s">
        <v>829</v>
      </c>
      <c r="G212" s="64">
        <v>44974</v>
      </c>
      <c r="H212">
        <v>80</v>
      </c>
      <c r="I212">
        <v>80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0</v>
      </c>
      <c r="P212" s="69">
        <f t="shared" si="42"/>
        <v>0</v>
      </c>
      <c r="Q212" s="93"/>
      <c r="R212" s="81"/>
      <c r="S212" s="94"/>
      <c r="T212" s="81"/>
      <c r="U212" s="93"/>
      <c r="V212" s="81"/>
      <c r="W212" s="94"/>
      <c r="X212" s="81"/>
      <c r="Y212" s="93"/>
      <c r="Z212" s="81"/>
      <c r="AA212" s="94"/>
      <c r="AB212" s="81"/>
      <c r="AC212" s="93"/>
      <c r="AD212" s="81"/>
      <c r="AE212" s="94"/>
      <c r="AF212" s="81"/>
      <c r="AG212" s="93"/>
      <c r="AH212" s="81"/>
      <c r="AI212" s="94"/>
      <c r="AJ212" s="81"/>
      <c r="AK212" s="93"/>
      <c r="AL212" s="81"/>
      <c r="AM212" s="94"/>
      <c r="AN212" s="81"/>
      <c r="AO212" s="93"/>
      <c r="AP212" s="81"/>
      <c r="AQ212" s="94"/>
      <c r="AR212" s="81"/>
      <c r="AS212" s="94"/>
      <c r="AT212" s="306"/>
      <c r="AU212" s="94"/>
      <c r="AV212" s="306"/>
      <c r="AW212" s="94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">
        <v>1084</v>
      </c>
      <c r="B213" t="s">
        <v>161</v>
      </c>
      <c r="C213" s="52" t="s">
        <v>1070</v>
      </c>
      <c r="D213" s="52" t="s">
        <v>1070</v>
      </c>
      <c r="E213">
        <v>0</v>
      </c>
      <c r="F213">
        <v>0</v>
      </c>
      <c r="G213" s="64">
        <v>0</v>
      </c>
      <c r="H213">
        <v>300</v>
      </c>
      <c r="I213">
        <v>300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69">
        <f t="shared" si="42"/>
        <v>0</v>
      </c>
      <c r="Q213" s="93"/>
      <c r="R213" s="81"/>
      <c r="S213" s="94"/>
      <c r="T213" s="81"/>
      <c r="U213" s="93"/>
      <c r="V213" s="81"/>
      <c r="W213" s="94"/>
      <c r="X213" s="81"/>
      <c r="Y213" s="93"/>
      <c r="Z213" s="81"/>
      <c r="AA213" s="94"/>
      <c r="AB213" s="81"/>
      <c r="AC213" s="93"/>
      <c r="AD213" s="81"/>
      <c r="AE213" s="94"/>
      <c r="AF213" s="81"/>
      <c r="AG213" s="93"/>
      <c r="AH213" s="81"/>
      <c r="AI213" s="94"/>
      <c r="AJ213" s="81"/>
      <c r="AK213" s="93"/>
      <c r="AL213" s="81"/>
      <c r="AM213" s="94"/>
      <c r="AN213" s="81"/>
      <c r="AO213" s="93"/>
      <c r="AP213" s="81"/>
      <c r="AQ213" s="94"/>
      <c r="AR213" s="81"/>
      <c r="AS213" s="94"/>
      <c r="AT213" s="306"/>
      <c r="AU213" s="94"/>
      <c r="AV213" s="306"/>
      <c r="AW213" s="94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">
        <v>1084</v>
      </c>
      <c r="B214" t="s">
        <v>161</v>
      </c>
      <c r="C214" s="52" t="s">
        <v>1070</v>
      </c>
      <c r="D214" s="52" t="s">
        <v>1070</v>
      </c>
      <c r="E214">
        <v>0</v>
      </c>
      <c r="F214">
        <v>0</v>
      </c>
      <c r="G214" s="64">
        <v>0</v>
      </c>
      <c r="H214">
        <v>300</v>
      </c>
      <c r="I214">
        <v>300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 s="69">
        <f t="shared" si="42"/>
        <v>0</v>
      </c>
      <c r="Q214" s="93"/>
      <c r="R214" s="81"/>
      <c r="S214" s="94"/>
      <c r="T214" s="81"/>
      <c r="U214" s="93"/>
      <c r="V214" s="81"/>
      <c r="W214" s="94"/>
      <c r="X214" s="81"/>
      <c r="Y214" s="93"/>
      <c r="Z214" s="81"/>
      <c r="AA214" s="94"/>
      <c r="AB214" s="81"/>
      <c r="AC214" s="93"/>
      <c r="AD214" s="81"/>
      <c r="AE214" s="94"/>
      <c r="AF214" s="81"/>
      <c r="AG214" s="93"/>
      <c r="AH214" s="81"/>
      <c r="AI214" s="94"/>
      <c r="AJ214" s="81"/>
      <c r="AK214" s="93"/>
      <c r="AL214" s="81"/>
      <c r="AM214" s="94"/>
      <c r="AN214" s="81"/>
      <c r="AO214" s="93"/>
      <c r="AP214" s="81"/>
      <c r="AQ214" s="94"/>
      <c r="AR214" s="81"/>
      <c r="AS214" s="94"/>
      <c r="AT214" s="306"/>
      <c r="AU214" s="94"/>
      <c r="AV214" s="306"/>
      <c r="AW214" s="94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">
        <v>1085</v>
      </c>
      <c r="B215" t="s">
        <v>176</v>
      </c>
      <c r="C215" s="52" t="s">
        <v>1086</v>
      </c>
      <c r="D215" s="52" t="s">
        <v>1086</v>
      </c>
      <c r="E215">
        <v>0.5</v>
      </c>
      <c r="F215">
        <v>0.5</v>
      </c>
      <c r="G215" s="64" t="s">
        <v>1087</v>
      </c>
      <c r="H215">
        <v>300</v>
      </c>
      <c r="I215">
        <v>300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37</v>
      </c>
      <c r="P215" s="69">
        <f t="shared" si="42"/>
        <v>0</v>
      </c>
      <c r="Q215" s="93"/>
      <c r="R215" s="81"/>
      <c r="S215" s="94"/>
      <c r="T215" s="81"/>
      <c r="U215" s="93"/>
      <c r="V215" s="81"/>
      <c r="W215" s="94"/>
      <c r="X215" s="81"/>
      <c r="Y215" s="93"/>
      <c r="Z215" s="81"/>
      <c r="AA215" s="94"/>
      <c r="AB215" s="81"/>
      <c r="AC215" s="93"/>
      <c r="AD215" s="81"/>
      <c r="AE215" s="94"/>
      <c r="AF215" s="81"/>
      <c r="AG215" s="93"/>
      <c r="AH215" s="81"/>
      <c r="AI215" s="94"/>
      <c r="AJ215" s="81"/>
      <c r="AK215" s="93"/>
      <c r="AL215" s="81"/>
      <c r="AM215" s="94"/>
      <c r="AN215" s="81"/>
      <c r="AO215" s="93"/>
      <c r="AP215" s="81"/>
      <c r="AQ215" s="94"/>
      <c r="AR215" s="81"/>
      <c r="AS215" s="94"/>
      <c r="AT215" s="306"/>
      <c r="AU215" s="94"/>
      <c r="AV215" s="306"/>
      <c r="AW215" s="94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">
        <v>1088</v>
      </c>
      <c r="B216" t="s">
        <v>186</v>
      </c>
      <c r="C216" s="52" t="s">
        <v>1089</v>
      </c>
      <c r="D216" s="52" t="s">
        <v>1089</v>
      </c>
      <c r="E216">
        <v>40</v>
      </c>
      <c r="F216">
        <v>40</v>
      </c>
      <c r="G216" s="64">
        <v>44235</v>
      </c>
      <c r="H216">
        <v>300</v>
      </c>
      <c r="I216">
        <v>300</v>
      </c>
      <c r="J216">
        <v>0</v>
      </c>
      <c r="K216">
        <v>0</v>
      </c>
      <c r="L216">
        <v>14</v>
      </c>
      <c r="M216">
        <v>1</v>
      </c>
      <c r="N216">
        <v>0</v>
      </c>
      <c r="O216">
        <v>32</v>
      </c>
      <c r="P216" s="69">
        <f t="shared" si="42"/>
        <v>104.16666666666667</v>
      </c>
      <c r="Q216" s="82" t="s">
        <v>647</v>
      </c>
      <c r="R216" s="83">
        <v>5</v>
      </c>
      <c r="S216" s="94"/>
      <c r="T216" s="81"/>
      <c r="U216" s="93"/>
      <c r="V216" s="81"/>
      <c r="W216" s="94"/>
      <c r="X216" s="81"/>
      <c r="Y216" s="93"/>
      <c r="Z216" s="81"/>
      <c r="AA216" s="94"/>
      <c r="AB216" s="81"/>
      <c r="AC216" s="93"/>
      <c r="AD216" s="81"/>
      <c r="AE216" s="94"/>
      <c r="AF216" s="81"/>
      <c r="AG216" s="93"/>
      <c r="AH216" s="81"/>
      <c r="AI216" s="94"/>
      <c r="AJ216" s="81"/>
      <c r="AK216" s="93"/>
      <c r="AL216" s="81"/>
      <c r="AM216" s="94"/>
      <c r="AN216" s="81"/>
      <c r="AO216" s="93"/>
      <c r="AP216" s="81"/>
      <c r="AQ216" s="94"/>
      <c r="AR216" s="81"/>
      <c r="AS216" s="94"/>
      <c r="AT216" s="306"/>
      <c r="AU216" s="94"/>
      <c r="AV216" s="306"/>
      <c r="AW216" s="94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">
        <v>1090</v>
      </c>
      <c r="B217" t="s">
        <v>187</v>
      </c>
      <c r="C217" s="52" t="s">
        <v>1091</v>
      </c>
      <c r="D217" s="52" t="s">
        <v>1091</v>
      </c>
      <c r="E217">
        <v>42.9</v>
      </c>
      <c r="F217">
        <v>54</v>
      </c>
      <c r="G217" s="64">
        <v>45271</v>
      </c>
      <c r="H217">
        <v>360</v>
      </c>
      <c r="I217">
        <v>360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69">
        <f t="shared" si="42"/>
        <v>400</v>
      </c>
      <c r="Q217" s="82" t="s">
        <v>648</v>
      </c>
      <c r="R217" s="83">
        <v>1.7</v>
      </c>
      <c r="S217" s="82" t="s">
        <v>649</v>
      </c>
      <c r="T217" s="287">
        <v>10.3</v>
      </c>
      <c r="U217" s="82" t="s">
        <v>650</v>
      </c>
      <c r="V217" s="299">
        <v>1.7</v>
      </c>
      <c r="W217" s="104" t="s">
        <v>651</v>
      </c>
      <c r="X217" s="103">
        <v>5.5</v>
      </c>
      <c r="Y217" s="104"/>
      <c r="Z217" s="103"/>
      <c r="AA217" s="94"/>
      <c r="AB217" s="81"/>
      <c r="AC217" s="93"/>
      <c r="AD217" s="81"/>
      <c r="AE217" s="94"/>
      <c r="AF217" s="81"/>
      <c r="AG217" s="93"/>
      <c r="AH217" s="81"/>
      <c r="AI217" s="94"/>
      <c r="AJ217" s="81"/>
      <c r="AK217" s="93"/>
      <c r="AL217" s="81"/>
      <c r="AM217" s="94"/>
      <c r="AN217" s="81"/>
      <c r="AO217" s="93"/>
      <c r="AP217" s="81"/>
      <c r="AQ217" s="94"/>
      <c r="AR217" s="81"/>
      <c r="AS217" s="94"/>
      <c r="AT217" s="306"/>
      <c r="AU217" s="94"/>
      <c r="AV217" s="306"/>
      <c r="AW217" s="94"/>
      <c r="AX217" s="66">
        <f>SUM(R217+T217+V217+X217+Z217+AB217+AD217+AF217+AH217+AJ217+AL217+AN217+AP217+AR217)</f>
        <v>19.2</v>
      </c>
      <c r="AY217" s="78">
        <f t="shared" si="39"/>
        <v>400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242.9</v>
      </c>
      <c r="BC217" s="53">
        <f t="shared" si="41"/>
        <v>254</v>
      </c>
    </row>
    <row r="218" spans="1:55" ht="13.15">
      <c r="A218" t="s">
        <v>1092</v>
      </c>
      <c r="B218" t="s">
        <v>187</v>
      </c>
      <c r="C218" s="52" t="s">
        <v>1091</v>
      </c>
      <c r="D218" s="52" t="s">
        <v>1091</v>
      </c>
      <c r="E218">
        <v>70</v>
      </c>
      <c r="F218">
        <v>0</v>
      </c>
      <c r="G218" s="64">
        <v>44084</v>
      </c>
      <c r="H218">
        <v>300</v>
      </c>
      <c r="I218">
        <v>300</v>
      </c>
      <c r="J218">
        <v>3</v>
      </c>
      <c r="K218">
        <v>0</v>
      </c>
      <c r="L218">
        <v>4</v>
      </c>
      <c r="M218">
        <v>14</v>
      </c>
      <c r="N218">
        <v>11</v>
      </c>
      <c r="O218">
        <v>0</v>
      </c>
      <c r="P218" s="69">
        <f t="shared" si="42"/>
        <v>0</v>
      </c>
      <c r="Q218" s="93"/>
      <c r="R218" s="81"/>
      <c r="S218" s="94"/>
      <c r="T218" s="81"/>
      <c r="U218" s="93"/>
      <c r="V218" s="81"/>
      <c r="W218" s="94"/>
      <c r="X218" s="81"/>
      <c r="Y218" s="93"/>
      <c r="Z218" s="81"/>
      <c r="AA218" s="94"/>
      <c r="AB218" s="81"/>
      <c r="AC218" s="93"/>
      <c r="AD218" s="81"/>
      <c r="AE218" s="94"/>
      <c r="AF218" s="81"/>
      <c r="AG218" s="93"/>
      <c r="AH218" s="81"/>
      <c r="AI218" s="94"/>
      <c r="AJ218" s="81"/>
      <c r="AK218" s="93"/>
      <c r="AL218" s="81"/>
      <c r="AM218" s="94"/>
      <c r="AN218" s="81"/>
      <c r="AO218" s="93"/>
      <c r="AP218" s="81"/>
      <c r="AQ218" s="94"/>
      <c r="AR218" s="81"/>
      <c r="AS218" s="94"/>
      <c r="AT218" s="306"/>
      <c r="AU218" s="94"/>
      <c r="AV218" s="306"/>
      <c r="AW218" s="94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">
        <v>1093</v>
      </c>
      <c r="B219" t="s">
        <v>187</v>
      </c>
      <c r="C219" s="52" t="s">
        <v>1091</v>
      </c>
      <c r="D219" s="52" t="s">
        <v>1091</v>
      </c>
      <c r="E219">
        <v>80</v>
      </c>
      <c r="F219">
        <v>60</v>
      </c>
      <c r="G219" s="64">
        <v>44084</v>
      </c>
      <c r="H219">
        <v>300</v>
      </c>
      <c r="I219">
        <v>300</v>
      </c>
      <c r="J219">
        <v>6</v>
      </c>
      <c r="K219">
        <v>0</v>
      </c>
      <c r="L219">
        <v>4</v>
      </c>
      <c r="M219">
        <v>11</v>
      </c>
      <c r="N219">
        <v>9</v>
      </c>
      <c r="O219">
        <v>0</v>
      </c>
      <c r="P219" s="69">
        <f t="shared" si="42"/>
        <v>20.833333333333332</v>
      </c>
      <c r="Q219" s="320" t="s">
        <v>1094</v>
      </c>
      <c r="R219" s="321">
        <v>1</v>
      </c>
      <c r="S219" s="94"/>
      <c r="T219" s="81"/>
      <c r="U219" s="93"/>
      <c r="V219" s="81"/>
      <c r="W219" s="94"/>
      <c r="X219" s="81"/>
      <c r="Y219" s="93"/>
      <c r="Z219" s="81"/>
      <c r="AA219" s="94"/>
      <c r="AB219" s="81"/>
      <c r="AC219" s="93"/>
      <c r="AD219" s="81"/>
      <c r="AE219" s="94"/>
      <c r="AF219" s="81"/>
      <c r="AG219" s="93"/>
      <c r="AH219" s="81"/>
      <c r="AI219" s="94"/>
      <c r="AJ219" s="81"/>
      <c r="AK219" s="93"/>
      <c r="AL219" s="81"/>
      <c r="AM219" s="94"/>
      <c r="AN219" s="81"/>
      <c r="AO219" s="93"/>
      <c r="AP219" s="81"/>
      <c r="AQ219" s="94"/>
      <c r="AR219" s="81"/>
      <c r="AS219" s="94"/>
      <c r="AT219" s="306"/>
      <c r="AU219" s="94"/>
      <c r="AV219" s="306"/>
      <c r="AW219" s="94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">
        <v>1095</v>
      </c>
      <c r="B220" t="s">
        <v>221</v>
      </c>
      <c r="C220" s="52" t="s">
        <v>1096</v>
      </c>
      <c r="D220" s="52" t="s">
        <v>1096</v>
      </c>
      <c r="E220">
        <v>100</v>
      </c>
      <c r="F220">
        <v>100</v>
      </c>
      <c r="G220" s="64">
        <v>44971</v>
      </c>
      <c r="H220">
        <v>300</v>
      </c>
      <c r="I220">
        <v>300</v>
      </c>
      <c r="J220">
        <v>2</v>
      </c>
      <c r="K220">
        <v>1</v>
      </c>
      <c r="L220">
        <v>0</v>
      </c>
      <c r="M220">
        <v>10</v>
      </c>
      <c r="N220">
        <v>10</v>
      </c>
      <c r="O220">
        <v>0</v>
      </c>
      <c r="P220" s="69">
        <f t="shared" si="42"/>
        <v>0</v>
      </c>
      <c r="Q220" s="93"/>
      <c r="R220" s="81"/>
      <c r="S220" s="94"/>
      <c r="T220" s="81"/>
      <c r="U220" s="93"/>
      <c r="V220" s="81"/>
      <c r="W220" s="94"/>
      <c r="X220" s="81"/>
      <c r="Y220" s="93"/>
      <c r="Z220" s="81"/>
      <c r="AA220" s="94"/>
      <c r="AB220" s="81"/>
      <c r="AC220" s="93"/>
      <c r="AD220" s="81"/>
      <c r="AE220" s="94"/>
      <c r="AF220" s="81"/>
      <c r="AG220" s="93"/>
      <c r="AH220" s="81"/>
      <c r="AI220" s="94"/>
      <c r="AJ220" s="81"/>
      <c r="AK220" s="93"/>
      <c r="AL220" s="81"/>
      <c r="AM220" s="94"/>
      <c r="AN220" s="81"/>
      <c r="AO220" s="93"/>
      <c r="AP220" s="81"/>
      <c r="AQ220" s="94"/>
      <c r="AR220" s="81"/>
      <c r="AS220" s="94"/>
      <c r="AT220" s="306"/>
      <c r="AU220" s="94"/>
      <c r="AV220" s="306"/>
      <c r="AW220" s="94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">
        <v>1097</v>
      </c>
      <c r="B221" t="s">
        <v>221</v>
      </c>
      <c r="C221" s="52" t="s">
        <v>1096</v>
      </c>
      <c r="D221" s="52" t="s">
        <v>1096</v>
      </c>
      <c r="E221">
        <v>110</v>
      </c>
      <c r="F221">
        <v>110</v>
      </c>
      <c r="G221" s="64">
        <v>44971</v>
      </c>
      <c r="H221">
        <v>300</v>
      </c>
      <c r="I221">
        <v>300</v>
      </c>
      <c r="J221">
        <v>3</v>
      </c>
      <c r="K221">
        <v>3</v>
      </c>
      <c r="L221">
        <v>0</v>
      </c>
      <c r="M221">
        <v>11</v>
      </c>
      <c r="N221">
        <v>8</v>
      </c>
      <c r="O221">
        <v>0</v>
      </c>
      <c r="P221" s="69">
        <f t="shared" si="42"/>
        <v>5.208333333333333</v>
      </c>
      <c r="Q221" s="109" t="s">
        <v>691</v>
      </c>
      <c r="R221" s="261">
        <v>0.25</v>
      </c>
      <c r="S221" s="94"/>
      <c r="T221" s="81"/>
      <c r="U221" s="93"/>
      <c r="V221" s="81"/>
      <c r="W221" s="94"/>
      <c r="X221" s="81"/>
      <c r="Y221" s="93"/>
      <c r="Z221" s="81"/>
      <c r="AA221" s="94"/>
      <c r="AB221" s="81"/>
      <c r="AC221" s="93"/>
      <c r="AD221" s="81"/>
      <c r="AE221" s="94"/>
      <c r="AF221" s="81"/>
      <c r="AG221" s="93"/>
      <c r="AH221" s="81"/>
      <c r="AI221" s="94"/>
      <c r="AJ221" s="81"/>
      <c r="AK221" s="93"/>
      <c r="AL221" s="81"/>
      <c r="AM221" s="94"/>
      <c r="AN221" s="81"/>
      <c r="AO221" s="93"/>
      <c r="AP221" s="81"/>
      <c r="AQ221" s="94"/>
      <c r="AR221" s="81"/>
      <c r="AS221" s="94"/>
      <c r="AT221" s="306"/>
      <c r="AU221" s="94"/>
      <c r="AV221" s="306"/>
      <c r="AW221" s="94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">
        <v>1098</v>
      </c>
      <c r="B222" t="s">
        <v>221</v>
      </c>
      <c r="C222" s="52" t="s">
        <v>1096</v>
      </c>
      <c r="D222" s="52" t="s">
        <v>1096</v>
      </c>
      <c r="E222">
        <v>40</v>
      </c>
      <c r="F222">
        <v>45</v>
      </c>
      <c r="G222" s="64">
        <v>44971</v>
      </c>
      <c r="H222">
        <v>300</v>
      </c>
      <c r="I222">
        <v>300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 s="69">
        <f t="shared" si="42"/>
        <v>0</v>
      </c>
      <c r="Q222" s="93"/>
      <c r="R222" s="81"/>
      <c r="S222" s="94"/>
      <c r="T222" s="81"/>
      <c r="U222" s="93"/>
      <c r="V222" s="81"/>
      <c r="W222" s="94"/>
      <c r="X222" s="81"/>
      <c r="Y222" s="93"/>
      <c r="Z222" s="81"/>
      <c r="AA222" s="94"/>
      <c r="AB222" s="81"/>
      <c r="AC222" s="93"/>
      <c r="AD222" s="81"/>
      <c r="AE222" s="94"/>
      <c r="AF222" s="81"/>
      <c r="AG222" s="93"/>
      <c r="AH222" s="81"/>
      <c r="AI222" s="94"/>
      <c r="AJ222" s="81"/>
      <c r="AK222" s="93"/>
      <c r="AL222" s="81"/>
      <c r="AM222" s="94"/>
      <c r="AN222" s="81"/>
      <c r="AO222" s="93"/>
      <c r="AP222" s="81"/>
      <c r="AQ222" s="94"/>
      <c r="AR222" s="81"/>
      <c r="AS222" s="94"/>
      <c r="AT222" s="306"/>
      <c r="AU222" s="94"/>
      <c r="AV222" s="306"/>
      <c r="AW222" s="94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">
        <v>1099</v>
      </c>
      <c r="B223" t="s">
        <v>226</v>
      </c>
      <c r="C223" s="52" t="s">
        <v>1100</v>
      </c>
      <c r="D223" s="52" t="s">
        <v>1100</v>
      </c>
      <c r="E223">
        <v>0</v>
      </c>
      <c r="F223">
        <v>0</v>
      </c>
      <c r="G223" s="64">
        <v>0</v>
      </c>
      <c r="H223">
        <v>300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69">
        <f t="shared" si="42"/>
        <v>0</v>
      </c>
      <c r="Q223" s="93"/>
      <c r="R223" s="81"/>
      <c r="S223" s="94"/>
      <c r="T223" s="81"/>
      <c r="U223" s="93"/>
      <c r="V223" s="81"/>
      <c r="W223" s="94"/>
      <c r="X223" s="81"/>
      <c r="Y223" s="93"/>
      <c r="Z223" s="81"/>
      <c r="AA223" s="94"/>
      <c r="AB223" s="81"/>
      <c r="AC223" s="93"/>
      <c r="AD223" s="81"/>
      <c r="AE223" s="94"/>
      <c r="AF223" s="81"/>
      <c r="AG223" s="93"/>
      <c r="AH223" s="81"/>
      <c r="AI223" s="94"/>
      <c r="AJ223" s="81"/>
      <c r="AK223" s="93"/>
      <c r="AL223" s="81"/>
      <c r="AM223" s="94"/>
      <c r="AN223" s="81"/>
      <c r="AO223" s="93"/>
      <c r="AP223" s="81"/>
      <c r="AQ223" s="94"/>
      <c r="AR223" s="81"/>
      <c r="AS223" s="94"/>
      <c r="AT223" s="306"/>
      <c r="AU223" s="94"/>
      <c r="AV223" s="306"/>
      <c r="AW223" s="94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">
        <v>1101</v>
      </c>
      <c r="B224" t="s">
        <v>226</v>
      </c>
      <c r="C224" s="52" t="s">
        <v>1100</v>
      </c>
      <c r="D224" s="52" t="s">
        <v>1100</v>
      </c>
      <c r="E224">
        <v>0</v>
      </c>
      <c r="F224">
        <v>0</v>
      </c>
      <c r="G224" s="64">
        <v>0</v>
      </c>
      <c r="H224">
        <v>300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69">
        <f t="shared" si="42"/>
        <v>0</v>
      </c>
      <c r="Q224" s="93"/>
      <c r="R224" s="81"/>
      <c r="S224" s="94"/>
      <c r="T224" s="81"/>
      <c r="U224" s="93"/>
      <c r="V224" s="81"/>
      <c r="W224" s="94"/>
      <c r="X224" s="81"/>
      <c r="Y224" s="93"/>
      <c r="Z224" s="81"/>
      <c r="AA224" s="94"/>
      <c r="AB224" s="81"/>
      <c r="AC224" s="93"/>
      <c r="AD224" s="81"/>
      <c r="AE224" s="94"/>
      <c r="AF224" s="81"/>
      <c r="AG224" s="93"/>
      <c r="AH224" s="81"/>
      <c r="AI224" s="94"/>
      <c r="AJ224" s="81"/>
      <c r="AK224" s="93"/>
      <c r="AL224" s="81"/>
      <c r="AM224" s="94"/>
      <c r="AN224" s="81"/>
      <c r="AO224" s="93"/>
      <c r="AP224" s="81"/>
      <c r="AQ224" s="94"/>
      <c r="AR224" s="81"/>
      <c r="AS224" s="94"/>
      <c r="AT224" s="306"/>
      <c r="AU224" s="94"/>
      <c r="AV224" s="306"/>
      <c r="AW224" s="94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">
        <v>1102</v>
      </c>
      <c r="B225" t="s">
        <v>246</v>
      </c>
      <c r="C225" s="52" t="s">
        <v>1103</v>
      </c>
      <c r="D225" s="52" t="s">
        <v>1103</v>
      </c>
      <c r="E225">
        <v>25</v>
      </c>
      <c r="F225">
        <v>25</v>
      </c>
      <c r="G225" s="64">
        <v>44973</v>
      </c>
      <c r="H225">
        <v>300</v>
      </c>
      <c r="I225">
        <v>300</v>
      </c>
      <c r="J225">
        <v>6</v>
      </c>
      <c r="K225">
        <v>5</v>
      </c>
      <c r="L225">
        <v>6</v>
      </c>
      <c r="M225">
        <v>14</v>
      </c>
      <c r="N225">
        <v>12</v>
      </c>
      <c r="O225">
        <v>0</v>
      </c>
      <c r="P225" s="69">
        <f t="shared" si="42"/>
        <v>0</v>
      </c>
      <c r="Q225" s="93"/>
      <c r="R225" s="81"/>
      <c r="S225" s="94"/>
      <c r="T225" s="81"/>
      <c r="U225" s="93"/>
      <c r="V225" s="81"/>
      <c r="W225" s="94"/>
      <c r="X225" s="81"/>
      <c r="Y225" s="93"/>
      <c r="Z225" s="81"/>
      <c r="AA225" s="94"/>
      <c r="AB225" s="81"/>
      <c r="AC225" s="93"/>
      <c r="AD225" s="81"/>
      <c r="AE225" s="94"/>
      <c r="AF225" s="81"/>
      <c r="AG225" s="93"/>
      <c r="AH225" s="81"/>
      <c r="AI225" s="94"/>
      <c r="AJ225" s="81"/>
      <c r="AK225" s="93"/>
      <c r="AL225" s="81"/>
      <c r="AM225" s="94"/>
      <c r="AN225" s="81"/>
      <c r="AO225" s="93"/>
      <c r="AP225" s="81"/>
      <c r="AQ225" s="94"/>
      <c r="AR225" s="81"/>
      <c r="AS225" s="94"/>
      <c r="AT225" s="306"/>
      <c r="AU225" s="94"/>
      <c r="AV225" s="306"/>
      <c r="AW225" s="94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">
        <v>1104</v>
      </c>
      <c r="B226" t="s">
        <v>246</v>
      </c>
      <c r="C226" s="52" t="s">
        <v>1103</v>
      </c>
      <c r="D226" s="52" t="s">
        <v>1103</v>
      </c>
      <c r="E226">
        <v>100</v>
      </c>
      <c r="F226">
        <v>100</v>
      </c>
      <c r="G226" s="64">
        <v>44973</v>
      </c>
      <c r="H226">
        <v>300</v>
      </c>
      <c r="I226">
        <v>300</v>
      </c>
      <c r="J226">
        <v>0</v>
      </c>
      <c r="K226">
        <v>3</v>
      </c>
      <c r="L226">
        <v>6</v>
      </c>
      <c r="M226">
        <v>24</v>
      </c>
      <c r="N226">
        <v>10</v>
      </c>
      <c r="O226">
        <v>0</v>
      </c>
      <c r="P226" s="69">
        <f t="shared" si="42"/>
        <v>0</v>
      </c>
      <c r="Q226" s="93"/>
      <c r="R226" s="81"/>
      <c r="S226" s="94"/>
      <c r="T226" s="81"/>
      <c r="U226" s="93"/>
      <c r="V226" s="81"/>
      <c r="W226" s="94"/>
      <c r="X226" s="81"/>
      <c r="Y226" s="93"/>
      <c r="Z226" s="81"/>
      <c r="AA226" s="94"/>
      <c r="AB226" s="81"/>
      <c r="AC226" s="93"/>
      <c r="AD226" s="81"/>
      <c r="AE226" s="94"/>
      <c r="AF226" s="81"/>
      <c r="AG226" s="93"/>
      <c r="AH226" s="81"/>
      <c r="AI226" s="94"/>
      <c r="AJ226" s="81"/>
      <c r="AK226" s="93"/>
      <c r="AL226" s="81"/>
      <c r="AM226" s="94"/>
      <c r="AN226" s="81"/>
      <c r="AO226" s="93"/>
      <c r="AP226" s="81"/>
      <c r="AQ226" s="94"/>
      <c r="AR226" s="81"/>
      <c r="AS226" s="94"/>
      <c r="AT226" s="306"/>
      <c r="AU226" s="94"/>
      <c r="AV226" s="306"/>
      <c r="AW226" s="94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">
        <v>1105</v>
      </c>
      <c r="B227" t="s">
        <v>246</v>
      </c>
      <c r="C227" s="52" t="s">
        <v>1103</v>
      </c>
      <c r="D227" s="52" t="s">
        <v>1103</v>
      </c>
      <c r="E227">
        <v>0</v>
      </c>
      <c r="F227">
        <v>0</v>
      </c>
      <c r="G227" s="64">
        <v>0</v>
      </c>
      <c r="H227">
        <v>300</v>
      </c>
      <c r="I227">
        <v>300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s="69">
        <f t="shared" si="42"/>
        <v>0</v>
      </c>
      <c r="Q227" s="93"/>
      <c r="R227" s="81"/>
      <c r="S227" s="94"/>
      <c r="T227" s="81"/>
      <c r="U227" s="93"/>
      <c r="V227" s="81"/>
      <c r="W227" s="94"/>
      <c r="X227" s="81"/>
      <c r="Y227" s="93"/>
      <c r="Z227" s="81"/>
      <c r="AA227" s="94"/>
      <c r="AB227" s="81"/>
      <c r="AC227" s="93"/>
      <c r="AD227" s="81"/>
      <c r="AE227" s="94"/>
      <c r="AF227" s="81"/>
      <c r="AG227" s="93"/>
      <c r="AH227" s="81"/>
      <c r="AI227" s="94"/>
      <c r="AJ227" s="81"/>
      <c r="AK227" s="93"/>
      <c r="AL227" s="81"/>
      <c r="AM227" s="94"/>
      <c r="AN227" s="81"/>
      <c r="AO227" s="93"/>
      <c r="AP227" s="81"/>
      <c r="AQ227" s="94"/>
      <c r="AR227" s="81"/>
      <c r="AS227" s="94"/>
      <c r="AT227" s="306"/>
      <c r="AU227" s="94"/>
      <c r="AV227" s="306"/>
      <c r="AW227" s="94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">
        <v>1106</v>
      </c>
      <c r="B228" t="s">
        <v>246</v>
      </c>
      <c r="C228" s="52" t="s">
        <v>1103</v>
      </c>
      <c r="D228" s="52" t="s">
        <v>1103</v>
      </c>
      <c r="E228">
        <v>87</v>
      </c>
      <c r="F228">
        <v>87</v>
      </c>
      <c r="G228" s="64">
        <v>44973</v>
      </c>
      <c r="H228">
        <v>300</v>
      </c>
      <c r="I228">
        <v>300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40</v>
      </c>
      <c r="P228" s="69">
        <f t="shared" si="42"/>
        <v>447.91666666666669</v>
      </c>
      <c r="Q228" s="82" t="s">
        <v>724</v>
      </c>
      <c r="R228" s="83">
        <v>8</v>
      </c>
      <c r="S228" s="82" t="s">
        <v>725</v>
      </c>
      <c r="T228" s="83">
        <v>4.5</v>
      </c>
      <c r="U228" s="82" t="s">
        <v>726</v>
      </c>
      <c r="V228" s="83">
        <v>4.5</v>
      </c>
      <c r="W228" s="82" t="s">
        <v>727</v>
      </c>
      <c r="X228" s="83">
        <v>4.5</v>
      </c>
      <c r="Y228" s="93"/>
      <c r="Z228" s="81"/>
      <c r="AA228" s="94"/>
      <c r="AB228" s="81"/>
      <c r="AC228" s="93"/>
      <c r="AD228" s="81"/>
      <c r="AE228" s="94"/>
      <c r="AF228" s="81"/>
      <c r="AG228" s="93"/>
      <c r="AH228" s="81"/>
      <c r="AI228" s="94"/>
      <c r="AJ228" s="81"/>
      <c r="AK228" s="93"/>
      <c r="AL228" s="81"/>
      <c r="AM228" s="94"/>
      <c r="AN228" s="81"/>
      <c r="AO228" s="93"/>
      <c r="AP228" s="81"/>
      <c r="AQ228" s="94"/>
      <c r="AR228" s="81"/>
      <c r="AS228" s="94"/>
      <c r="AT228" s="306"/>
      <c r="AU228" s="94"/>
      <c r="AV228" s="306"/>
      <c r="AW228" s="94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">
        <v>1107</v>
      </c>
      <c r="B229" t="s">
        <v>246</v>
      </c>
      <c r="C229" s="52" t="s">
        <v>1103</v>
      </c>
      <c r="D229" s="52" t="s">
        <v>1103</v>
      </c>
      <c r="E229">
        <v>60</v>
      </c>
      <c r="F229">
        <v>65</v>
      </c>
      <c r="G229" s="64">
        <v>44973</v>
      </c>
      <c r="H229">
        <v>300</v>
      </c>
      <c r="I229">
        <v>300</v>
      </c>
      <c r="J229">
        <v>3</v>
      </c>
      <c r="K229">
        <v>6</v>
      </c>
      <c r="L229">
        <v>6</v>
      </c>
      <c r="M229">
        <v>18</v>
      </c>
      <c r="N229">
        <v>12</v>
      </c>
      <c r="O229">
        <v>0</v>
      </c>
      <c r="P229" s="69">
        <f t="shared" si="42"/>
        <v>87.5</v>
      </c>
      <c r="Q229" s="266" t="s">
        <v>728</v>
      </c>
      <c r="R229" s="267">
        <v>4.2</v>
      </c>
      <c r="S229" s="94"/>
      <c r="T229" s="81"/>
      <c r="U229" s="93"/>
      <c r="V229" s="81"/>
      <c r="W229" s="94"/>
      <c r="X229" s="81"/>
      <c r="Y229" s="93"/>
      <c r="Z229" s="81"/>
      <c r="AA229" s="94"/>
      <c r="AB229" s="81"/>
      <c r="AC229" s="93"/>
      <c r="AD229" s="81"/>
      <c r="AE229" s="94"/>
      <c r="AF229" s="81"/>
      <c r="AG229" s="93"/>
      <c r="AH229" s="81"/>
      <c r="AI229" s="94"/>
      <c r="AJ229" s="81"/>
      <c r="AK229" s="93"/>
      <c r="AL229" s="81"/>
      <c r="AM229" s="94"/>
      <c r="AN229" s="81"/>
      <c r="AO229" s="93"/>
      <c r="AP229" s="81"/>
      <c r="AQ229" s="94"/>
      <c r="AR229" s="81"/>
      <c r="AS229" s="94"/>
      <c r="AT229" s="306"/>
      <c r="AU229" s="94"/>
      <c r="AV229" s="306"/>
      <c r="AW229" s="94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">
        <v>1108</v>
      </c>
      <c r="B230" t="s">
        <v>246</v>
      </c>
      <c r="C230" s="52" t="s">
        <v>1103</v>
      </c>
      <c r="D230" s="52" t="s">
        <v>1103</v>
      </c>
      <c r="E230">
        <v>40</v>
      </c>
      <c r="F230">
        <v>45</v>
      </c>
      <c r="G230" s="64">
        <v>44973</v>
      </c>
      <c r="H230">
        <v>160</v>
      </c>
      <c r="I230">
        <v>160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 s="69">
        <f t="shared" si="42"/>
        <v>0</v>
      </c>
      <c r="Q230" s="93"/>
      <c r="R230" s="81"/>
      <c r="S230" s="94"/>
      <c r="T230" s="81"/>
      <c r="U230" s="93"/>
      <c r="V230" s="81"/>
      <c r="W230" s="94"/>
      <c r="X230" s="81"/>
      <c r="Y230" s="93"/>
      <c r="Z230" s="81"/>
      <c r="AA230" s="94"/>
      <c r="AB230" s="81"/>
      <c r="AC230" s="93"/>
      <c r="AD230" s="81"/>
      <c r="AE230" s="94"/>
      <c r="AF230" s="81"/>
      <c r="AG230" s="93"/>
      <c r="AH230" s="81"/>
      <c r="AI230" s="94"/>
      <c r="AJ230" s="81"/>
      <c r="AK230" s="93"/>
      <c r="AL230" s="81"/>
      <c r="AM230" s="94"/>
      <c r="AN230" s="81"/>
      <c r="AO230" s="93"/>
      <c r="AP230" s="81"/>
      <c r="AQ230" s="94"/>
      <c r="AR230" s="81"/>
      <c r="AS230" s="94"/>
      <c r="AT230" s="306"/>
      <c r="AU230" s="94"/>
      <c r="AV230" s="306"/>
      <c r="AW230" s="94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">
        <v>1109</v>
      </c>
      <c r="B231" t="s">
        <v>246</v>
      </c>
      <c r="C231" s="52" t="s">
        <v>1103</v>
      </c>
      <c r="D231" s="52" t="s">
        <v>1103</v>
      </c>
      <c r="E231">
        <v>180</v>
      </c>
      <c r="F231">
        <v>185</v>
      </c>
      <c r="G231" s="64">
        <v>44973</v>
      </c>
      <c r="H231">
        <v>300</v>
      </c>
      <c r="I231">
        <v>300</v>
      </c>
      <c r="J231">
        <v>0</v>
      </c>
      <c r="K231">
        <v>1</v>
      </c>
      <c r="L231">
        <v>0</v>
      </c>
      <c r="M231">
        <v>20</v>
      </c>
      <c r="N231">
        <v>12</v>
      </c>
      <c r="O231">
        <v>0</v>
      </c>
      <c r="P231" s="69">
        <f t="shared" si="42"/>
        <v>0</v>
      </c>
      <c r="Q231" s="93"/>
      <c r="R231" s="81"/>
      <c r="S231" s="94"/>
      <c r="T231" s="81"/>
      <c r="U231" s="93"/>
      <c r="V231" s="81"/>
      <c r="W231" s="94"/>
      <c r="X231" s="81"/>
      <c r="Y231" s="93"/>
      <c r="Z231" s="81"/>
      <c r="AA231" s="94"/>
      <c r="AB231" s="81"/>
      <c r="AC231" s="93"/>
      <c r="AD231" s="81"/>
      <c r="AE231" s="94"/>
      <c r="AF231" s="81"/>
      <c r="AG231" s="93"/>
      <c r="AH231" s="81"/>
      <c r="AI231" s="94"/>
      <c r="AJ231" s="81"/>
      <c r="AK231" s="93"/>
      <c r="AL231" s="81"/>
      <c r="AM231" s="94"/>
      <c r="AN231" s="81"/>
      <c r="AO231" s="93"/>
      <c r="AP231" s="81"/>
      <c r="AQ231" s="94"/>
      <c r="AR231" s="81"/>
      <c r="AS231" s="94"/>
      <c r="AT231" s="306"/>
      <c r="AU231" s="94"/>
      <c r="AV231" s="306"/>
      <c r="AW231" s="94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">
        <v>1110</v>
      </c>
      <c r="B232" t="s">
        <v>246</v>
      </c>
      <c r="C232" s="52" t="s">
        <v>1103</v>
      </c>
      <c r="D232" s="52" t="s">
        <v>1103</v>
      </c>
      <c r="E232">
        <v>30</v>
      </c>
      <c r="F232">
        <v>30</v>
      </c>
      <c r="G232" s="64">
        <v>41869</v>
      </c>
      <c r="H232">
        <v>300</v>
      </c>
      <c r="I232">
        <v>300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</v>
      </c>
      <c r="P232" s="69">
        <f t="shared" si="42"/>
        <v>0</v>
      </c>
      <c r="Q232" s="104"/>
      <c r="R232" s="103"/>
      <c r="S232" s="94"/>
      <c r="T232" s="81"/>
      <c r="U232" s="93"/>
      <c r="V232" s="81"/>
      <c r="W232" s="94"/>
      <c r="X232" s="81"/>
      <c r="Y232" s="93"/>
      <c r="Z232" s="81"/>
      <c r="AA232" s="94"/>
      <c r="AB232" s="81"/>
      <c r="AC232" s="93"/>
      <c r="AD232" s="81"/>
      <c r="AE232" s="94"/>
      <c r="AF232" s="81"/>
      <c r="AG232" s="93"/>
      <c r="AH232" s="81"/>
      <c r="AI232" s="94"/>
      <c r="AJ232" s="81"/>
      <c r="AK232" s="93"/>
      <c r="AL232" s="81"/>
      <c r="AM232" s="94"/>
      <c r="AN232" s="81"/>
      <c r="AO232" s="93"/>
      <c r="AP232" s="81"/>
      <c r="AQ232" s="94"/>
      <c r="AR232" s="81"/>
      <c r="AS232" s="94"/>
      <c r="AT232" s="306"/>
      <c r="AU232" s="94"/>
      <c r="AV232" s="306"/>
      <c r="AW232" s="94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">
        <v>1111</v>
      </c>
      <c r="B233" t="s">
        <v>267</v>
      </c>
      <c r="C233" s="52" t="s">
        <v>1112</v>
      </c>
      <c r="D233" s="52" t="s">
        <v>1112</v>
      </c>
      <c r="E233">
        <v>100</v>
      </c>
      <c r="F233">
        <v>95</v>
      </c>
      <c r="G233" s="64">
        <v>45049</v>
      </c>
      <c r="H233">
        <v>300</v>
      </c>
      <c r="I233">
        <v>300</v>
      </c>
      <c r="J233">
        <v>3</v>
      </c>
      <c r="K233">
        <v>0</v>
      </c>
      <c r="L233">
        <v>2</v>
      </c>
      <c r="M233">
        <v>10</v>
      </c>
      <c r="N233">
        <v>11</v>
      </c>
      <c r="O233">
        <v>0</v>
      </c>
      <c r="P233" s="69">
        <f t="shared" si="42"/>
        <v>20.833333333333332</v>
      </c>
      <c r="Q233" s="104" t="s">
        <v>756</v>
      </c>
      <c r="R233" s="103">
        <v>1</v>
      </c>
      <c r="S233" s="94"/>
      <c r="T233" s="81"/>
      <c r="U233" s="93"/>
      <c r="V233" s="81"/>
      <c r="W233" s="94"/>
      <c r="X233" s="81"/>
      <c r="Y233" s="93"/>
      <c r="Z233" s="81"/>
      <c r="AA233" s="94"/>
      <c r="AB233" s="81"/>
      <c r="AC233" s="93"/>
      <c r="AD233" s="81"/>
      <c r="AE233" s="94"/>
      <c r="AF233" s="81"/>
      <c r="AG233" s="93"/>
      <c r="AH233" s="81"/>
      <c r="AI233" s="94"/>
      <c r="AJ233" s="81"/>
      <c r="AK233" s="93"/>
      <c r="AL233" s="81"/>
      <c r="AM233" s="94"/>
      <c r="AN233" s="81"/>
      <c r="AO233" s="93"/>
      <c r="AP233" s="81"/>
      <c r="AQ233" s="94"/>
      <c r="AR233" s="81"/>
      <c r="AS233" s="94"/>
      <c r="AT233" s="306"/>
      <c r="AU233" s="94"/>
      <c r="AV233" s="306"/>
      <c r="AW233" s="94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">
        <v>1113</v>
      </c>
      <c r="B234" t="s">
        <v>268</v>
      </c>
      <c r="C234" s="52" t="s">
        <v>1114</v>
      </c>
      <c r="D234" s="52" t="s">
        <v>1114</v>
      </c>
      <c r="E234">
        <v>25</v>
      </c>
      <c r="F234">
        <v>25</v>
      </c>
      <c r="G234" s="64">
        <v>45048</v>
      </c>
      <c r="H234">
        <v>300</v>
      </c>
      <c r="I234">
        <v>300</v>
      </c>
      <c r="J234">
        <v>6</v>
      </c>
      <c r="K234">
        <v>0</v>
      </c>
      <c r="L234">
        <v>1</v>
      </c>
      <c r="M234">
        <v>0</v>
      </c>
      <c r="N234">
        <v>0</v>
      </c>
      <c r="O234">
        <v>40</v>
      </c>
      <c r="P234" s="69">
        <f t="shared" si="42"/>
        <v>0</v>
      </c>
      <c r="Q234" s="93"/>
      <c r="R234" s="81"/>
      <c r="S234" s="94"/>
      <c r="T234" s="81"/>
      <c r="U234" s="93"/>
      <c r="V234" s="81"/>
      <c r="W234" s="94"/>
      <c r="X234" s="81"/>
      <c r="Y234" s="93"/>
      <c r="Z234" s="81"/>
      <c r="AA234" s="94"/>
      <c r="AB234" s="81"/>
      <c r="AC234" s="93"/>
      <c r="AD234" s="81"/>
      <c r="AE234" s="94"/>
      <c r="AF234" s="81"/>
      <c r="AG234" s="93"/>
      <c r="AH234" s="81"/>
      <c r="AI234" s="94"/>
      <c r="AJ234" s="81"/>
      <c r="AK234" s="93"/>
      <c r="AL234" s="81"/>
      <c r="AM234" s="94"/>
      <c r="AN234" s="81"/>
      <c r="AO234" s="93"/>
      <c r="AP234" s="81"/>
      <c r="AQ234" s="94"/>
      <c r="AR234" s="81"/>
      <c r="AS234" s="94"/>
      <c r="AT234" s="306"/>
      <c r="AU234" s="94"/>
      <c r="AV234" s="306"/>
      <c r="AW234" s="94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">
        <v>1115</v>
      </c>
      <c r="B235" t="s">
        <v>50</v>
      </c>
      <c r="C235" s="52" t="s">
        <v>1116</v>
      </c>
      <c r="D235" s="52" t="s">
        <v>1116</v>
      </c>
      <c r="E235">
        <v>0</v>
      </c>
      <c r="F235">
        <v>0</v>
      </c>
      <c r="G235" s="64">
        <v>0</v>
      </c>
      <c r="H235">
        <v>300</v>
      </c>
      <c r="I235">
        <v>300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 s="69">
        <f t="shared" si="42"/>
        <v>0</v>
      </c>
      <c r="Q235" s="93"/>
      <c r="R235" s="81"/>
      <c r="S235" s="94"/>
      <c r="T235" s="81"/>
      <c r="U235" s="93"/>
      <c r="V235" s="81"/>
      <c r="W235" s="94"/>
      <c r="X235" s="81"/>
      <c r="Y235" s="93"/>
      <c r="Z235" s="81"/>
      <c r="AA235" s="94"/>
      <c r="AB235" s="81"/>
      <c r="AC235" s="93"/>
      <c r="AD235" s="81"/>
      <c r="AE235" s="94"/>
      <c r="AF235" s="81"/>
      <c r="AG235" s="93"/>
      <c r="AH235" s="81"/>
      <c r="AI235" s="94"/>
      <c r="AJ235" s="81"/>
      <c r="AK235" s="93"/>
      <c r="AL235" s="81"/>
      <c r="AM235" s="94"/>
      <c r="AN235" s="81"/>
      <c r="AO235" s="93"/>
      <c r="AP235" s="81"/>
      <c r="AQ235" s="94"/>
      <c r="AR235" s="81"/>
      <c r="AS235" s="94"/>
      <c r="AT235" s="306"/>
      <c r="AU235" s="94"/>
      <c r="AV235" s="306"/>
      <c r="AW235" s="94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">
        <v>1117</v>
      </c>
      <c r="B236" t="s">
        <v>59</v>
      </c>
      <c r="C236" s="52" t="s">
        <v>1118</v>
      </c>
      <c r="D236" s="52" t="s">
        <v>1118</v>
      </c>
      <c r="E236">
        <v>20</v>
      </c>
      <c r="F236">
        <v>20</v>
      </c>
      <c r="G236" s="64">
        <v>44984</v>
      </c>
      <c r="H236">
        <v>300</v>
      </c>
      <c r="I236">
        <v>300</v>
      </c>
      <c r="J236">
        <v>5</v>
      </c>
      <c r="K236">
        <v>0</v>
      </c>
      <c r="L236">
        <v>2</v>
      </c>
      <c r="M236">
        <v>0</v>
      </c>
      <c r="N236">
        <v>0</v>
      </c>
      <c r="O236">
        <v>34</v>
      </c>
      <c r="P236" s="69">
        <f t="shared" si="42"/>
        <v>20.833333333333332</v>
      </c>
      <c r="Q236" s="93" t="s">
        <v>393</v>
      </c>
      <c r="R236" s="81">
        <v>1</v>
      </c>
      <c r="S236" s="94"/>
      <c r="T236" s="81"/>
      <c r="U236" s="93"/>
      <c r="V236" s="81"/>
      <c r="W236" s="94"/>
      <c r="X236" s="81"/>
      <c r="Y236" s="93"/>
      <c r="Z236" s="81"/>
      <c r="AA236" s="94"/>
      <c r="AB236" s="81"/>
      <c r="AC236" s="93"/>
      <c r="AD236" s="81"/>
      <c r="AE236" s="94"/>
      <c r="AF236" s="81"/>
      <c r="AG236" s="93"/>
      <c r="AH236" s="81"/>
      <c r="AI236" s="94"/>
      <c r="AJ236" s="81"/>
      <c r="AK236" s="93"/>
      <c r="AL236" s="81"/>
      <c r="AM236" s="94"/>
      <c r="AN236" s="81"/>
      <c r="AO236" s="93"/>
      <c r="AP236" s="81"/>
      <c r="AQ236" s="94"/>
      <c r="AR236" s="81"/>
      <c r="AS236" s="94"/>
      <c r="AT236" s="306"/>
      <c r="AU236" s="94"/>
      <c r="AV236" s="306"/>
      <c r="AW236" s="94"/>
      <c r="AX236" s="66">
        <f t="shared" si="38"/>
        <v>1</v>
      </c>
      <c r="AY236" s="78">
        <f t="shared" si="39"/>
        <v>20.833333333333332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30.416666666666664</v>
      </c>
      <c r="BC236" s="53">
        <f t="shared" si="41"/>
        <v>30.416666666666664</v>
      </c>
    </row>
    <row r="237" spans="1:55" ht="13.15">
      <c r="A237" t="s">
        <v>1119</v>
      </c>
      <c r="B237" t="s">
        <v>1120</v>
      </c>
      <c r="C237" s="52" t="s">
        <v>1121</v>
      </c>
      <c r="D237" s="52" t="s">
        <v>1121</v>
      </c>
      <c r="E237">
        <v>0</v>
      </c>
      <c r="F237">
        <v>0</v>
      </c>
      <c r="G237" s="64">
        <v>0</v>
      </c>
      <c r="H237">
        <v>300</v>
      </c>
      <c r="I237">
        <v>300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69">
        <f t="shared" si="42"/>
        <v>0</v>
      </c>
      <c r="Q237" s="93"/>
      <c r="R237" s="81"/>
      <c r="S237" s="94"/>
      <c r="T237" s="81"/>
      <c r="U237" s="93"/>
      <c r="V237" s="81"/>
      <c r="W237" s="94"/>
      <c r="X237" s="81"/>
      <c r="Y237" s="93"/>
      <c r="Z237" s="81"/>
      <c r="AA237" s="94"/>
      <c r="AB237" s="81"/>
      <c r="AC237" s="93"/>
      <c r="AD237" s="81"/>
      <c r="AE237" s="94"/>
      <c r="AF237" s="81"/>
      <c r="AG237" s="93"/>
      <c r="AH237" s="81"/>
      <c r="AI237" s="94"/>
      <c r="AJ237" s="81"/>
      <c r="AK237" s="93"/>
      <c r="AL237" s="81"/>
      <c r="AM237" s="94"/>
      <c r="AN237" s="81"/>
      <c r="AO237" s="93"/>
      <c r="AP237" s="81"/>
      <c r="AQ237" s="94"/>
      <c r="AR237" s="81"/>
      <c r="AS237" s="94"/>
      <c r="AT237" s="306"/>
      <c r="AU237" s="94"/>
      <c r="AV237" s="306"/>
      <c r="AW237" s="94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">
        <v>1122</v>
      </c>
      <c r="B238" t="s">
        <v>1120</v>
      </c>
      <c r="C238" s="52" t="s">
        <v>1121</v>
      </c>
      <c r="D238" s="52" t="s">
        <v>1121</v>
      </c>
      <c r="E238">
        <v>0</v>
      </c>
      <c r="F238">
        <v>0</v>
      </c>
      <c r="G238" s="64">
        <v>0</v>
      </c>
      <c r="H238">
        <v>300</v>
      </c>
      <c r="I238">
        <v>300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 s="69">
        <f t="shared" si="42"/>
        <v>0</v>
      </c>
      <c r="Q238" s="93"/>
      <c r="R238" s="81"/>
      <c r="S238" s="94"/>
      <c r="T238" s="81"/>
      <c r="U238" s="93"/>
      <c r="V238" s="81"/>
      <c r="W238" s="94"/>
      <c r="X238" s="81"/>
      <c r="Y238" s="93"/>
      <c r="Z238" s="81"/>
      <c r="AA238" s="94"/>
      <c r="AB238" s="81"/>
      <c r="AC238" s="93"/>
      <c r="AD238" s="81"/>
      <c r="AE238" s="94"/>
      <c r="AF238" s="81"/>
      <c r="AG238" s="93"/>
      <c r="AH238" s="81"/>
      <c r="AI238" s="94"/>
      <c r="AJ238" s="81"/>
      <c r="AK238" s="93"/>
      <c r="AL238" s="81"/>
      <c r="AM238" s="94"/>
      <c r="AN238" s="81"/>
      <c r="AO238" s="93"/>
      <c r="AP238" s="81"/>
      <c r="AQ238" s="94"/>
      <c r="AR238" s="81"/>
      <c r="AS238" s="94"/>
      <c r="AT238" s="306"/>
      <c r="AU238" s="94"/>
      <c r="AV238" s="306"/>
      <c r="AW238" s="94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">
        <v>1123</v>
      </c>
      <c r="B239" t="s">
        <v>94</v>
      </c>
      <c r="C239" s="52" t="s">
        <v>1124</v>
      </c>
      <c r="D239" s="52" t="s">
        <v>1124</v>
      </c>
      <c r="E239">
        <v>50</v>
      </c>
      <c r="F239">
        <v>50</v>
      </c>
      <c r="G239" s="64">
        <v>44300</v>
      </c>
      <c r="H239">
        <v>300</v>
      </c>
      <c r="I239">
        <v>300</v>
      </c>
      <c r="J239">
        <v>13</v>
      </c>
      <c r="K239">
        <v>10</v>
      </c>
      <c r="L239">
        <v>1</v>
      </c>
      <c r="M239">
        <v>0</v>
      </c>
      <c r="N239">
        <v>0</v>
      </c>
      <c r="O239">
        <v>43</v>
      </c>
      <c r="P239" s="69">
        <f t="shared" si="42"/>
        <v>41.666666666666664</v>
      </c>
      <c r="Q239" s="104" t="s">
        <v>484</v>
      </c>
      <c r="R239" s="103">
        <v>2</v>
      </c>
      <c r="S239" s="94"/>
      <c r="T239" s="81"/>
      <c r="U239" s="93"/>
      <c r="V239" s="81"/>
      <c r="W239" s="94"/>
      <c r="X239" s="81"/>
      <c r="Y239" s="93"/>
      <c r="Z239" s="81"/>
      <c r="AA239" s="94"/>
      <c r="AB239" s="81"/>
      <c r="AC239" s="93"/>
      <c r="AD239" s="81"/>
      <c r="AE239" s="94"/>
      <c r="AF239" s="81"/>
      <c r="AG239" s="93"/>
      <c r="AH239" s="81"/>
      <c r="AI239" s="94"/>
      <c r="AJ239" s="81"/>
      <c r="AK239" s="93"/>
      <c r="AL239" s="81"/>
      <c r="AM239" s="94"/>
      <c r="AN239" s="81"/>
      <c r="AO239" s="93"/>
      <c r="AP239" s="81"/>
      <c r="AQ239" s="94"/>
      <c r="AR239" s="81"/>
      <c r="AS239" s="94"/>
      <c r="AT239" s="306"/>
      <c r="AU239" s="94"/>
      <c r="AV239" s="306"/>
      <c r="AW239" s="94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">
        <v>1125</v>
      </c>
      <c r="B240" t="s">
        <v>97</v>
      </c>
      <c r="C240" s="52" t="s">
        <v>1126</v>
      </c>
      <c r="D240" s="52" t="s">
        <v>1126</v>
      </c>
      <c r="E240">
        <v>10</v>
      </c>
      <c r="F240">
        <v>10</v>
      </c>
      <c r="G240" s="64">
        <v>44159</v>
      </c>
      <c r="H240">
        <v>300</v>
      </c>
      <c r="I240">
        <v>300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40</v>
      </c>
      <c r="P240" s="69">
        <f t="shared" si="42"/>
        <v>0</v>
      </c>
      <c r="Q240" s="93"/>
      <c r="R240" s="81"/>
      <c r="S240" s="94"/>
      <c r="T240" s="81"/>
      <c r="U240" s="93"/>
      <c r="V240" s="81"/>
      <c r="W240" s="94"/>
      <c r="X240" s="81"/>
      <c r="Y240" s="93"/>
      <c r="Z240" s="81"/>
      <c r="AA240" s="94"/>
      <c r="AB240" s="81"/>
      <c r="AC240" s="93"/>
      <c r="AD240" s="81"/>
      <c r="AE240" s="94"/>
      <c r="AF240" s="81"/>
      <c r="AG240" s="93"/>
      <c r="AH240" s="81"/>
      <c r="AI240" s="94"/>
      <c r="AJ240" s="81"/>
      <c r="AK240" s="93"/>
      <c r="AL240" s="81"/>
      <c r="AM240" s="94"/>
      <c r="AN240" s="81"/>
      <c r="AO240" s="93"/>
      <c r="AP240" s="81"/>
      <c r="AQ240" s="94"/>
      <c r="AR240" s="81"/>
      <c r="AS240" s="94"/>
      <c r="AT240" s="306"/>
      <c r="AU240" s="94"/>
      <c r="AV240" s="306"/>
      <c r="AW240" s="94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">
        <v>1127</v>
      </c>
      <c r="B241" t="s">
        <v>98</v>
      </c>
      <c r="C241" s="52" t="s">
        <v>1128</v>
      </c>
      <c r="D241" s="52" t="s">
        <v>1128</v>
      </c>
      <c r="E241">
        <v>60</v>
      </c>
      <c r="F241">
        <v>60</v>
      </c>
      <c r="G241" s="64">
        <v>44106</v>
      </c>
      <c r="H241">
        <v>300</v>
      </c>
      <c r="I241">
        <v>300</v>
      </c>
      <c r="J241">
        <v>8</v>
      </c>
      <c r="K241">
        <v>4</v>
      </c>
      <c r="L241">
        <v>9</v>
      </c>
      <c r="M241">
        <v>4</v>
      </c>
      <c r="N241">
        <v>0</v>
      </c>
      <c r="O241">
        <v>8</v>
      </c>
      <c r="P241" s="69">
        <f t="shared" si="42"/>
        <v>125</v>
      </c>
      <c r="Q241" s="82" t="s">
        <v>487</v>
      </c>
      <c r="R241" s="83">
        <v>5</v>
      </c>
      <c r="S241" s="102" t="s">
        <v>488</v>
      </c>
      <c r="T241" s="103">
        <v>1</v>
      </c>
      <c r="U241" s="93"/>
      <c r="V241" s="81"/>
      <c r="W241" s="94"/>
      <c r="X241" s="81"/>
      <c r="Y241" s="93"/>
      <c r="Z241" s="81"/>
      <c r="AA241" s="94"/>
      <c r="AB241" s="81"/>
      <c r="AC241" s="93"/>
      <c r="AD241" s="81"/>
      <c r="AE241" s="94"/>
      <c r="AF241" s="81"/>
      <c r="AG241" s="93"/>
      <c r="AH241" s="81"/>
      <c r="AI241" s="94"/>
      <c r="AJ241" s="81"/>
      <c r="AK241" s="93"/>
      <c r="AL241" s="81"/>
      <c r="AM241" s="94"/>
      <c r="AN241" s="81"/>
      <c r="AO241" s="93"/>
      <c r="AP241" s="81"/>
      <c r="AQ241" s="94"/>
      <c r="AR241" s="81"/>
      <c r="AS241" s="94"/>
      <c r="AT241" s="306"/>
      <c r="AU241" s="94"/>
      <c r="AV241" s="306"/>
      <c r="AW241" s="94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">
        <v>1129</v>
      </c>
      <c r="B242" t="s">
        <v>115</v>
      </c>
      <c r="C242" s="52" t="s">
        <v>1130</v>
      </c>
      <c r="D242" s="52" t="s">
        <v>1130</v>
      </c>
      <c r="E242">
        <v>7.8</v>
      </c>
      <c r="F242">
        <v>7.8</v>
      </c>
      <c r="G242" s="64">
        <v>44879</v>
      </c>
      <c r="H242">
        <v>300</v>
      </c>
      <c r="I242">
        <v>300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69">
        <f t="shared" si="42"/>
        <v>20.833333333333332</v>
      </c>
      <c r="Q242" s="104" t="s">
        <v>1131</v>
      </c>
      <c r="R242" s="103">
        <v>1</v>
      </c>
      <c r="S242" s="94"/>
      <c r="T242" s="81"/>
      <c r="U242" s="93"/>
      <c r="V242" s="81"/>
      <c r="W242" s="94"/>
      <c r="X242" s="81"/>
      <c r="Y242" s="93"/>
      <c r="Z242" s="81"/>
      <c r="AA242" s="94"/>
      <c r="AB242" s="81"/>
      <c r="AC242" s="93"/>
      <c r="AD242" s="81"/>
      <c r="AE242" s="94"/>
      <c r="AF242" s="81"/>
      <c r="AG242" s="93"/>
      <c r="AH242" s="81"/>
      <c r="AI242" s="94"/>
      <c r="AJ242" s="81"/>
      <c r="AK242" s="93"/>
      <c r="AL242" s="81"/>
      <c r="AM242" s="94"/>
      <c r="AN242" s="81"/>
      <c r="AO242" s="93"/>
      <c r="AP242" s="81"/>
      <c r="AQ242" s="94"/>
      <c r="AR242" s="81"/>
      <c r="AS242" s="94"/>
      <c r="AT242" s="306"/>
      <c r="AU242" s="94"/>
      <c r="AV242" s="306"/>
      <c r="AW242" s="94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">
        <v>1132</v>
      </c>
      <c r="B243" t="s">
        <v>104</v>
      </c>
      <c r="C243" s="52" t="s">
        <v>1133</v>
      </c>
      <c r="D243" s="52" t="s">
        <v>1133</v>
      </c>
      <c r="E243" t="s">
        <v>1134</v>
      </c>
      <c r="F243">
        <v>0</v>
      </c>
      <c r="G243" s="64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69">
        <f t="shared" si="42"/>
        <v>0</v>
      </c>
      <c r="Q243" s="93"/>
      <c r="R243" s="81"/>
      <c r="S243" s="94"/>
      <c r="T243" s="81"/>
      <c r="U243" s="93"/>
      <c r="V243" s="81"/>
      <c r="W243" s="94"/>
      <c r="X243" s="81"/>
      <c r="Y243" s="93"/>
      <c r="Z243" s="81"/>
      <c r="AA243" s="94"/>
      <c r="AB243" s="81"/>
      <c r="AC243" s="93"/>
      <c r="AD243" s="81"/>
      <c r="AE243" s="94"/>
      <c r="AF243" s="81"/>
      <c r="AG243" s="93"/>
      <c r="AH243" s="81"/>
      <c r="AI243" s="94"/>
      <c r="AJ243" s="81"/>
      <c r="AK243" s="93"/>
      <c r="AL243" s="81"/>
      <c r="AM243" s="94"/>
      <c r="AN243" s="81"/>
      <c r="AO243" s="93"/>
      <c r="AP243" s="81"/>
      <c r="AQ243" s="94"/>
      <c r="AR243" s="81"/>
      <c r="AS243" s="94"/>
      <c r="AT243" s="306"/>
      <c r="AU243" s="94"/>
      <c r="AV243" s="306"/>
      <c r="AW243" s="94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">
        <v>1135</v>
      </c>
      <c r="B244" t="s">
        <v>104</v>
      </c>
      <c r="C244" s="52" t="s">
        <v>1133</v>
      </c>
      <c r="D244" s="52" t="s">
        <v>1133</v>
      </c>
      <c r="E244" t="s">
        <v>1134</v>
      </c>
      <c r="F244">
        <v>0</v>
      </c>
      <c r="G244" s="6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69">
        <f t="shared" si="42"/>
        <v>0</v>
      </c>
      <c r="Q244" s="93"/>
      <c r="R244" s="81"/>
      <c r="S244" s="94"/>
      <c r="T244" s="81"/>
      <c r="U244" s="93"/>
      <c r="V244" s="81"/>
      <c r="W244" s="94"/>
      <c r="X244" s="81"/>
      <c r="Y244" s="93"/>
      <c r="Z244" s="81"/>
      <c r="AA244" s="94"/>
      <c r="AB244" s="81"/>
      <c r="AC244" s="93"/>
      <c r="AD244" s="81"/>
      <c r="AE244" s="94"/>
      <c r="AF244" s="81"/>
      <c r="AG244" s="93"/>
      <c r="AH244" s="81"/>
      <c r="AI244" s="94"/>
      <c r="AJ244" s="81"/>
      <c r="AK244" s="93"/>
      <c r="AL244" s="81"/>
      <c r="AM244" s="94"/>
      <c r="AN244" s="81"/>
      <c r="AO244" s="93"/>
      <c r="AP244" s="81"/>
      <c r="AQ244" s="94"/>
      <c r="AR244" s="81"/>
      <c r="AS244" s="94"/>
      <c r="AT244" s="306"/>
      <c r="AU244" s="94"/>
      <c r="AV244" s="306"/>
      <c r="AW244" s="94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">
        <v>1136</v>
      </c>
      <c r="B245" t="s">
        <v>154</v>
      </c>
      <c r="C245" s="52" t="s">
        <v>1137</v>
      </c>
      <c r="D245" s="52" t="s">
        <v>1137</v>
      </c>
      <c r="E245">
        <v>0</v>
      </c>
      <c r="F245">
        <v>0</v>
      </c>
      <c r="G245" s="64">
        <v>0</v>
      </c>
      <c r="H245">
        <v>300</v>
      </c>
      <c r="I245">
        <v>300</v>
      </c>
      <c r="J245">
        <v>9</v>
      </c>
      <c r="K245">
        <v>2</v>
      </c>
      <c r="L245">
        <v>0</v>
      </c>
      <c r="M245">
        <v>0</v>
      </c>
      <c r="N245">
        <v>0</v>
      </c>
      <c r="O245">
        <v>0</v>
      </c>
      <c r="P245" s="69">
        <f t="shared" si="42"/>
        <v>20.833333333333332</v>
      </c>
      <c r="Q245" s="104" t="s">
        <v>579</v>
      </c>
      <c r="R245" s="103">
        <v>1</v>
      </c>
      <c r="S245" s="102"/>
      <c r="T245" s="81"/>
      <c r="U245" s="93"/>
      <c r="V245" s="81"/>
      <c r="W245" s="94"/>
      <c r="X245" s="81"/>
      <c r="Y245" s="93"/>
      <c r="Z245" s="81"/>
      <c r="AA245" s="94"/>
      <c r="AB245" s="81"/>
      <c r="AC245" s="93"/>
      <c r="AD245" s="81"/>
      <c r="AE245" s="94"/>
      <c r="AF245" s="81"/>
      <c r="AG245" s="93"/>
      <c r="AH245" s="81"/>
      <c r="AI245" s="94"/>
      <c r="AJ245" s="81"/>
      <c r="AK245" s="93"/>
      <c r="AL245" s="81"/>
      <c r="AM245" s="94"/>
      <c r="AN245" s="81"/>
      <c r="AO245" s="93"/>
      <c r="AP245" s="81"/>
      <c r="AQ245" s="94"/>
      <c r="AR245" s="81"/>
      <c r="AS245" s="94"/>
      <c r="AT245" s="306"/>
      <c r="AU245" s="94"/>
      <c r="AV245" s="306"/>
      <c r="AW245" s="94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">
        <v>1138</v>
      </c>
      <c r="B246" t="s">
        <v>154</v>
      </c>
      <c r="C246" s="52" t="s">
        <v>1137</v>
      </c>
      <c r="D246" s="52" t="s">
        <v>1137</v>
      </c>
      <c r="E246">
        <v>0</v>
      </c>
      <c r="F246">
        <v>0</v>
      </c>
      <c r="G246" s="64">
        <v>0</v>
      </c>
      <c r="H246">
        <v>300</v>
      </c>
      <c r="I246">
        <v>300</v>
      </c>
      <c r="J246">
        <v>0</v>
      </c>
      <c r="K246">
        <v>0</v>
      </c>
      <c r="L246">
        <v>12</v>
      </c>
      <c r="M246">
        <v>0</v>
      </c>
      <c r="N246">
        <v>0</v>
      </c>
      <c r="O246">
        <v>0</v>
      </c>
      <c r="P246" s="69">
        <f t="shared" si="42"/>
        <v>0</v>
      </c>
      <c r="Q246" s="93"/>
      <c r="R246" s="81"/>
      <c r="S246" s="94"/>
      <c r="T246" s="81"/>
      <c r="U246" s="93"/>
      <c r="V246" s="81"/>
      <c r="W246" s="94"/>
      <c r="X246" s="81"/>
      <c r="Y246" s="93"/>
      <c r="Z246" s="81"/>
      <c r="AA246" s="94"/>
      <c r="AB246" s="81"/>
      <c r="AC246" s="93"/>
      <c r="AD246" s="81"/>
      <c r="AE246" s="94"/>
      <c r="AF246" s="81"/>
      <c r="AG246" s="93"/>
      <c r="AH246" s="81"/>
      <c r="AI246" s="94"/>
      <c r="AJ246" s="81"/>
      <c r="AK246" s="93"/>
      <c r="AL246" s="81"/>
      <c r="AM246" s="94"/>
      <c r="AN246" s="81"/>
      <c r="AO246" s="93"/>
      <c r="AP246" s="81"/>
      <c r="AQ246" s="94"/>
      <c r="AR246" s="81"/>
      <c r="AS246" s="94"/>
      <c r="AT246" s="306"/>
      <c r="AU246" s="94"/>
      <c r="AV246" s="306"/>
      <c r="AW246" s="94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">
        <v>1139</v>
      </c>
      <c r="B247" t="s">
        <v>154</v>
      </c>
      <c r="C247" s="52" t="s">
        <v>1137</v>
      </c>
      <c r="D247" s="52" t="s">
        <v>1137</v>
      </c>
      <c r="E247">
        <v>0</v>
      </c>
      <c r="F247">
        <v>0</v>
      </c>
      <c r="G247" s="64">
        <v>0</v>
      </c>
      <c r="H247">
        <v>300</v>
      </c>
      <c r="I247">
        <v>300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 s="69">
        <f t="shared" si="42"/>
        <v>0</v>
      </c>
      <c r="Q247" s="93"/>
      <c r="R247" s="81"/>
      <c r="S247" s="94"/>
      <c r="T247" s="81"/>
      <c r="U247" s="93"/>
      <c r="V247" s="81"/>
      <c r="W247" s="94"/>
      <c r="X247" s="81"/>
      <c r="Y247" s="93"/>
      <c r="Z247" s="81"/>
      <c r="AA247" s="94"/>
      <c r="AB247" s="81"/>
      <c r="AC247" s="93"/>
      <c r="AD247" s="81"/>
      <c r="AE247" s="94"/>
      <c r="AF247" s="81"/>
      <c r="AG247" s="93"/>
      <c r="AH247" s="81"/>
      <c r="AI247" s="94"/>
      <c r="AJ247" s="81"/>
      <c r="AK247" s="93"/>
      <c r="AL247" s="81"/>
      <c r="AM247" s="94"/>
      <c r="AN247" s="81"/>
      <c r="AO247" s="93"/>
      <c r="AP247" s="81"/>
      <c r="AQ247" s="94"/>
      <c r="AR247" s="81"/>
      <c r="AS247" s="94"/>
      <c r="AT247" s="306"/>
      <c r="AU247" s="94"/>
      <c r="AV247" s="306"/>
      <c r="AW247" s="94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">
        <v>1140</v>
      </c>
      <c r="B248" t="s">
        <v>163</v>
      </c>
      <c r="C248" s="52" t="s">
        <v>1141</v>
      </c>
      <c r="D248" s="52" t="s">
        <v>1141</v>
      </c>
      <c r="E248">
        <v>0</v>
      </c>
      <c r="F248">
        <v>0</v>
      </c>
      <c r="G248" s="64">
        <v>0</v>
      </c>
      <c r="H248">
        <v>300</v>
      </c>
      <c r="I248">
        <v>300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</v>
      </c>
      <c r="P248" s="69">
        <f t="shared" si="42"/>
        <v>177.08333333333334</v>
      </c>
      <c r="Q248" s="82" t="s">
        <v>602</v>
      </c>
      <c r="R248" s="83">
        <v>5</v>
      </c>
      <c r="S248" s="82" t="s">
        <v>603</v>
      </c>
      <c r="T248" s="83">
        <v>3.5</v>
      </c>
      <c r="U248" s="93"/>
      <c r="V248" s="81"/>
      <c r="W248" s="94"/>
      <c r="X248" s="81"/>
      <c r="Y248" s="93"/>
      <c r="Z248" s="81"/>
      <c r="AA248" s="94"/>
      <c r="AB248" s="81"/>
      <c r="AC248" s="93"/>
      <c r="AD248" s="81"/>
      <c r="AE248" s="94"/>
      <c r="AF248" s="81"/>
      <c r="AG248" s="93"/>
      <c r="AH248" s="81"/>
      <c r="AI248" s="94"/>
      <c r="AJ248" s="81"/>
      <c r="AK248" s="93"/>
      <c r="AL248" s="81"/>
      <c r="AM248" s="94"/>
      <c r="AN248" s="81"/>
      <c r="AO248" s="93"/>
      <c r="AP248" s="81"/>
      <c r="AQ248" s="94"/>
      <c r="AR248" s="81"/>
      <c r="AS248" s="94"/>
      <c r="AT248" s="306"/>
      <c r="AU248" s="94"/>
      <c r="AV248" s="306"/>
      <c r="AW248" s="94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">
        <v>1142</v>
      </c>
      <c r="B249" t="s">
        <v>165</v>
      </c>
      <c r="C249" s="52" t="s">
        <v>1143</v>
      </c>
      <c r="D249" s="52" t="s">
        <v>1143</v>
      </c>
      <c r="E249">
        <v>0</v>
      </c>
      <c r="F249">
        <v>0</v>
      </c>
      <c r="G249" s="64">
        <v>0</v>
      </c>
      <c r="H249">
        <v>300</v>
      </c>
      <c r="I249">
        <v>300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61</v>
      </c>
      <c r="P249" s="69">
        <f t="shared" si="42"/>
        <v>0</v>
      </c>
      <c r="Q249" s="93"/>
      <c r="R249" s="81"/>
      <c r="S249" s="94"/>
      <c r="T249" s="81"/>
      <c r="U249" s="93"/>
      <c r="V249" s="81"/>
      <c r="W249" s="94"/>
      <c r="X249" s="81"/>
      <c r="Y249" s="93"/>
      <c r="Z249" s="81"/>
      <c r="AA249" s="94"/>
      <c r="AB249" s="81"/>
      <c r="AC249" s="93"/>
      <c r="AD249" s="81"/>
      <c r="AE249" s="94"/>
      <c r="AF249" s="81"/>
      <c r="AG249" s="93"/>
      <c r="AH249" s="81"/>
      <c r="AI249" s="94"/>
      <c r="AJ249" s="81"/>
      <c r="AK249" s="93"/>
      <c r="AL249" s="81"/>
      <c r="AM249" s="94"/>
      <c r="AN249" s="81"/>
      <c r="AO249" s="93"/>
      <c r="AP249" s="81"/>
      <c r="AQ249" s="94"/>
      <c r="AR249" s="81"/>
      <c r="AS249" s="94"/>
      <c r="AT249" s="306"/>
      <c r="AU249" s="94"/>
      <c r="AV249" s="306"/>
      <c r="AW249" s="94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">
        <v>1144</v>
      </c>
      <c r="B250" t="s">
        <v>172</v>
      </c>
      <c r="C250" s="52" t="s">
        <v>1145</v>
      </c>
      <c r="D250" s="52" t="s">
        <v>1145</v>
      </c>
      <c r="E250">
        <v>250</v>
      </c>
      <c r="F250">
        <v>250</v>
      </c>
      <c r="G250" s="64" t="s">
        <v>1146</v>
      </c>
      <c r="H250">
        <v>300</v>
      </c>
      <c r="I250">
        <v>300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11</v>
      </c>
      <c r="P250" s="69">
        <f t="shared" si="42"/>
        <v>0</v>
      </c>
      <c r="Q250" s="93"/>
      <c r="R250" s="81"/>
      <c r="S250" s="94"/>
      <c r="T250" s="81"/>
      <c r="U250" s="93"/>
      <c r="V250" s="81"/>
      <c r="W250" s="94"/>
      <c r="X250" s="81"/>
      <c r="Y250" s="93"/>
      <c r="Z250" s="81"/>
      <c r="AA250" s="94"/>
      <c r="AB250" s="81"/>
      <c r="AC250" s="93"/>
      <c r="AD250" s="81"/>
      <c r="AE250" s="94"/>
      <c r="AF250" s="81"/>
      <c r="AG250" s="93"/>
      <c r="AH250" s="81"/>
      <c r="AI250" s="94"/>
      <c r="AJ250" s="81"/>
      <c r="AK250" s="93"/>
      <c r="AL250" s="81"/>
      <c r="AM250" s="94"/>
      <c r="AN250" s="81"/>
      <c r="AO250" s="93"/>
      <c r="AP250" s="81"/>
      <c r="AQ250" s="94"/>
      <c r="AR250" s="81"/>
      <c r="AS250" s="94"/>
      <c r="AT250" s="306"/>
      <c r="AU250" s="94"/>
      <c r="AV250" s="306"/>
      <c r="AW250" s="94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">
        <v>1147</v>
      </c>
      <c r="B251" t="s">
        <v>172</v>
      </c>
      <c r="C251" s="52" t="s">
        <v>1145</v>
      </c>
      <c r="D251" s="52" t="s">
        <v>1145</v>
      </c>
      <c r="E251">
        <v>150</v>
      </c>
      <c r="F251">
        <v>150</v>
      </c>
      <c r="G251" s="64">
        <v>41950</v>
      </c>
      <c r="H251">
        <v>300</v>
      </c>
      <c r="I251">
        <v>300</v>
      </c>
      <c r="J251">
        <v>2</v>
      </c>
      <c r="K251">
        <v>0</v>
      </c>
      <c r="L251">
        <v>0</v>
      </c>
      <c r="M251">
        <v>3</v>
      </c>
      <c r="N251">
        <v>11</v>
      </c>
      <c r="O251">
        <v>0</v>
      </c>
      <c r="P251" s="69">
        <f t="shared" si="42"/>
        <v>0</v>
      </c>
      <c r="Q251" s="93"/>
      <c r="R251" s="81"/>
      <c r="S251" s="94"/>
      <c r="T251" s="81"/>
      <c r="U251" s="93"/>
      <c r="V251" s="81"/>
      <c r="W251" s="94"/>
      <c r="X251" s="81"/>
      <c r="Y251" s="93"/>
      <c r="Z251" s="81"/>
      <c r="AA251" s="94"/>
      <c r="AB251" s="81"/>
      <c r="AC251" s="93"/>
      <c r="AD251" s="81"/>
      <c r="AE251" s="94"/>
      <c r="AF251" s="81"/>
      <c r="AG251" s="93"/>
      <c r="AH251" s="81"/>
      <c r="AI251" s="94"/>
      <c r="AJ251" s="81"/>
      <c r="AK251" s="93"/>
      <c r="AL251" s="81"/>
      <c r="AM251" s="94"/>
      <c r="AN251" s="81"/>
      <c r="AO251" s="93"/>
      <c r="AP251" s="81"/>
      <c r="AQ251" s="94"/>
      <c r="AR251" s="81"/>
      <c r="AS251" s="94"/>
      <c r="AT251" s="306"/>
      <c r="AU251" s="94"/>
      <c r="AV251" s="306"/>
      <c r="AW251" s="94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">
        <v>1148</v>
      </c>
      <c r="B252" t="s">
        <v>172</v>
      </c>
      <c r="C252" s="52" t="s">
        <v>1145</v>
      </c>
      <c r="D252" s="52" t="s">
        <v>1145</v>
      </c>
      <c r="E252">
        <v>155</v>
      </c>
      <c r="F252">
        <v>155</v>
      </c>
      <c r="G252" s="64">
        <v>42948</v>
      </c>
      <c r="H252">
        <v>300</v>
      </c>
      <c r="I252">
        <v>300</v>
      </c>
      <c r="J252">
        <v>2</v>
      </c>
      <c r="K252">
        <v>0</v>
      </c>
      <c r="L252">
        <v>0</v>
      </c>
      <c r="M252">
        <v>15</v>
      </c>
      <c r="N252">
        <v>6</v>
      </c>
      <c r="O252">
        <v>0</v>
      </c>
      <c r="P252" s="69">
        <f t="shared" si="42"/>
        <v>0</v>
      </c>
      <c r="Q252" s="93"/>
      <c r="R252" s="81"/>
      <c r="S252" s="94"/>
      <c r="T252" s="81"/>
      <c r="U252" s="93"/>
      <c r="V252" s="81"/>
      <c r="W252" s="94"/>
      <c r="X252" s="81"/>
      <c r="Y252" s="93"/>
      <c r="Z252" s="81"/>
      <c r="AA252" s="94"/>
      <c r="AB252" s="81"/>
      <c r="AC252" s="93"/>
      <c r="AD252" s="81"/>
      <c r="AE252" s="94"/>
      <c r="AF252" s="81"/>
      <c r="AG252" s="93"/>
      <c r="AH252" s="81"/>
      <c r="AI252" s="94"/>
      <c r="AJ252" s="81"/>
      <c r="AK252" s="93"/>
      <c r="AL252" s="81"/>
      <c r="AM252" s="94"/>
      <c r="AN252" s="81"/>
      <c r="AO252" s="93"/>
      <c r="AP252" s="81"/>
      <c r="AQ252" s="94"/>
      <c r="AR252" s="81"/>
      <c r="AS252" s="94"/>
      <c r="AT252" s="306"/>
      <c r="AU252" s="94"/>
      <c r="AV252" s="306"/>
      <c r="AW252" s="94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">
        <v>1149</v>
      </c>
      <c r="B253" t="s">
        <v>172</v>
      </c>
      <c r="C253" s="52" t="s">
        <v>1145</v>
      </c>
      <c r="D253" s="52" t="s">
        <v>1145</v>
      </c>
      <c r="E253">
        <v>165</v>
      </c>
      <c r="F253">
        <v>145</v>
      </c>
      <c r="G253" s="64">
        <v>42948</v>
      </c>
      <c r="H253">
        <v>300</v>
      </c>
      <c r="I253">
        <v>300</v>
      </c>
      <c r="J253">
        <v>2</v>
      </c>
      <c r="K253">
        <v>5</v>
      </c>
      <c r="L253">
        <v>0</v>
      </c>
      <c r="M253">
        <v>7</v>
      </c>
      <c r="N253">
        <v>10</v>
      </c>
      <c r="O253">
        <v>0</v>
      </c>
      <c r="P253" s="69">
        <f t="shared" si="42"/>
        <v>83.333333333333329</v>
      </c>
      <c r="Q253" s="109" t="s">
        <v>621</v>
      </c>
      <c r="R253" s="261">
        <v>2</v>
      </c>
      <c r="S253" s="109" t="s">
        <v>622</v>
      </c>
      <c r="T253" s="261">
        <v>2</v>
      </c>
      <c r="U253" s="93"/>
      <c r="V253" s="81"/>
      <c r="W253" s="94"/>
      <c r="X253" s="81"/>
      <c r="Y253" s="93"/>
      <c r="Z253" s="81"/>
      <c r="AA253" s="94"/>
      <c r="AB253" s="81"/>
      <c r="AC253" s="93"/>
      <c r="AD253" s="81"/>
      <c r="AE253" s="94"/>
      <c r="AF253" s="81"/>
      <c r="AG253" s="93"/>
      <c r="AH253" s="81"/>
      <c r="AI253" s="94"/>
      <c r="AJ253" s="81"/>
      <c r="AK253" s="93"/>
      <c r="AL253" s="81"/>
      <c r="AM253" s="94"/>
      <c r="AN253" s="81"/>
      <c r="AO253" s="93"/>
      <c r="AP253" s="81"/>
      <c r="AQ253" s="94"/>
      <c r="AR253" s="81"/>
      <c r="AS253" s="94"/>
      <c r="AT253" s="306"/>
      <c r="AU253" s="94"/>
      <c r="AV253" s="306"/>
      <c r="AW253" s="94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">
        <v>1150</v>
      </c>
      <c r="B254" t="s">
        <v>172</v>
      </c>
      <c r="C254" s="52" t="s">
        <v>1145</v>
      </c>
      <c r="D254" s="52" t="s">
        <v>1145</v>
      </c>
      <c r="E254">
        <v>95</v>
      </c>
      <c r="F254">
        <v>95</v>
      </c>
      <c r="G254" s="64" t="s">
        <v>1151</v>
      </c>
      <c r="H254">
        <v>300</v>
      </c>
      <c r="I254">
        <v>300</v>
      </c>
      <c r="J254">
        <v>0</v>
      </c>
      <c r="K254">
        <v>0</v>
      </c>
      <c r="L254">
        <v>0</v>
      </c>
      <c r="M254">
        <v>12</v>
      </c>
      <c r="N254">
        <v>9</v>
      </c>
      <c r="O254">
        <v>0</v>
      </c>
      <c r="P254" s="69">
        <f t="shared" ref="P254:P316" si="48">SUM(AY254+BA254)</f>
        <v>0</v>
      </c>
      <c r="Q254" s="93"/>
      <c r="R254" s="81"/>
      <c r="S254" s="94"/>
      <c r="T254" s="81"/>
      <c r="U254" s="93"/>
      <c r="V254" s="81"/>
      <c r="W254" s="94"/>
      <c r="X254" s="81"/>
      <c r="Y254" s="93"/>
      <c r="Z254" s="81"/>
      <c r="AA254" s="94"/>
      <c r="AB254" s="81"/>
      <c r="AC254" s="93"/>
      <c r="AD254" s="81"/>
      <c r="AE254" s="94"/>
      <c r="AF254" s="81"/>
      <c r="AG254" s="93"/>
      <c r="AH254" s="81"/>
      <c r="AI254" s="94"/>
      <c r="AJ254" s="81"/>
      <c r="AK254" s="93"/>
      <c r="AL254" s="81"/>
      <c r="AM254" s="94"/>
      <c r="AN254" s="81"/>
      <c r="AO254" s="93"/>
      <c r="AP254" s="81"/>
      <c r="AQ254" s="94"/>
      <c r="AR254" s="81"/>
      <c r="AS254" s="94"/>
      <c r="AT254" s="306"/>
      <c r="AU254" s="94"/>
      <c r="AV254" s="306"/>
      <c r="AW254" s="94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">
        <v>1152</v>
      </c>
      <c r="B255" t="s">
        <v>174</v>
      </c>
      <c r="C255" s="52" t="s">
        <v>1153</v>
      </c>
      <c r="D255" s="52" t="s">
        <v>1153</v>
      </c>
      <c r="E255">
        <v>229.4</v>
      </c>
      <c r="F255">
        <v>234.2</v>
      </c>
      <c r="G255" s="64">
        <v>45271</v>
      </c>
      <c r="H255">
        <v>360</v>
      </c>
      <c r="I255">
        <v>360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69">
        <f t="shared" si="48"/>
        <v>270.83333333333331</v>
      </c>
      <c r="Q255" s="86" t="s">
        <v>1154</v>
      </c>
      <c r="R255" s="87">
        <v>5.6</v>
      </c>
      <c r="S255" s="82" t="s">
        <v>624</v>
      </c>
      <c r="T255" s="83">
        <v>1.8</v>
      </c>
      <c r="U255" s="82"/>
      <c r="V255" s="83"/>
      <c r="W255" s="90" t="s">
        <v>1155</v>
      </c>
      <c r="X255" s="91">
        <v>0.8</v>
      </c>
      <c r="Y255" s="93" t="s">
        <v>635</v>
      </c>
      <c r="Z255" s="81">
        <v>1.6</v>
      </c>
      <c r="AA255" s="93" t="s">
        <v>636</v>
      </c>
      <c r="AB255" s="81">
        <v>1.6</v>
      </c>
      <c r="AC255" s="93" t="s">
        <v>637</v>
      </c>
      <c r="AD255" s="81">
        <v>1.6</v>
      </c>
      <c r="AE255" s="88"/>
      <c r="AF255" s="289"/>
      <c r="AG255" s="90"/>
      <c r="AH255" s="290"/>
      <c r="AI255" s="90"/>
      <c r="AJ255" s="290"/>
      <c r="AK255" s="90"/>
      <c r="AL255" s="290"/>
      <c r="AM255" s="90"/>
      <c r="AN255" s="290"/>
      <c r="AO255" s="90"/>
      <c r="AP255" s="290"/>
      <c r="AQ255" s="90"/>
      <c r="AR255" s="287"/>
      <c r="AS255" s="82"/>
      <c r="AT255" s="287"/>
      <c r="AU255" s="90"/>
      <c r="AV255" s="290"/>
      <c r="AW255" s="94"/>
      <c r="AX255" s="66">
        <f t="shared" si="44"/>
        <v>12.999999999999998</v>
      </c>
      <c r="AY255" s="78">
        <f t="shared" si="45"/>
        <v>270.83333333333331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364.81666666666666</v>
      </c>
      <c r="BC255" s="53">
        <f t="shared" si="47"/>
        <v>369.61666666666667</v>
      </c>
    </row>
    <row r="256" spans="1:55" ht="13.15">
      <c r="A256" t="s">
        <v>1156</v>
      </c>
      <c r="B256" t="s">
        <v>174</v>
      </c>
      <c r="C256" s="52" t="s">
        <v>1153</v>
      </c>
      <c r="D256" s="52" t="s">
        <v>1153</v>
      </c>
      <c r="E256">
        <v>55</v>
      </c>
      <c r="F256">
        <v>55</v>
      </c>
      <c r="G256" s="64">
        <v>44330</v>
      </c>
      <c r="H256">
        <v>300</v>
      </c>
      <c r="I256">
        <v>300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13</v>
      </c>
      <c r="P256" s="69">
        <f t="shared" si="48"/>
        <v>0</v>
      </c>
      <c r="Q256" s="93"/>
      <c r="R256" s="81"/>
      <c r="S256" s="94"/>
      <c r="T256" s="81"/>
      <c r="U256" s="93"/>
      <c r="V256" s="81"/>
      <c r="W256" s="94"/>
      <c r="X256" s="81"/>
      <c r="Y256" s="93"/>
      <c r="Z256" s="81"/>
      <c r="AA256" s="94"/>
      <c r="AB256" s="81"/>
      <c r="AC256" s="93"/>
      <c r="AD256" s="81"/>
      <c r="AE256" s="94"/>
      <c r="AF256" s="81"/>
      <c r="AG256" s="93"/>
      <c r="AH256" s="81"/>
      <c r="AI256" s="94"/>
      <c r="AJ256" s="81"/>
      <c r="AK256" s="93"/>
      <c r="AL256" s="81"/>
      <c r="AM256" s="94"/>
      <c r="AN256" s="81"/>
      <c r="AO256" s="93"/>
      <c r="AP256" s="81"/>
      <c r="AQ256" s="94"/>
      <c r="AR256" s="81"/>
      <c r="AS256" s="94"/>
      <c r="AT256" s="306"/>
      <c r="AU256" s="94"/>
      <c r="AV256" s="306"/>
      <c r="AW256" s="94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">
        <v>1157</v>
      </c>
      <c r="B257" t="s">
        <v>174</v>
      </c>
      <c r="C257" s="52" t="s">
        <v>1153</v>
      </c>
      <c r="D257" s="52" t="s">
        <v>1153</v>
      </c>
      <c r="E257">
        <v>55</v>
      </c>
      <c r="F257">
        <v>55</v>
      </c>
      <c r="G257" s="64">
        <v>44331</v>
      </c>
      <c r="H257">
        <v>300</v>
      </c>
      <c r="I257">
        <v>300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13</v>
      </c>
      <c r="P257" s="69">
        <f t="shared" si="48"/>
        <v>0</v>
      </c>
      <c r="Q257" s="93"/>
      <c r="R257" s="81"/>
      <c r="S257" s="94"/>
      <c r="T257" s="81"/>
      <c r="U257" s="93"/>
      <c r="V257" s="81"/>
      <c r="W257" s="94"/>
      <c r="X257" s="81"/>
      <c r="Y257" s="93"/>
      <c r="Z257" s="81"/>
      <c r="AA257" s="94"/>
      <c r="AB257" s="81"/>
      <c r="AC257" s="93"/>
      <c r="AD257" s="81"/>
      <c r="AE257" s="94"/>
      <c r="AF257" s="81"/>
      <c r="AG257" s="93"/>
      <c r="AH257" s="81"/>
      <c r="AI257" s="94"/>
      <c r="AJ257" s="81"/>
      <c r="AK257" s="93"/>
      <c r="AL257" s="81"/>
      <c r="AM257" s="94"/>
      <c r="AN257" s="81"/>
      <c r="AO257" s="93"/>
      <c r="AP257" s="81"/>
      <c r="AQ257" s="94"/>
      <c r="AR257" s="81"/>
      <c r="AS257" s="94"/>
      <c r="AT257" s="306"/>
      <c r="AU257" s="94"/>
      <c r="AV257" s="306"/>
      <c r="AW257" s="94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">
        <v>1158</v>
      </c>
      <c r="B258" t="s">
        <v>174</v>
      </c>
      <c r="C258" s="52" t="s">
        <v>1153</v>
      </c>
      <c r="D258" s="52" t="s">
        <v>1153</v>
      </c>
      <c r="E258">
        <v>245</v>
      </c>
      <c r="F258">
        <v>245</v>
      </c>
      <c r="G258" s="64">
        <v>44330</v>
      </c>
      <c r="H258">
        <v>300</v>
      </c>
      <c r="I258">
        <v>300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 s="69">
        <f t="shared" si="48"/>
        <v>0</v>
      </c>
      <c r="Q258" s="93"/>
      <c r="R258" s="81"/>
      <c r="S258" s="94"/>
      <c r="T258" s="81"/>
      <c r="U258" s="93"/>
      <c r="V258" s="81"/>
      <c r="W258" s="94"/>
      <c r="X258" s="81"/>
      <c r="Y258" s="93"/>
      <c r="Z258" s="81"/>
      <c r="AA258" s="94"/>
      <c r="AB258" s="81"/>
      <c r="AC258" s="93"/>
      <c r="AD258" s="81"/>
      <c r="AE258" s="94"/>
      <c r="AF258" s="81"/>
      <c r="AG258" s="93"/>
      <c r="AH258" s="81"/>
      <c r="AI258" s="94"/>
      <c r="AJ258" s="81"/>
      <c r="AK258" s="93"/>
      <c r="AL258" s="81"/>
      <c r="AM258" s="94"/>
      <c r="AN258" s="81"/>
      <c r="AO258" s="93"/>
      <c r="AP258" s="81"/>
      <c r="AQ258" s="94"/>
      <c r="AR258" s="81"/>
      <c r="AS258" s="94"/>
      <c r="AT258" s="306"/>
      <c r="AU258" s="94"/>
      <c r="AV258" s="306"/>
      <c r="AW258" s="94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">
        <v>1159</v>
      </c>
      <c r="B259" t="s">
        <v>174</v>
      </c>
      <c r="C259" s="52" t="s">
        <v>1153</v>
      </c>
      <c r="D259" s="52" t="s">
        <v>1153</v>
      </c>
      <c r="E259">
        <v>135</v>
      </c>
      <c r="F259">
        <v>145</v>
      </c>
      <c r="G259" s="64">
        <v>44330</v>
      </c>
      <c r="H259">
        <v>300</v>
      </c>
      <c r="I259">
        <v>300</v>
      </c>
      <c r="J259">
        <v>4</v>
      </c>
      <c r="K259">
        <v>0</v>
      </c>
      <c r="L259">
        <v>0</v>
      </c>
      <c r="M259">
        <v>3</v>
      </c>
      <c r="N259">
        <v>12</v>
      </c>
      <c r="O259">
        <v>0</v>
      </c>
      <c r="P259" s="69">
        <f t="shared" si="48"/>
        <v>0</v>
      </c>
      <c r="Q259" s="93"/>
      <c r="R259" s="81"/>
      <c r="S259" s="94"/>
      <c r="T259" s="81"/>
      <c r="U259" s="93"/>
      <c r="V259" s="81"/>
      <c r="W259" s="94"/>
      <c r="X259" s="81"/>
      <c r="Y259" s="93"/>
      <c r="Z259" s="81"/>
      <c r="AA259" s="94"/>
      <c r="AB259" s="81"/>
      <c r="AC259" s="93"/>
      <c r="AD259" s="81"/>
      <c r="AE259" s="94"/>
      <c r="AF259" s="81"/>
      <c r="AG259" s="93"/>
      <c r="AH259" s="81"/>
      <c r="AI259" s="94"/>
      <c r="AJ259" s="81"/>
      <c r="AK259" s="93"/>
      <c r="AL259" s="81"/>
      <c r="AM259" s="94"/>
      <c r="AN259" s="81"/>
      <c r="AO259" s="93"/>
      <c r="AP259" s="81"/>
      <c r="AQ259" s="94"/>
      <c r="AR259" s="81"/>
      <c r="AS259" s="94"/>
      <c r="AT259" s="306"/>
      <c r="AU259" s="94"/>
      <c r="AV259" s="306"/>
      <c r="AW259" s="94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">
        <v>1160</v>
      </c>
      <c r="B260" t="s">
        <v>174</v>
      </c>
      <c r="C260" s="52" t="s">
        <v>1153</v>
      </c>
      <c r="D260" s="52" t="s">
        <v>1153</v>
      </c>
      <c r="E260">
        <v>140</v>
      </c>
      <c r="F260">
        <v>140</v>
      </c>
      <c r="G260" s="64">
        <v>44330</v>
      </c>
      <c r="H260">
        <v>300</v>
      </c>
      <c r="I260">
        <v>300</v>
      </c>
      <c r="J260">
        <v>1</v>
      </c>
      <c r="K260">
        <v>0</v>
      </c>
      <c r="L260">
        <v>0</v>
      </c>
      <c r="M260">
        <v>13</v>
      </c>
      <c r="N260">
        <v>12</v>
      </c>
      <c r="O260">
        <v>0</v>
      </c>
      <c r="P260" s="69">
        <f t="shared" si="48"/>
        <v>0</v>
      </c>
      <c r="Q260" s="93"/>
      <c r="R260" s="81"/>
      <c r="S260" s="94"/>
      <c r="T260" s="81"/>
      <c r="U260" s="93"/>
      <c r="V260" s="81"/>
      <c r="W260" s="94"/>
      <c r="X260" s="81"/>
      <c r="Y260" s="93"/>
      <c r="Z260" s="81"/>
      <c r="AA260" s="94"/>
      <c r="AB260" s="81"/>
      <c r="AC260" s="93"/>
      <c r="AD260" s="81"/>
      <c r="AE260" s="94"/>
      <c r="AF260" s="81"/>
      <c r="AG260" s="93"/>
      <c r="AH260" s="81"/>
      <c r="AI260" s="94"/>
      <c r="AJ260" s="81"/>
      <c r="AK260" s="93"/>
      <c r="AL260" s="81"/>
      <c r="AM260" s="94"/>
      <c r="AN260" s="81"/>
      <c r="AO260" s="93"/>
      <c r="AP260" s="81"/>
      <c r="AQ260" s="94"/>
      <c r="AR260" s="81"/>
      <c r="AS260" s="94"/>
      <c r="AT260" s="306"/>
      <c r="AU260" s="94"/>
      <c r="AV260" s="306"/>
      <c r="AW260" s="94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">
        <v>1161</v>
      </c>
      <c r="B261" t="s">
        <v>174</v>
      </c>
      <c r="C261" s="52" t="s">
        <v>1153</v>
      </c>
      <c r="D261" s="52" t="s">
        <v>1153</v>
      </c>
      <c r="E261">
        <v>142</v>
      </c>
      <c r="F261">
        <v>121</v>
      </c>
      <c r="G261" s="64">
        <v>44937</v>
      </c>
      <c r="H261">
        <v>300</v>
      </c>
      <c r="I261">
        <v>300</v>
      </c>
      <c r="J261">
        <v>6</v>
      </c>
      <c r="K261">
        <v>6</v>
      </c>
      <c r="L261">
        <v>1</v>
      </c>
      <c r="M261">
        <v>1</v>
      </c>
      <c r="N261">
        <v>7</v>
      </c>
      <c r="O261">
        <v>0</v>
      </c>
      <c r="P261" s="69">
        <f t="shared" si="48"/>
        <v>0</v>
      </c>
      <c r="Q261" s="93"/>
      <c r="R261" s="81"/>
      <c r="S261" s="94"/>
      <c r="T261" s="81"/>
      <c r="U261" s="93"/>
      <c r="V261" s="81"/>
      <c r="W261" s="94"/>
      <c r="X261" s="81"/>
      <c r="Y261" s="93"/>
      <c r="Z261" s="81"/>
      <c r="AA261" s="94"/>
      <c r="AB261" s="81"/>
      <c r="AC261" s="93"/>
      <c r="AD261" s="81"/>
      <c r="AE261" s="94"/>
      <c r="AF261" s="81"/>
      <c r="AG261" s="93"/>
      <c r="AH261" s="81"/>
      <c r="AI261" s="94"/>
      <c r="AJ261" s="81"/>
      <c r="AK261" s="93"/>
      <c r="AL261" s="81"/>
      <c r="AM261" s="94"/>
      <c r="AN261" s="81"/>
      <c r="AO261" s="93"/>
      <c r="AP261" s="81"/>
      <c r="AQ261" s="94"/>
      <c r="AR261" s="81"/>
      <c r="AS261" s="94"/>
      <c r="AT261" s="306"/>
      <c r="AU261" s="94"/>
      <c r="AV261" s="306"/>
      <c r="AW261" s="94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">
        <v>1162</v>
      </c>
      <c r="B262" t="s">
        <v>174</v>
      </c>
      <c r="C262" s="52" t="s">
        <v>1153</v>
      </c>
      <c r="D262" s="52" t="s">
        <v>1153</v>
      </c>
      <c r="E262">
        <v>95</v>
      </c>
      <c r="F262">
        <v>85</v>
      </c>
      <c r="G262" s="64">
        <v>44330</v>
      </c>
      <c r="H262">
        <v>300</v>
      </c>
      <c r="I262">
        <v>300</v>
      </c>
      <c r="J262">
        <v>6</v>
      </c>
      <c r="K262">
        <v>1</v>
      </c>
      <c r="L262">
        <v>6</v>
      </c>
      <c r="M262">
        <v>13</v>
      </c>
      <c r="N262">
        <v>10</v>
      </c>
      <c r="O262">
        <v>0</v>
      </c>
      <c r="P262" s="69">
        <f t="shared" si="48"/>
        <v>0</v>
      </c>
      <c r="Q262" s="93"/>
      <c r="R262" s="81"/>
      <c r="S262" s="94"/>
      <c r="T262" s="81"/>
      <c r="U262" s="93"/>
      <c r="V262" s="81"/>
      <c r="W262" s="94"/>
      <c r="X262" s="81"/>
      <c r="Y262" s="93"/>
      <c r="Z262" s="81"/>
      <c r="AA262" s="94"/>
      <c r="AB262" s="81"/>
      <c r="AC262" s="93"/>
      <c r="AD262" s="81"/>
      <c r="AE262" s="94"/>
      <c r="AF262" s="81"/>
      <c r="AG262" s="93"/>
      <c r="AH262" s="81"/>
      <c r="AI262" s="94"/>
      <c r="AJ262" s="81"/>
      <c r="AK262" s="93"/>
      <c r="AL262" s="81"/>
      <c r="AM262" s="94"/>
      <c r="AN262" s="81"/>
      <c r="AO262" s="93"/>
      <c r="AP262" s="81"/>
      <c r="AQ262" s="94"/>
      <c r="AR262" s="81"/>
      <c r="AS262" s="94"/>
      <c r="AT262" s="306"/>
      <c r="AU262" s="94"/>
      <c r="AV262" s="306"/>
      <c r="AW262" s="94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">
        <v>1163</v>
      </c>
      <c r="B263" t="s">
        <v>174</v>
      </c>
      <c r="C263" s="52" t="s">
        <v>1153</v>
      </c>
      <c r="D263" s="52" t="s">
        <v>1153</v>
      </c>
      <c r="E263">
        <v>105</v>
      </c>
      <c r="F263">
        <v>95</v>
      </c>
      <c r="G263" s="64">
        <v>44330</v>
      </c>
      <c r="H263">
        <v>300</v>
      </c>
      <c r="I263">
        <v>300</v>
      </c>
      <c r="J263">
        <v>5</v>
      </c>
      <c r="K263">
        <v>0</v>
      </c>
      <c r="L263">
        <v>0</v>
      </c>
      <c r="M263">
        <v>16</v>
      </c>
      <c r="N263">
        <v>5</v>
      </c>
      <c r="O263">
        <v>0</v>
      </c>
      <c r="P263" s="69">
        <f t="shared" si="48"/>
        <v>0</v>
      </c>
      <c r="Q263" s="93"/>
      <c r="R263" s="81"/>
      <c r="S263" s="94"/>
      <c r="T263" s="81"/>
      <c r="U263" s="93"/>
      <c r="V263" s="81"/>
      <c r="W263" s="94"/>
      <c r="X263" s="81"/>
      <c r="Y263" s="93"/>
      <c r="Z263" s="81"/>
      <c r="AA263" s="94"/>
      <c r="AB263" s="81"/>
      <c r="AC263" s="93"/>
      <c r="AD263" s="81"/>
      <c r="AE263" s="94"/>
      <c r="AF263" s="81"/>
      <c r="AG263" s="93"/>
      <c r="AH263" s="81"/>
      <c r="AI263" s="94"/>
      <c r="AJ263" s="81"/>
      <c r="AK263" s="93"/>
      <c r="AL263" s="81"/>
      <c r="AM263" s="94"/>
      <c r="AN263" s="81"/>
      <c r="AO263" s="93"/>
      <c r="AP263" s="81"/>
      <c r="AQ263" s="94"/>
      <c r="AR263" s="81"/>
      <c r="AS263" s="94"/>
      <c r="AT263" s="306"/>
      <c r="AU263" s="94"/>
      <c r="AV263" s="306"/>
      <c r="AW263" s="94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">
        <v>1164</v>
      </c>
      <c r="B264" t="s">
        <v>174</v>
      </c>
      <c r="C264" s="52" t="s">
        <v>1153</v>
      </c>
      <c r="D264" s="52" t="s">
        <v>1153</v>
      </c>
      <c r="E264">
        <v>90</v>
      </c>
      <c r="F264">
        <v>90</v>
      </c>
      <c r="G264" s="64">
        <v>44330</v>
      </c>
      <c r="H264">
        <v>300</v>
      </c>
      <c r="I264">
        <v>300</v>
      </c>
      <c r="J264">
        <v>2</v>
      </c>
      <c r="K264">
        <v>0</v>
      </c>
      <c r="L264">
        <v>4</v>
      </c>
      <c r="M264">
        <v>17</v>
      </c>
      <c r="N264">
        <v>11</v>
      </c>
      <c r="O264">
        <v>0</v>
      </c>
      <c r="P264" s="69">
        <f t="shared" si="48"/>
        <v>0</v>
      </c>
      <c r="Q264" s="104"/>
      <c r="R264" s="103"/>
      <c r="S264" s="94"/>
      <c r="T264" s="81"/>
      <c r="U264" s="93"/>
      <c r="V264" s="81"/>
      <c r="W264" s="94"/>
      <c r="X264" s="81"/>
      <c r="Y264" s="93"/>
      <c r="Z264" s="81"/>
      <c r="AA264" s="94"/>
      <c r="AB264" s="81"/>
      <c r="AC264" s="93"/>
      <c r="AD264" s="81"/>
      <c r="AE264" s="94"/>
      <c r="AF264" s="81"/>
      <c r="AG264" s="93"/>
      <c r="AH264" s="81"/>
      <c r="AI264" s="94"/>
      <c r="AJ264" s="81"/>
      <c r="AK264" s="93"/>
      <c r="AL264" s="81"/>
      <c r="AM264" s="94"/>
      <c r="AN264" s="81"/>
      <c r="AO264" s="93"/>
      <c r="AP264" s="81"/>
      <c r="AQ264" s="94"/>
      <c r="AR264" s="81"/>
      <c r="AS264" s="94"/>
      <c r="AT264" s="306"/>
      <c r="AU264" s="94"/>
      <c r="AV264" s="306"/>
      <c r="AW264" s="94"/>
      <c r="AX264" s="66">
        <f t="shared" si="44"/>
        <v>0</v>
      </c>
      <c r="AY264" s="78">
        <f t="shared" si="45"/>
        <v>0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90</v>
      </c>
      <c r="BC264" s="53">
        <f t="shared" si="47"/>
        <v>90</v>
      </c>
    </row>
    <row r="265" spans="1:55" ht="13.15">
      <c r="A265" t="s">
        <v>1165</v>
      </c>
      <c r="B265" t="s">
        <v>174</v>
      </c>
      <c r="C265" s="52" t="s">
        <v>1153</v>
      </c>
      <c r="D265" s="52" t="s">
        <v>1153</v>
      </c>
      <c r="E265">
        <v>250</v>
      </c>
      <c r="F265" t="s">
        <v>1166</v>
      </c>
      <c r="G265" s="64">
        <v>44330</v>
      </c>
      <c r="H265">
        <v>300</v>
      </c>
      <c r="I265">
        <v>300</v>
      </c>
      <c r="J265">
        <v>2</v>
      </c>
      <c r="K265">
        <v>2</v>
      </c>
      <c r="L265">
        <v>0</v>
      </c>
      <c r="M265">
        <v>0</v>
      </c>
      <c r="N265">
        <v>0</v>
      </c>
      <c r="O265">
        <v>15</v>
      </c>
      <c r="P265" s="69">
        <f t="shared" si="48"/>
        <v>93.75</v>
      </c>
      <c r="Q265" s="104" t="s">
        <v>1167</v>
      </c>
      <c r="R265" s="120">
        <v>4.5</v>
      </c>
      <c r="S265" s="94"/>
      <c r="T265" s="81"/>
      <c r="U265" s="93"/>
      <c r="V265" s="81"/>
      <c r="W265" s="94"/>
      <c r="X265" s="81"/>
      <c r="Y265" s="93"/>
      <c r="Z265" s="81"/>
      <c r="AA265" s="94"/>
      <c r="AB265" s="81"/>
      <c r="AC265" s="93"/>
      <c r="AD265" s="81"/>
      <c r="AE265" s="94"/>
      <c r="AF265" s="81"/>
      <c r="AG265" s="93"/>
      <c r="AH265" s="81"/>
      <c r="AI265" s="94"/>
      <c r="AJ265" s="81"/>
      <c r="AK265" s="93"/>
      <c r="AL265" s="81"/>
      <c r="AM265" s="94"/>
      <c r="AN265" s="81"/>
      <c r="AO265" s="93"/>
      <c r="AP265" s="81"/>
      <c r="AQ265" s="94"/>
      <c r="AR265" s="81"/>
      <c r="AS265" s="94"/>
      <c r="AT265" s="306"/>
      <c r="AU265" s="94"/>
      <c r="AV265" s="306"/>
      <c r="AW265" s="94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">
        <v>1168</v>
      </c>
      <c r="B266" t="s">
        <v>174</v>
      </c>
      <c r="C266" s="52" t="s">
        <v>1153</v>
      </c>
      <c r="D266" s="52" t="s">
        <v>1153</v>
      </c>
      <c r="E266" t="s">
        <v>1166</v>
      </c>
      <c r="F266">
        <v>255</v>
      </c>
      <c r="G266" s="64">
        <v>43980</v>
      </c>
      <c r="H266">
        <v>300</v>
      </c>
      <c r="I266">
        <v>300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17</v>
      </c>
      <c r="P266" s="69">
        <f t="shared" si="48"/>
        <v>93.75</v>
      </c>
      <c r="Q266" s="104" t="s">
        <v>1167</v>
      </c>
      <c r="R266" s="120">
        <v>4.5</v>
      </c>
      <c r="S266" s="94"/>
      <c r="T266" s="81"/>
      <c r="U266" s="93"/>
      <c r="V266" s="81"/>
      <c r="W266" s="94"/>
      <c r="X266" s="81"/>
      <c r="Y266" s="93"/>
      <c r="Z266" s="81"/>
      <c r="AA266" s="94"/>
      <c r="AB266" s="81"/>
      <c r="AC266" s="93"/>
      <c r="AD266" s="81"/>
      <c r="AE266" s="94"/>
      <c r="AF266" s="81"/>
      <c r="AG266" s="93"/>
      <c r="AH266" s="81"/>
      <c r="AI266" s="94"/>
      <c r="AJ266" s="81"/>
      <c r="AK266" s="93"/>
      <c r="AL266" s="81"/>
      <c r="AM266" s="94"/>
      <c r="AN266" s="81"/>
      <c r="AO266" s="93"/>
      <c r="AP266" s="81"/>
      <c r="AQ266" s="94"/>
      <c r="AR266" s="81"/>
      <c r="AS266" s="94"/>
      <c r="AT266" s="306"/>
      <c r="AU266" s="94"/>
      <c r="AV266" s="306"/>
      <c r="AW266" s="94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">
        <v>1169</v>
      </c>
      <c r="B267" t="s">
        <v>174</v>
      </c>
      <c r="C267" s="52" t="s">
        <v>1153</v>
      </c>
      <c r="D267" s="52" t="s">
        <v>1153</v>
      </c>
      <c r="E267">
        <v>185.9</v>
      </c>
      <c r="F267">
        <v>185.39999999999998</v>
      </c>
      <c r="G267" s="64">
        <v>45271</v>
      </c>
      <c r="H267">
        <v>360</v>
      </c>
      <c r="I267">
        <v>360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69">
        <f t="shared" si="48"/>
        <v>445.83333333333331</v>
      </c>
      <c r="Q267" s="90" t="s">
        <v>626</v>
      </c>
      <c r="R267" s="290">
        <v>1.7</v>
      </c>
      <c r="S267" s="90" t="s">
        <v>627</v>
      </c>
      <c r="T267" s="290">
        <v>1.7</v>
      </c>
      <c r="U267" s="90" t="s">
        <v>628</v>
      </c>
      <c r="V267" s="290">
        <v>1.7</v>
      </c>
      <c r="W267" s="90" t="s">
        <v>629</v>
      </c>
      <c r="X267" s="290">
        <v>1.7</v>
      </c>
      <c r="Y267" s="90" t="s">
        <v>630</v>
      </c>
      <c r="Z267" s="290">
        <v>0.9</v>
      </c>
      <c r="AA267" s="90" t="s">
        <v>632</v>
      </c>
      <c r="AB267" s="290">
        <v>2.8</v>
      </c>
      <c r="AC267" s="90" t="s">
        <v>1170</v>
      </c>
      <c r="AD267" s="91">
        <v>3.7</v>
      </c>
      <c r="AE267" s="88" t="s">
        <v>640</v>
      </c>
      <c r="AF267" s="289">
        <v>2.2999999999999998</v>
      </c>
      <c r="AG267" s="82" t="s">
        <v>638</v>
      </c>
      <c r="AH267" s="287">
        <v>3</v>
      </c>
      <c r="AI267" s="90" t="s">
        <v>639</v>
      </c>
      <c r="AJ267" s="287">
        <v>1.9</v>
      </c>
      <c r="AK267" s="93"/>
      <c r="AL267" s="81"/>
      <c r="AM267" s="94"/>
      <c r="AN267" s="81"/>
      <c r="AO267" s="93"/>
      <c r="AP267" s="81"/>
      <c r="AQ267" s="94"/>
      <c r="AR267" s="81"/>
      <c r="AS267" s="94"/>
      <c r="AT267" s="306"/>
      <c r="AU267" s="94"/>
      <c r="AV267" s="306"/>
      <c r="AW267" s="94"/>
      <c r="AX267" s="66">
        <f t="shared" si="44"/>
        <v>21.4</v>
      </c>
      <c r="AY267" s="78">
        <f t="shared" si="45"/>
        <v>445.83333333333331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408.81666666666666</v>
      </c>
      <c r="BC267" s="53">
        <f t="shared" si="47"/>
        <v>408.31666666666661</v>
      </c>
    </row>
    <row r="268" spans="1:55" ht="13.15">
      <c r="A268" t="s">
        <v>1171</v>
      </c>
      <c r="B268" t="s">
        <v>170</v>
      </c>
      <c r="C268" s="52" t="s">
        <v>1172</v>
      </c>
      <c r="D268" s="52" t="s">
        <v>1172</v>
      </c>
      <c r="E268">
        <v>170.1</v>
      </c>
      <c r="F268">
        <v>167.5</v>
      </c>
      <c r="G268" s="64">
        <v>45271</v>
      </c>
      <c r="H268">
        <v>360</v>
      </c>
      <c r="I268">
        <v>360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69">
        <f t="shared" si="48"/>
        <v>256.25</v>
      </c>
      <c r="Q268" s="82" t="s">
        <v>614</v>
      </c>
      <c r="R268" s="287">
        <v>1.9</v>
      </c>
      <c r="S268" s="82"/>
      <c r="T268" s="287"/>
      <c r="U268" s="82" t="s">
        <v>615</v>
      </c>
      <c r="V268" s="83">
        <v>2.6</v>
      </c>
      <c r="W268" s="82" t="s">
        <v>616</v>
      </c>
      <c r="X268" s="83">
        <v>2</v>
      </c>
      <c r="Y268" s="82" t="s">
        <v>617</v>
      </c>
      <c r="Z268" s="83">
        <v>2.4</v>
      </c>
      <c r="AA268" s="82" t="s">
        <v>619</v>
      </c>
      <c r="AB268" s="287">
        <v>0.8</v>
      </c>
      <c r="AC268" s="82" t="s">
        <v>618</v>
      </c>
      <c r="AD268" s="287">
        <v>2.6</v>
      </c>
      <c r="AE268" s="84"/>
      <c r="AF268" s="292"/>
      <c r="AG268" s="93"/>
      <c r="AH268" s="81"/>
      <c r="AI268" s="94"/>
      <c r="AJ268" s="81"/>
      <c r="AK268" s="93"/>
      <c r="AL268" s="81"/>
      <c r="AM268" s="94"/>
      <c r="AN268" s="81"/>
      <c r="AO268" s="93"/>
      <c r="AP268" s="81"/>
      <c r="AQ268" s="94"/>
      <c r="AR268" s="81"/>
      <c r="AS268" s="94"/>
      <c r="AT268" s="306"/>
      <c r="AU268" s="94"/>
      <c r="AV268" s="306"/>
      <c r="AW268" s="94"/>
      <c r="AX268" s="66">
        <f t="shared" si="44"/>
        <v>12.3</v>
      </c>
      <c r="AY268" s="78">
        <f t="shared" si="45"/>
        <v>256.25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298.22500000000002</v>
      </c>
      <c r="BC268" s="53">
        <f t="shared" si="47"/>
        <v>295.625</v>
      </c>
    </row>
    <row r="269" spans="1:55" ht="13.15">
      <c r="A269" t="s">
        <v>1173</v>
      </c>
      <c r="B269" t="s">
        <v>240</v>
      </c>
      <c r="C269" s="52" t="s">
        <v>1174</v>
      </c>
      <c r="D269" s="52" t="s">
        <v>1174</v>
      </c>
      <c r="E269">
        <v>25</v>
      </c>
      <c r="F269">
        <v>25</v>
      </c>
      <c r="G269" s="64">
        <v>45082</v>
      </c>
      <c r="H269">
        <v>300</v>
      </c>
      <c r="I269">
        <v>300</v>
      </c>
      <c r="J269">
        <v>0</v>
      </c>
      <c r="K269">
        <v>9</v>
      </c>
      <c r="L269">
        <v>0</v>
      </c>
      <c r="M269">
        <v>0</v>
      </c>
      <c r="N269">
        <v>11</v>
      </c>
      <c r="O269">
        <v>0</v>
      </c>
      <c r="P269" s="69">
        <f t="shared" si="48"/>
        <v>0</v>
      </c>
      <c r="Q269" s="93"/>
      <c r="R269" s="81"/>
      <c r="S269" s="94"/>
      <c r="T269" s="81"/>
      <c r="U269" s="93"/>
      <c r="V269" s="81"/>
      <c r="W269" s="94"/>
      <c r="X269" s="81"/>
      <c r="Y269" s="93"/>
      <c r="Z269" s="81"/>
      <c r="AA269" s="94"/>
      <c r="AB269" s="81"/>
      <c r="AC269" s="93"/>
      <c r="AD269" s="81"/>
      <c r="AE269" s="94"/>
      <c r="AF269" s="81"/>
      <c r="AG269" s="93"/>
      <c r="AH269" s="81"/>
      <c r="AI269" s="94"/>
      <c r="AJ269" s="81"/>
      <c r="AK269" s="93"/>
      <c r="AL269" s="81"/>
      <c r="AM269" s="94"/>
      <c r="AN269" s="81"/>
      <c r="AO269" s="93"/>
      <c r="AP269" s="81"/>
      <c r="AQ269" s="94"/>
      <c r="AR269" s="81"/>
      <c r="AS269" s="94"/>
      <c r="AT269" s="306"/>
      <c r="AU269" s="94"/>
      <c r="AV269" s="306"/>
      <c r="AW269" s="94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">
        <v>1175</v>
      </c>
      <c r="B270" t="s">
        <v>240</v>
      </c>
      <c r="C270" s="52" t="s">
        <v>1174</v>
      </c>
      <c r="D270" s="52" t="s">
        <v>1174</v>
      </c>
      <c r="E270">
        <v>25</v>
      </c>
      <c r="F270">
        <v>25</v>
      </c>
      <c r="G270" s="64">
        <v>45082</v>
      </c>
      <c r="H270">
        <v>300</v>
      </c>
      <c r="I270">
        <v>300</v>
      </c>
      <c r="J270">
        <v>0</v>
      </c>
      <c r="K270">
        <v>9</v>
      </c>
      <c r="L270">
        <v>0</v>
      </c>
      <c r="M270">
        <v>0</v>
      </c>
      <c r="N270">
        <v>11</v>
      </c>
      <c r="O270">
        <v>0</v>
      </c>
      <c r="P270" s="69">
        <f t="shared" si="48"/>
        <v>0</v>
      </c>
      <c r="Q270" s="93"/>
      <c r="R270" s="81"/>
      <c r="S270" s="94"/>
      <c r="T270" s="81"/>
      <c r="U270" s="93"/>
      <c r="V270" s="81"/>
      <c r="W270" s="94"/>
      <c r="X270" s="81"/>
      <c r="Y270" s="93"/>
      <c r="Z270" s="81"/>
      <c r="AA270" s="94"/>
      <c r="AB270" s="81"/>
      <c r="AC270" s="93"/>
      <c r="AD270" s="81"/>
      <c r="AE270" s="94"/>
      <c r="AF270" s="81"/>
      <c r="AG270" s="93"/>
      <c r="AH270" s="81"/>
      <c r="AI270" s="94"/>
      <c r="AJ270" s="81"/>
      <c r="AK270" s="93"/>
      <c r="AL270" s="81"/>
      <c r="AM270" s="94"/>
      <c r="AN270" s="81"/>
      <c r="AO270" s="93"/>
      <c r="AP270" s="81"/>
      <c r="AQ270" s="94"/>
      <c r="AR270" s="81"/>
      <c r="AS270" s="94"/>
      <c r="AT270" s="306"/>
      <c r="AU270" s="94"/>
      <c r="AV270" s="306"/>
      <c r="AW270" s="94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">
        <v>1176</v>
      </c>
      <c r="B271" t="s">
        <v>240</v>
      </c>
      <c r="C271" s="52" t="s">
        <v>1174</v>
      </c>
      <c r="D271" s="52" t="s">
        <v>1174</v>
      </c>
      <c r="E271">
        <v>60</v>
      </c>
      <c r="F271">
        <v>60</v>
      </c>
      <c r="G271" s="64">
        <v>45082</v>
      </c>
      <c r="H271">
        <v>300</v>
      </c>
      <c r="I271">
        <v>300</v>
      </c>
      <c r="J271">
        <v>4</v>
      </c>
      <c r="K271">
        <v>7</v>
      </c>
      <c r="L271">
        <v>0</v>
      </c>
      <c r="M271">
        <v>11</v>
      </c>
      <c r="N271">
        <v>10</v>
      </c>
      <c r="O271">
        <v>0</v>
      </c>
      <c r="P271" s="69">
        <f t="shared" si="48"/>
        <v>0</v>
      </c>
      <c r="Q271" s="93"/>
      <c r="R271" s="81"/>
      <c r="S271" s="94"/>
      <c r="T271" s="81"/>
      <c r="U271" s="93"/>
      <c r="V271" s="81"/>
      <c r="W271" s="94"/>
      <c r="X271" s="81"/>
      <c r="Y271" s="93"/>
      <c r="Z271" s="81"/>
      <c r="AA271" s="94"/>
      <c r="AB271" s="81"/>
      <c r="AC271" s="93"/>
      <c r="AD271" s="81"/>
      <c r="AE271" s="94"/>
      <c r="AF271" s="81"/>
      <c r="AG271" s="93"/>
      <c r="AH271" s="81"/>
      <c r="AI271" s="94"/>
      <c r="AJ271" s="81"/>
      <c r="AK271" s="93"/>
      <c r="AL271" s="81"/>
      <c r="AM271" s="94"/>
      <c r="AN271" s="81"/>
      <c r="AO271" s="93"/>
      <c r="AP271" s="81"/>
      <c r="AQ271" s="94"/>
      <c r="AR271" s="81"/>
      <c r="AS271" s="94"/>
      <c r="AT271" s="306"/>
      <c r="AU271" s="94"/>
      <c r="AV271" s="306"/>
      <c r="AW271" s="94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">
        <v>1177</v>
      </c>
      <c r="B272" t="s">
        <v>240</v>
      </c>
      <c r="C272" s="52" t="s">
        <v>1174</v>
      </c>
      <c r="D272" s="52" t="s">
        <v>1174</v>
      </c>
      <c r="E272">
        <v>15</v>
      </c>
      <c r="F272">
        <v>15</v>
      </c>
      <c r="G272" s="64">
        <v>45082</v>
      </c>
      <c r="H272">
        <v>300</v>
      </c>
      <c r="I272">
        <v>300</v>
      </c>
      <c r="J272">
        <v>6</v>
      </c>
      <c r="K272">
        <v>10</v>
      </c>
      <c r="L272">
        <v>0</v>
      </c>
      <c r="M272">
        <v>22</v>
      </c>
      <c r="N272">
        <v>7</v>
      </c>
      <c r="O272">
        <v>0</v>
      </c>
      <c r="P272" s="69">
        <f t="shared" si="48"/>
        <v>0</v>
      </c>
      <c r="Q272" s="93"/>
      <c r="R272" s="81"/>
      <c r="S272" s="94"/>
      <c r="T272" s="81"/>
      <c r="U272" s="93"/>
      <c r="V272" s="81"/>
      <c r="W272" s="94"/>
      <c r="X272" s="81"/>
      <c r="Y272" s="93"/>
      <c r="Z272" s="81"/>
      <c r="AA272" s="94"/>
      <c r="AB272" s="81"/>
      <c r="AC272" s="93"/>
      <c r="AD272" s="81"/>
      <c r="AE272" s="94"/>
      <c r="AF272" s="81"/>
      <c r="AG272" s="93"/>
      <c r="AH272" s="81"/>
      <c r="AI272" s="94"/>
      <c r="AJ272" s="81"/>
      <c r="AK272" s="93"/>
      <c r="AL272" s="81"/>
      <c r="AM272" s="94"/>
      <c r="AN272" s="81"/>
      <c r="AO272" s="93"/>
      <c r="AP272" s="81"/>
      <c r="AQ272" s="94"/>
      <c r="AR272" s="81"/>
      <c r="AS272" s="94"/>
      <c r="AT272" s="306"/>
      <c r="AU272" s="94"/>
      <c r="AV272" s="306"/>
      <c r="AW272" s="94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">
        <v>1178</v>
      </c>
      <c r="B273" t="s">
        <v>240</v>
      </c>
      <c r="C273" s="52" t="s">
        <v>1174</v>
      </c>
      <c r="D273" s="52" t="s">
        <v>1174</v>
      </c>
      <c r="E273">
        <v>50</v>
      </c>
      <c r="F273">
        <v>45</v>
      </c>
      <c r="G273" s="64">
        <v>45082</v>
      </c>
      <c r="H273">
        <v>300</v>
      </c>
      <c r="I273">
        <v>300</v>
      </c>
      <c r="J273">
        <v>0</v>
      </c>
      <c r="K273">
        <v>1</v>
      </c>
      <c r="L273">
        <v>0</v>
      </c>
      <c r="M273">
        <v>14</v>
      </c>
      <c r="N273">
        <v>0</v>
      </c>
      <c r="O273">
        <v>0</v>
      </c>
      <c r="P273" s="69">
        <f t="shared" si="48"/>
        <v>20.833333333333332</v>
      </c>
      <c r="Q273" s="104" t="s">
        <v>721</v>
      </c>
      <c r="R273" s="103">
        <v>1</v>
      </c>
      <c r="S273" s="94"/>
      <c r="T273" s="81"/>
      <c r="U273" s="93"/>
      <c r="V273" s="81"/>
      <c r="W273" s="94"/>
      <c r="X273" s="81"/>
      <c r="Y273" s="93"/>
      <c r="Z273" s="81"/>
      <c r="AA273" s="94"/>
      <c r="AB273" s="81"/>
      <c r="AC273" s="93"/>
      <c r="AD273" s="81"/>
      <c r="AE273" s="94"/>
      <c r="AF273" s="81"/>
      <c r="AG273" s="93"/>
      <c r="AH273" s="81"/>
      <c r="AI273" s="94"/>
      <c r="AJ273" s="81"/>
      <c r="AK273" s="93"/>
      <c r="AL273" s="81"/>
      <c r="AM273" s="94"/>
      <c r="AN273" s="81"/>
      <c r="AO273" s="93"/>
      <c r="AP273" s="81"/>
      <c r="AQ273" s="94"/>
      <c r="AR273" s="81"/>
      <c r="AS273" s="94"/>
      <c r="AT273" s="306"/>
      <c r="AU273" s="94"/>
      <c r="AV273" s="306"/>
      <c r="AW273" s="94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">
        <v>1179</v>
      </c>
      <c r="B274" t="s">
        <v>264</v>
      </c>
      <c r="C274" s="52" t="s">
        <v>1180</v>
      </c>
      <c r="D274" s="52" t="s">
        <v>1180</v>
      </c>
      <c r="E274">
        <v>100</v>
      </c>
      <c r="F274">
        <v>100</v>
      </c>
      <c r="G274" s="64">
        <v>44984</v>
      </c>
      <c r="H274">
        <v>300</v>
      </c>
      <c r="I274">
        <v>300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37</v>
      </c>
      <c r="P274" s="69">
        <f t="shared" si="48"/>
        <v>125</v>
      </c>
      <c r="Q274" s="82" t="s">
        <v>752</v>
      </c>
      <c r="R274" s="83">
        <v>5</v>
      </c>
      <c r="S274" s="311" t="s">
        <v>753</v>
      </c>
      <c r="T274" s="310">
        <v>1</v>
      </c>
      <c r="U274" s="93"/>
      <c r="V274" s="81"/>
      <c r="W274" s="94"/>
      <c r="X274" s="81"/>
      <c r="Y274" s="93"/>
      <c r="Z274" s="81"/>
      <c r="AA274" s="94"/>
      <c r="AB274" s="81"/>
      <c r="AC274" s="93"/>
      <c r="AD274" s="81"/>
      <c r="AE274" s="94"/>
      <c r="AF274" s="81"/>
      <c r="AG274" s="93"/>
      <c r="AH274" s="81"/>
      <c r="AI274" s="94"/>
      <c r="AJ274" s="81"/>
      <c r="AK274" s="93"/>
      <c r="AL274" s="81"/>
      <c r="AM274" s="94"/>
      <c r="AN274" s="81"/>
      <c r="AO274" s="93"/>
      <c r="AP274" s="81"/>
      <c r="AQ274" s="94"/>
      <c r="AR274" s="81"/>
      <c r="AS274" s="94"/>
      <c r="AT274" s="306"/>
      <c r="AU274" s="94"/>
      <c r="AV274" s="306"/>
      <c r="AW274" s="94"/>
      <c r="AX274" s="66">
        <f t="shared" si="44"/>
        <v>6</v>
      </c>
      <c r="AY274" s="78">
        <f t="shared" si="45"/>
        <v>125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162.5</v>
      </c>
      <c r="BC274" s="53">
        <f t="shared" si="47"/>
        <v>162.5</v>
      </c>
    </row>
    <row r="275" spans="1:55" ht="13.15">
      <c r="A275" t="s">
        <v>1181</v>
      </c>
      <c r="B275" t="s">
        <v>1182</v>
      </c>
      <c r="C275" s="52" t="s">
        <v>1183</v>
      </c>
      <c r="D275" s="52" t="s">
        <v>1183</v>
      </c>
      <c r="E275">
        <v>140.80000000000001</v>
      </c>
      <c r="F275">
        <v>153.4</v>
      </c>
      <c r="G275" s="64">
        <v>45268</v>
      </c>
      <c r="H275">
        <v>360</v>
      </c>
      <c r="I275">
        <v>360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69">
        <f t="shared" si="48"/>
        <v>445.83333333333331</v>
      </c>
      <c r="Q275" s="82" t="s">
        <v>1184</v>
      </c>
      <c r="R275" s="83">
        <v>1.7</v>
      </c>
      <c r="S275" s="82" t="s">
        <v>338</v>
      </c>
      <c r="T275" s="83">
        <v>2</v>
      </c>
      <c r="U275" s="82" t="s">
        <v>1185</v>
      </c>
      <c r="V275" s="83">
        <v>3.3</v>
      </c>
      <c r="W275" s="82" t="s">
        <v>1186</v>
      </c>
      <c r="X275" s="83">
        <v>2.4</v>
      </c>
      <c r="Y275" s="82" t="s">
        <v>1187</v>
      </c>
      <c r="Z275" s="83">
        <v>3.5</v>
      </c>
      <c r="AA275" s="82" t="s">
        <v>1188</v>
      </c>
      <c r="AB275" s="83">
        <v>4.5</v>
      </c>
      <c r="AC275" s="93" t="s">
        <v>344</v>
      </c>
      <c r="AD275" s="83">
        <v>3.2</v>
      </c>
      <c r="AE275" s="94" t="s">
        <v>337</v>
      </c>
      <c r="AF275" s="81">
        <v>0.8</v>
      </c>
      <c r="AG275" s="93"/>
      <c r="AH275" s="81"/>
      <c r="AI275" s="94"/>
      <c r="AJ275" s="81"/>
      <c r="AK275" s="93"/>
      <c r="AL275" s="81"/>
      <c r="AM275" s="94"/>
      <c r="AN275" s="81"/>
      <c r="AO275" s="93"/>
      <c r="AP275" s="81"/>
      <c r="AQ275" s="94"/>
      <c r="AR275" s="81"/>
      <c r="AS275" s="94"/>
      <c r="AT275" s="306"/>
      <c r="AU275" s="94"/>
      <c r="AV275" s="306"/>
      <c r="AW275" s="94"/>
      <c r="AX275" s="66">
        <f t="shared" si="44"/>
        <v>21.4</v>
      </c>
      <c r="AY275" s="78">
        <f t="shared" si="45"/>
        <v>445.83333333333331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363.7166666666667</v>
      </c>
      <c r="BC275" s="53">
        <f t="shared" si="47"/>
        <v>376.31666666666666</v>
      </c>
    </row>
    <row r="276" spans="1:55" ht="13.15">
      <c r="A276" t="s">
        <v>1189</v>
      </c>
      <c r="B276" t="s">
        <v>1182</v>
      </c>
      <c r="C276" s="52" t="s">
        <v>1183</v>
      </c>
      <c r="D276" s="52" t="s">
        <v>1183</v>
      </c>
      <c r="E276">
        <v>100</v>
      </c>
      <c r="F276">
        <v>100</v>
      </c>
      <c r="G276" s="64">
        <v>44679</v>
      </c>
      <c r="H276">
        <v>300</v>
      </c>
      <c r="I276">
        <v>300</v>
      </c>
      <c r="J276">
        <v>12</v>
      </c>
      <c r="K276">
        <v>0</v>
      </c>
      <c r="L276">
        <v>4</v>
      </c>
      <c r="M276">
        <v>1</v>
      </c>
      <c r="N276">
        <v>0</v>
      </c>
      <c r="O276">
        <v>4</v>
      </c>
      <c r="P276" s="69">
        <f t="shared" si="48"/>
        <v>62.5</v>
      </c>
      <c r="Q276" s="118" t="s">
        <v>1190</v>
      </c>
      <c r="R276" s="119">
        <v>1</v>
      </c>
      <c r="S276" s="118" t="s">
        <v>1190</v>
      </c>
      <c r="T276" s="119">
        <v>1</v>
      </c>
      <c r="U276" s="118" t="s">
        <v>342</v>
      </c>
      <c r="V276" s="119">
        <v>1</v>
      </c>
      <c r="W276" s="94"/>
      <c r="X276" s="81"/>
      <c r="Y276" s="93"/>
      <c r="Z276" s="81"/>
      <c r="AA276" s="94"/>
      <c r="AB276" s="81"/>
      <c r="AC276" s="93"/>
      <c r="AD276" s="81"/>
      <c r="AE276" s="94"/>
      <c r="AF276" s="81"/>
      <c r="AG276" s="93"/>
      <c r="AH276" s="81"/>
      <c r="AI276" s="94"/>
      <c r="AJ276" s="81"/>
      <c r="AK276" s="93"/>
      <c r="AL276" s="81"/>
      <c r="AM276" s="94"/>
      <c r="AN276" s="81"/>
      <c r="AO276" s="93"/>
      <c r="AP276" s="81"/>
      <c r="AQ276" s="94"/>
      <c r="AR276" s="81"/>
      <c r="AS276" s="94"/>
      <c r="AT276" s="306"/>
      <c r="AU276" s="94"/>
      <c r="AV276" s="306"/>
      <c r="AW276" s="94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">
        <v>1191</v>
      </c>
      <c r="B277" t="s">
        <v>1182</v>
      </c>
      <c r="C277" s="52" t="s">
        <v>1183</v>
      </c>
      <c r="D277" s="52" t="s">
        <v>1183</v>
      </c>
      <c r="E277">
        <v>325</v>
      </c>
      <c r="F277">
        <v>300</v>
      </c>
      <c r="G277" s="64">
        <v>44679</v>
      </c>
      <c r="H277">
        <v>300</v>
      </c>
      <c r="I277">
        <v>300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17</v>
      </c>
      <c r="P277" s="69">
        <f t="shared" si="48"/>
        <v>83.333333333333329</v>
      </c>
      <c r="Q277" s="82" t="s">
        <v>336</v>
      </c>
      <c r="R277" s="83">
        <v>4</v>
      </c>
      <c r="S277" s="94"/>
      <c r="T277" s="81"/>
      <c r="U277" s="93"/>
      <c r="V277" s="81"/>
      <c r="W277" s="94"/>
      <c r="X277" s="81"/>
      <c r="Y277" s="93"/>
      <c r="Z277" s="81"/>
      <c r="AA277" s="94"/>
      <c r="AB277" s="81"/>
      <c r="AC277" s="93"/>
      <c r="AD277" s="81"/>
      <c r="AE277" s="94"/>
      <c r="AF277" s="81"/>
      <c r="AG277" s="93"/>
      <c r="AH277" s="81"/>
      <c r="AI277" s="94"/>
      <c r="AJ277" s="81"/>
      <c r="AK277" s="93"/>
      <c r="AL277" s="81"/>
      <c r="AM277" s="94"/>
      <c r="AN277" s="81"/>
      <c r="AO277" s="93"/>
      <c r="AP277" s="81"/>
      <c r="AQ277" s="94"/>
      <c r="AR277" s="81"/>
      <c r="AS277" s="94"/>
      <c r="AT277" s="306"/>
      <c r="AU277" s="94"/>
      <c r="AV277" s="306"/>
      <c r="AW277" s="94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">
        <v>1192</v>
      </c>
      <c r="B278" t="s">
        <v>1182</v>
      </c>
      <c r="C278" s="52" t="s">
        <v>1183</v>
      </c>
      <c r="D278" s="52" t="s">
        <v>1183</v>
      </c>
      <c r="E278">
        <v>100</v>
      </c>
      <c r="F278">
        <v>140</v>
      </c>
      <c r="G278" s="64">
        <v>44685</v>
      </c>
      <c r="H278">
        <v>300</v>
      </c>
      <c r="I278">
        <v>300</v>
      </c>
      <c r="J278">
        <v>4</v>
      </c>
      <c r="K278">
        <v>2</v>
      </c>
      <c r="L278">
        <v>0</v>
      </c>
      <c r="M278">
        <v>11</v>
      </c>
      <c r="N278">
        <v>11</v>
      </c>
      <c r="O278">
        <v>0</v>
      </c>
      <c r="P278" s="69">
        <f t="shared" si="48"/>
        <v>0</v>
      </c>
      <c r="Q278" s="93"/>
      <c r="R278" s="81"/>
      <c r="S278" s="94"/>
      <c r="T278" s="81"/>
      <c r="U278" s="93"/>
      <c r="V278" s="81"/>
      <c r="W278" s="94"/>
      <c r="X278" s="81"/>
      <c r="Y278" s="93"/>
      <c r="Z278" s="81"/>
      <c r="AA278" s="94"/>
      <c r="AB278" s="81"/>
      <c r="AC278" s="93"/>
      <c r="AD278" s="81"/>
      <c r="AE278" s="94"/>
      <c r="AF278" s="81"/>
      <c r="AG278" s="93"/>
      <c r="AH278" s="81"/>
      <c r="AI278" s="94"/>
      <c r="AJ278" s="81"/>
      <c r="AK278" s="93"/>
      <c r="AL278" s="81"/>
      <c r="AM278" s="94"/>
      <c r="AN278" s="81"/>
      <c r="AO278" s="93"/>
      <c r="AP278" s="81"/>
      <c r="AQ278" s="94"/>
      <c r="AR278" s="81"/>
      <c r="AS278" s="94"/>
      <c r="AT278" s="306"/>
      <c r="AU278" s="94"/>
      <c r="AV278" s="306"/>
      <c r="AW278" s="94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">
        <v>1193</v>
      </c>
      <c r="B279" t="s">
        <v>1182</v>
      </c>
      <c r="C279" s="52" t="s">
        <v>1183</v>
      </c>
      <c r="D279" s="52" t="s">
        <v>1183</v>
      </c>
      <c r="E279">
        <v>120</v>
      </c>
      <c r="F279">
        <v>170</v>
      </c>
      <c r="G279" s="64">
        <v>44679</v>
      </c>
      <c r="H279">
        <v>300</v>
      </c>
      <c r="I279">
        <v>300</v>
      </c>
      <c r="J279">
        <v>1</v>
      </c>
      <c r="K279">
        <v>4</v>
      </c>
      <c r="L279">
        <v>0</v>
      </c>
      <c r="M279">
        <v>3</v>
      </c>
      <c r="N279">
        <v>7</v>
      </c>
      <c r="O279">
        <v>0</v>
      </c>
      <c r="P279" s="69">
        <f t="shared" si="48"/>
        <v>0</v>
      </c>
      <c r="Q279" s="93"/>
      <c r="R279" s="81"/>
      <c r="S279" s="94"/>
      <c r="T279" s="81"/>
      <c r="U279" s="93"/>
      <c r="V279" s="81"/>
      <c r="W279" s="94"/>
      <c r="X279" s="81"/>
      <c r="Y279" s="93"/>
      <c r="Z279" s="81"/>
      <c r="AA279" s="94"/>
      <c r="AB279" s="81"/>
      <c r="AC279" s="93"/>
      <c r="AD279" s="81"/>
      <c r="AE279" s="94"/>
      <c r="AF279" s="81"/>
      <c r="AG279" s="93"/>
      <c r="AH279" s="81"/>
      <c r="AI279" s="94"/>
      <c r="AJ279" s="81"/>
      <c r="AK279" s="93"/>
      <c r="AL279" s="81"/>
      <c r="AM279" s="94"/>
      <c r="AN279" s="81"/>
      <c r="AO279" s="93"/>
      <c r="AP279" s="81"/>
      <c r="AQ279" s="94"/>
      <c r="AR279" s="81"/>
      <c r="AS279" s="94"/>
      <c r="AT279" s="306"/>
      <c r="AU279" s="94"/>
      <c r="AV279" s="306"/>
      <c r="AW279" s="94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">
        <v>1194</v>
      </c>
      <c r="B280" t="s">
        <v>179</v>
      </c>
      <c r="C280" s="52" t="s">
        <v>1195</v>
      </c>
      <c r="D280" s="52" t="s">
        <v>1195</v>
      </c>
      <c r="E280">
        <v>65</v>
      </c>
      <c r="F280">
        <v>65</v>
      </c>
      <c r="G280" s="64">
        <v>44998</v>
      </c>
      <c r="H280">
        <v>300</v>
      </c>
      <c r="I280">
        <v>300</v>
      </c>
      <c r="J280">
        <v>5</v>
      </c>
      <c r="K280">
        <v>5</v>
      </c>
      <c r="L280">
        <v>0</v>
      </c>
      <c r="M280">
        <v>22</v>
      </c>
      <c r="N280">
        <v>9</v>
      </c>
      <c r="O280">
        <v>0</v>
      </c>
      <c r="P280" s="69">
        <f t="shared" si="48"/>
        <v>20.833333333333332</v>
      </c>
      <c r="Q280" s="104" t="s">
        <v>642</v>
      </c>
      <c r="R280" s="103">
        <v>1</v>
      </c>
      <c r="S280" s="94"/>
      <c r="T280" s="81"/>
      <c r="U280" s="93"/>
      <c r="V280" s="81"/>
      <c r="W280" s="94"/>
      <c r="X280" s="81"/>
      <c r="Y280" s="93"/>
      <c r="Z280" s="81"/>
      <c r="AA280" s="94"/>
      <c r="AB280" s="81"/>
      <c r="AC280" s="93"/>
      <c r="AD280" s="81"/>
      <c r="AE280" s="94"/>
      <c r="AF280" s="81"/>
      <c r="AG280" s="93"/>
      <c r="AH280" s="81"/>
      <c r="AI280" s="94"/>
      <c r="AJ280" s="81"/>
      <c r="AK280" s="93"/>
      <c r="AL280" s="81"/>
      <c r="AM280" s="94"/>
      <c r="AN280" s="81"/>
      <c r="AO280" s="93"/>
      <c r="AP280" s="81"/>
      <c r="AQ280" s="94"/>
      <c r="AR280" s="81"/>
      <c r="AS280" s="94"/>
      <c r="AT280" s="306"/>
      <c r="AU280" s="94"/>
      <c r="AV280" s="306"/>
      <c r="AW280" s="94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">
        <v>1196</v>
      </c>
      <c r="B281" t="s">
        <v>179</v>
      </c>
      <c r="C281" s="52" t="s">
        <v>1195</v>
      </c>
      <c r="D281" s="52" t="s">
        <v>1195</v>
      </c>
      <c r="E281">
        <v>125</v>
      </c>
      <c r="F281">
        <v>125</v>
      </c>
      <c r="G281" s="64">
        <v>44998</v>
      </c>
      <c r="H281">
        <v>300</v>
      </c>
      <c r="I281">
        <v>300</v>
      </c>
      <c r="J281">
        <v>5</v>
      </c>
      <c r="K281">
        <v>3</v>
      </c>
      <c r="L281">
        <v>0</v>
      </c>
      <c r="M281">
        <v>0</v>
      </c>
      <c r="N281">
        <v>11</v>
      </c>
      <c r="O281">
        <v>0</v>
      </c>
      <c r="P281" s="69">
        <f t="shared" si="48"/>
        <v>0</v>
      </c>
      <c r="Q281" s="93"/>
      <c r="R281" s="81"/>
      <c r="S281" s="94"/>
      <c r="T281" s="81"/>
      <c r="U281" s="93"/>
      <c r="V281" s="81"/>
      <c r="W281" s="94"/>
      <c r="X281" s="81"/>
      <c r="Y281" s="93"/>
      <c r="Z281" s="81"/>
      <c r="AA281" s="94"/>
      <c r="AB281" s="81"/>
      <c r="AC281" s="93"/>
      <c r="AD281" s="81"/>
      <c r="AE281" s="94"/>
      <c r="AF281" s="81"/>
      <c r="AG281" s="93"/>
      <c r="AH281" s="81"/>
      <c r="AI281" s="94"/>
      <c r="AJ281" s="81"/>
      <c r="AK281" s="93"/>
      <c r="AL281" s="81"/>
      <c r="AM281" s="94"/>
      <c r="AN281" s="81"/>
      <c r="AO281" s="93"/>
      <c r="AP281" s="81"/>
      <c r="AQ281" s="94"/>
      <c r="AR281" s="81"/>
      <c r="AS281" s="94"/>
      <c r="AT281" s="306"/>
      <c r="AU281" s="94"/>
      <c r="AV281" s="306"/>
      <c r="AW281" s="94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">
        <v>1197</v>
      </c>
      <c r="B282" t="s">
        <v>237</v>
      </c>
      <c r="C282" s="52" t="s">
        <v>1198</v>
      </c>
      <c r="D282" s="52" t="s">
        <v>1198</v>
      </c>
      <c r="E282">
        <v>120</v>
      </c>
      <c r="F282">
        <v>0</v>
      </c>
      <c r="G282" s="64">
        <v>44239</v>
      </c>
      <c r="H282">
        <v>300</v>
      </c>
      <c r="I282">
        <v>300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 s="69">
        <f t="shared" si="48"/>
        <v>0</v>
      </c>
      <c r="Q282" s="93"/>
      <c r="R282" s="81"/>
      <c r="S282" s="94"/>
      <c r="T282" s="81"/>
      <c r="U282" s="93"/>
      <c r="V282" s="81"/>
      <c r="W282" s="94"/>
      <c r="X282" s="81"/>
      <c r="Y282" s="93"/>
      <c r="Z282" s="81"/>
      <c r="AA282" s="94"/>
      <c r="AB282" s="81"/>
      <c r="AC282" s="93"/>
      <c r="AD282" s="81"/>
      <c r="AE282" s="94"/>
      <c r="AF282" s="81"/>
      <c r="AG282" s="93"/>
      <c r="AH282" s="81"/>
      <c r="AI282" s="94"/>
      <c r="AJ282" s="81"/>
      <c r="AK282" s="93"/>
      <c r="AL282" s="81"/>
      <c r="AM282" s="94"/>
      <c r="AN282" s="81"/>
      <c r="AO282" s="93"/>
      <c r="AP282" s="81"/>
      <c r="AQ282" s="94"/>
      <c r="AR282" s="81"/>
      <c r="AS282" s="94"/>
      <c r="AT282" s="306"/>
      <c r="AU282" s="94"/>
      <c r="AV282" s="306"/>
      <c r="AW282" s="94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">
        <v>1199</v>
      </c>
      <c r="B283" t="s">
        <v>40</v>
      </c>
      <c r="C283" s="52" t="s">
        <v>1200</v>
      </c>
      <c r="D283" s="52" t="s">
        <v>1200</v>
      </c>
      <c r="E283">
        <v>50</v>
      </c>
      <c r="F283">
        <v>0</v>
      </c>
      <c r="G283" s="64">
        <v>42422</v>
      </c>
      <c r="H283">
        <v>300</v>
      </c>
      <c r="I283">
        <v>0</v>
      </c>
      <c r="J283">
        <v>0</v>
      </c>
      <c r="K283">
        <v>0</v>
      </c>
      <c r="L283">
        <v>38</v>
      </c>
      <c r="M283">
        <v>0</v>
      </c>
      <c r="N283">
        <v>0</v>
      </c>
      <c r="O283">
        <v>0</v>
      </c>
      <c r="P283" s="69">
        <f t="shared" si="48"/>
        <v>0</v>
      </c>
      <c r="Q283" s="93"/>
      <c r="R283" s="81"/>
      <c r="S283" s="94"/>
      <c r="T283" s="81"/>
      <c r="U283" s="93"/>
      <c r="V283" s="81"/>
      <c r="W283" s="94"/>
      <c r="X283" s="81"/>
      <c r="Y283" s="93"/>
      <c r="Z283" s="81"/>
      <c r="AA283" s="94"/>
      <c r="AB283" s="81"/>
      <c r="AC283" s="93"/>
      <c r="AD283" s="81"/>
      <c r="AE283" s="94"/>
      <c r="AF283" s="81"/>
      <c r="AG283" s="93"/>
      <c r="AH283" s="81"/>
      <c r="AI283" s="94"/>
      <c r="AJ283" s="81"/>
      <c r="AK283" s="93"/>
      <c r="AL283" s="81"/>
      <c r="AM283" s="94"/>
      <c r="AN283" s="81"/>
      <c r="AO283" s="93"/>
      <c r="AP283" s="81"/>
      <c r="AQ283" s="94"/>
      <c r="AR283" s="81"/>
      <c r="AS283" s="94"/>
      <c r="AT283" s="306"/>
      <c r="AU283" s="94"/>
      <c r="AV283" s="306"/>
      <c r="AW283" s="94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">
        <v>1201</v>
      </c>
      <c r="B284" t="s">
        <v>40</v>
      </c>
      <c r="C284" s="52" t="s">
        <v>1200</v>
      </c>
      <c r="D284" s="52" t="s">
        <v>1200</v>
      </c>
      <c r="E284">
        <v>50</v>
      </c>
      <c r="F284">
        <v>50</v>
      </c>
      <c r="G284" s="64">
        <v>42422</v>
      </c>
      <c r="H284">
        <v>300</v>
      </c>
      <c r="I284">
        <v>300</v>
      </c>
      <c r="J284">
        <v>0</v>
      </c>
      <c r="K284">
        <v>0</v>
      </c>
      <c r="L284">
        <v>38</v>
      </c>
      <c r="M284">
        <v>0</v>
      </c>
      <c r="N284">
        <v>0</v>
      </c>
      <c r="O284">
        <v>0</v>
      </c>
      <c r="P284" s="69">
        <f t="shared" si="48"/>
        <v>0</v>
      </c>
      <c r="Q284" s="82"/>
      <c r="R284" s="83"/>
      <c r="S284" s="109"/>
      <c r="T284" s="276"/>
      <c r="U284" s="104"/>
      <c r="V284" s="103"/>
      <c r="W284" s="84"/>
      <c r="X284" s="103"/>
      <c r="Y284" s="84"/>
      <c r="Z284" s="103"/>
      <c r="AA284" s="94"/>
      <c r="AB284" s="81"/>
      <c r="AC284" s="93"/>
      <c r="AD284" s="81"/>
      <c r="AE284" s="94"/>
      <c r="AF284" s="81"/>
      <c r="AG284" s="93"/>
      <c r="AH284" s="81"/>
      <c r="AI284" s="94"/>
      <c r="AJ284" s="81"/>
      <c r="AK284" s="93"/>
      <c r="AL284" s="81"/>
      <c r="AM284" s="94"/>
      <c r="AN284" s="81"/>
      <c r="AO284" s="93"/>
      <c r="AP284" s="81"/>
      <c r="AQ284" s="94"/>
      <c r="AR284" s="81"/>
      <c r="AS284" s="94"/>
      <c r="AT284" s="306"/>
      <c r="AU284" s="94"/>
      <c r="AV284" s="306"/>
      <c r="AW284" s="94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">
        <v>1202</v>
      </c>
      <c r="B285" t="s">
        <v>40</v>
      </c>
      <c r="C285" s="52" t="s">
        <v>1200</v>
      </c>
      <c r="D285" s="52" t="s">
        <v>1200</v>
      </c>
      <c r="E285">
        <v>50</v>
      </c>
      <c r="F285">
        <v>50</v>
      </c>
      <c r="G285" s="64">
        <v>44159</v>
      </c>
      <c r="H285">
        <v>300</v>
      </c>
      <c r="I285">
        <v>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69">
        <f t="shared" si="48"/>
        <v>437.5</v>
      </c>
      <c r="Q285" s="82" t="s">
        <v>346</v>
      </c>
      <c r="R285" s="83">
        <v>5</v>
      </c>
      <c r="S285" s="109" t="s">
        <v>347</v>
      </c>
      <c r="T285" s="276">
        <v>1</v>
      </c>
      <c r="U285" s="104" t="s">
        <v>348</v>
      </c>
      <c r="V285" s="103">
        <v>5</v>
      </c>
      <c r="W285" s="84" t="s">
        <v>349</v>
      </c>
      <c r="X285" s="103">
        <v>5</v>
      </c>
      <c r="Y285" s="84" t="s">
        <v>350</v>
      </c>
      <c r="Z285" s="103">
        <v>5</v>
      </c>
      <c r="AA285" s="94"/>
      <c r="AB285" s="81"/>
      <c r="AC285" s="93"/>
      <c r="AD285" s="81"/>
      <c r="AE285" s="94"/>
      <c r="AF285" s="81"/>
      <c r="AG285" s="93"/>
      <c r="AH285" s="81"/>
      <c r="AI285" s="94"/>
      <c r="AJ285" s="81"/>
      <c r="AK285" s="93"/>
      <c r="AL285" s="81"/>
      <c r="AM285" s="94"/>
      <c r="AN285" s="81"/>
      <c r="AO285" s="93"/>
      <c r="AP285" s="81"/>
      <c r="AQ285" s="94"/>
      <c r="AR285" s="81"/>
      <c r="AS285" s="94"/>
      <c r="AT285" s="306"/>
      <c r="AU285" s="94"/>
      <c r="AV285" s="306"/>
      <c r="AW285" s="94"/>
      <c r="AX285" s="66">
        <f t="shared" si="44"/>
        <v>21</v>
      </c>
      <c r="AY285" s="78">
        <f t="shared" si="45"/>
        <v>437.5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268.75</v>
      </c>
      <c r="BC285" s="53">
        <f t="shared" si="47"/>
        <v>268.75</v>
      </c>
    </row>
    <row r="286" spans="1:55" ht="13.15">
      <c r="A286" t="s">
        <v>1203</v>
      </c>
      <c r="B286" t="s">
        <v>41</v>
      </c>
      <c r="C286" s="52" t="s">
        <v>797</v>
      </c>
      <c r="D286" s="52" t="s">
        <v>797</v>
      </c>
      <c r="E286">
        <v>90</v>
      </c>
      <c r="F286">
        <v>90</v>
      </c>
      <c r="G286" s="64">
        <v>44160</v>
      </c>
      <c r="H286">
        <v>300</v>
      </c>
      <c r="I286">
        <v>300</v>
      </c>
      <c r="J286">
        <v>0</v>
      </c>
      <c r="K286">
        <v>0</v>
      </c>
      <c r="L286">
        <v>0</v>
      </c>
      <c r="M286">
        <v>9</v>
      </c>
      <c r="N286">
        <v>8</v>
      </c>
      <c r="O286">
        <v>0</v>
      </c>
      <c r="P286" s="69">
        <f t="shared" si="48"/>
        <v>197.91666666666666</v>
      </c>
      <c r="Q286" s="82" t="s">
        <v>351</v>
      </c>
      <c r="R286" s="83">
        <v>5</v>
      </c>
      <c r="S286" s="82" t="s">
        <v>799</v>
      </c>
      <c r="T286" s="83">
        <v>3.5</v>
      </c>
      <c r="U286" s="109" t="s">
        <v>354</v>
      </c>
      <c r="V286" s="261">
        <v>1</v>
      </c>
      <c r="W286" s="94"/>
      <c r="X286" s="81"/>
      <c r="Y286" s="93"/>
      <c r="Z286" s="81"/>
      <c r="AA286" s="94"/>
      <c r="AB286" s="81"/>
      <c r="AC286" s="93"/>
      <c r="AD286" s="81"/>
      <c r="AE286" s="94"/>
      <c r="AF286" s="81"/>
      <c r="AG286" s="93"/>
      <c r="AH286" s="81"/>
      <c r="AI286" s="94"/>
      <c r="AJ286" s="81"/>
      <c r="AK286" s="93"/>
      <c r="AL286" s="81"/>
      <c r="AM286" s="94"/>
      <c r="AN286" s="81"/>
      <c r="AO286" s="93"/>
      <c r="AP286" s="81"/>
      <c r="AQ286" s="94"/>
      <c r="AR286" s="81"/>
      <c r="AS286" s="94"/>
      <c r="AT286" s="306"/>
      <c r="AU286" s="94"/>
      <c r="AV286" s="306"/>
      <c r="AW286" s="94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">
        <v>1204</v>
      </c>
      <c r="B287" t="s">
        <v>41</v>
      </c>
      <c r="C287" s="52" t="s">
        <v>797</v>
      </c>
      <c r="D287" s="52" t="s">
        <v>797</v>
      </c>
      <c r="E287">
        <v>25</v>
      </c>
      <c r="F287">
        <v>25</v>
      </c>
      <c r="G287" s="64">
        <v>44120</v>
      </c>
      <c r="H287">
        <v>300</v>
      </c>
      <c r="I287">
        <v>300</v>
      </c>
      <c r="J287">
        <v>0</v>
      </c>
      <c r="K287">
        <v>7</v>
      </c>
      <c r="L287">
        <v>2</v>
      </c>
      <c r="M287">
        <v>0</v>
      </c>
      <c r="N287">
        <v>0</v>
      </c>
      <c r="O287">
        <v>0</v>
      </c>
      <c r="P287" s="69">
        <f t="shared" si="48"/>
        <v>354.16666666666669</v>
      </c>
      <c r="Q287" s="82" t="s">
        <v>352</v>
      </c>
      <c r="R287" s="83">
        <v>3.5</v>
      </c>
      <c r="S287" s="84" t="s">
        <v>355</v>
      </c>
      <c r="T287" s="103">
        <v>5</v>
      </c>
      <c r="U287" s="84" t="s">
        <v>356</v>
      </c>
      <c r="V287" s="103">
        <v>5</v>
      </c>
      <c r="W287" s="84" t="s">
        <v>357</v>
      </c>
      <c r="X287" s="292">
        <v>3.5</v>
      </c>
      <c r="Y287" s="93"/>
      <c r="Z287" s="81"/>
      <c r="AA287" s="94"/>
      <c r="AB287" s="81"/>
      <c r="AC287" s="93"/>
      <c r="AD287" s="81"/>
      <c r="AE287" s="94"/>
      <c r="AF287" s="81"/>
      <c r="AG287" s="93"/>
      <c r="AH287" s="81"/>
      <c r="AI287" s="94"/>
      <c r="AJ287" s="81"/>
      <c r="AK287" s="93"/>
      <c r="AL287" s="81"/>
      <c r="AM287" s="94"/>
      <c r="AN287" s="81"/>
      <c r="AO287" s="93"/>
      <c r="AP287" s="81"/>
      <c r="AQ287" s="94"/>
      <c r="AR287" s="81"/>
      <c r="AS287" s="94"/>
      <c r="AT287" s="306"/>
      <c r="AU287" s="94"/>
      <c r="AV287" s="306"/>
      <c r="AW287" s="94"/>
      <c r="AX287" s="66">
        <f t="shared" si="44"/>
        <v>17</v>
      </c>
      <c r="AY287" s="78">
        <f t="shared" si="45"/>
        <v>354.16666666666669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202.08333333333334</v>
      </c>
      <c r="BC287" s="53">
        <f t="shared" si="47"/>
        <v>202.08333333333334</v>
      </c>
    </row>
    <row r="288" spans="1:55" ht="13.15">
      <c r="A288" t="s">
        <v>1205</v>
      </c>
      <c r="B288" t="s">
        <v>41</v>
      </c>
      <c r="C288" s="52" t="s">
        <v>797</v>
      </c>
      <c r="D288" s="52" t="s">
        <v>797</v>
      </c>
      <c r="E288" t="s">
        <v>1134</v>
      </c>
      <c r="F288">
        <v>0</v>
      </c>
      <c r="G288" s="64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69">
        <f t="shared" si="48"/>
        <v>0</v>
      </c>
      <c r="Q288" s="93"/>
      <c r="R288" s="81"/>
      <c r="S288" s="94"/>
      <c r="T288" s="81"/>
      <c r="U288" s="93"/>
      <c r="V288" s="81"/>
      <c r="W288" s="94"/>
      <c r="X288" s="81"/>
      <c r="Y288" s="93"/>
      <c r="Z288" s="81"/>
      <c r="AA288" s="94"/>
      <c r="AB288" s="81"/>
      <c r="AC288" s="93"/>
      <c r="AD288" s="81"/>
      <c r="AE288" s="94"/>
      <c r="AF288" s="81"/>
      <c r="AG288" s="93"/>
      <c r="AH288" s="81"/>
      <c r="AI288" s="94"/>
      <c r="AJ288" s="81"/>
      <c r="AK288" s="93"/>
      <c r="AL288" s="81"/>
      <c r="AM288" s="94"/>
      <c r="AN288" s="81"/>
      <c r="AO288" s="93"/>
      <c r="AP288" s="81"/>
      <c r="AQ288" s="94"/>
      <c r="AR288" s="81"/>
      <c r="AS288" s="94"/>
      <c r="AT288" s="306"/>
      <c r="AU288" s="94"/>
      <c r="AV288" s="306"/>
      <c r="AW288" s="94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">
        <v>1206</v>
      </c>
      <c r="B289" t="s">
        <v>41</v>
      </c>
      <c r="C289" s="52" t="s">
        <v>797</v>
      </c>
      <c r="D289" s="52" t="s">
        <v>797</v>
      </c>
      <c r="E289" t="s">
        <v>1134</v>
      </c>
      <c r="F289">
        <v>0</v>
      </c>
      <c r="G289" s="64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69">
        <f t="shared" si="48"/>
        <v>0</v>
      </c>
      <c r="Q289" s="93"/>
      <c r="R289" s="81"/>
      <c r="S289" s="94"/>
      <c r="T289" s="81"/>
      <c r="U289" s="93"/>
      <c r="V289" s="81"/>
      <c r="W289" s="94"/>
      <c r="X289" s="81"/>
      <c r="Y289" s="93"/>
      <c r="Z289" s="81"/>
      <c r="AA289" s="94"/>
      <c r="AB289" s="81"/>
      <c r="AC289" s="93"/>
      <c r="AD289" s="81"/>
      <c r="AE289" s="94"/>
      <c r="AF289" s="81"/>
      <c r="AG289" s="93"/>
      <c r="AH289" s="81"/>
      <c r="AI289" s="94"/>
      <c r="AJ289" s="81"/>
      <c r="AK289" s="93"/>
      <c r="AL289" s="81"/>
      <c r="AM289" s="94"/>
      <c r="AN289" s="81"/>
      <c r="AO289" s="93"/>
      <c r="AP289" s="81"/>
      <c r="AQ289" s="94"/>
      <c r="AR289" s="81"/>
      <c r="AS289" s="94"/>
      <c r="AT289" s="306"/>
      <c r="AU289" s="94"/>
      <c r="AV289" s="306"/>
      <c r="AW289" s="94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">
        <v>1207</v>
      </c>
      <c r="B290" t="s">
        <v>25</v>
      </c>
      <c r="C290" s="52" t="s">
        <v>1208</v>
      </c>
      <c r="D290" s="52" t="s">
        <v>1208</v>
      </c>
      <c r="E290">
        <v>30</v>
      </c>
      <c r="F290">
        <v>30</v>
      </c>
      <c r="G290" s="64">
        <v>42422</v>
      </c>
      <c r="H290">
        <v>300</v>
      </c>
      <c r="I290">
        <v>300</v>
      </c>
      <c r="J290">
        <v>6</v>
      </c>
      <c r="K290">
        <v>4</v>
      </c>
      <c r="L290">
        <v>3</v>
      </c>
      <c r="M290">
        <v>12</v>
      </c>
      <c r="N290">
        <v>0</v>
      </c>
      <c r="O290">
        <v>17</v>
      </c>
      <c r="P290" s="69">
        <f t="shared" si="48"/>
        <v>135.41666666666666</v>
      </c>
      <c r="Q290" s="82" t="s">
        <v>311</v>
      </c>
      <c r="R290" s="83">
        <v>0.5</v>
      </c>
      <c r="S290" s="84" t="s">
        <v>1209</v>
      </c>
      <c r="T290" s="85">
        <v>6</v>
      </c>
      <c r="U290" s="93"/>
      <c r="V290" s="81"/>
      <c r="W290" s="94"/>
      <c r="X290" s="81"/>
      <c r="Y290" s="93"/>
      <c r="Z290" s="81"/>
      <c r="AA290" s="94"/>
      <c r="AB290" s="81"/>
      <c r="AC290" s="93"/>
      <c r="AD290" s="81"/>
      <c r="AE290" s="94"/>
      <c r="AF290" s="81"/>
      <c r="AG290" s="93"/>
      <c r="AH290" s="81"/>
      <c r="AI290" s="94"/>
      <c r="AJ290" s="81"/>
      <c r="AK290" s="93"/>
      <c r="AL290" s="81"/>
      <c r="AM290" s="94"/>
      <c r="AN290" s="81"/>
      <c r="AO290" s="93"/>
      <c r="AP290" s="81"/>
      <c r="AQ290" s="94"/>
      <c r="AR290" s="81"/>
      <c r="AS290" s="94"/>
      <c r="AT290" s="306"/>
      <c r="AU290" s="94"/>
      <c r="AV290" s="306"/>
      <c r="AW290" s="94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">
        <v>1210</v>
      </c>
      <c r="B291" t="s">
        <v>26</v>
      </c>
      <c r="C291" s="52" t="s">
        <v>1211</v>
      </c>
      <c r="D291" s="52" t="s">
        <v>1211</v>
      </c>
      <c r="E291">
        <v>10</v>
      </c>
      <c r="F291">
        <v>10</v>
      </c>
      <c r="G291" s="64">
        <v>42422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0</v>
      </c>
      <c r="P291" s="69">
        <f t="shared" si="48"/>
        <v>104.16666666666667</v>
      </c>
      <c r="Q291" s="84" t="s">
        <v>315</v>
      </c>
      <c r="R291" s="85">
        <v>4</v>
      </c>
      <c r="S291" s="312" t="s">
        <v>316</v>
      </c>
      <c r="T291" s="313">
        <v>1</v>
      </c>
      <c r="U291" s="93"/>
      <c r="V291" s="81"/>
      <c r="W291" s="94"/>
      <c r="X291" s="81"/>
      <c r="Y291" s="93"/>
      <c r="Z291" s="81"/>
      <c r="AA291" s="94"/>
      <c r="AB291" s="81"/>
      <c r="AC291" s="93"/>
      <c r="AD291" s="81"/>
      <c r="AE291" s="94"/>
      <c r="AF291" s="81"/>
      <c r="AG291" s="93"/>
      <c r="AH291" s="81"/>
      <c r="AI291" s="94"/>
      <c r="AJ291" s="81"/>
      <c r="AK291" s="93"/>
      <c r="AL291" s="81"/>
      <c r="AM291" s="94"/>
      <c r="AN291" s="81"/>
      <c r="AO291" s="93"/>
      <c r="AP291" s="81"/>
      <c r="AQ291" s="94"/>
      <c r="AR291" s="81"/>
      <c r="AS291" s="94"/>
      <c r="AT291" s="306"/>
      <c r="AU291" s="94"/>
      <c r="AV291" s="306"/>
      <c r="AW291" s="94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62.083333333333336</v>
      </c>
      <c r="BC291" s="53">
        <f t="shared" si="47"/>
        <v>62.083333333333336</v>
      </c>
    </row>
    <row r="292" spans="1:55" ht="13.15">
      <c r="A292" t="s">
        <v>1212</v>
      </c>
      <c r="B292" t="s">
        <v>26</v>
      </c>
      <c r="C292" s="52" t="s">
        <v>1211</v>
      </c>
      <c r="D292" s="52" t="s">
        <v>1211</v>
      </c>
      <c r="E292">
        <v>0</v>
      </c>
      <c r="F292">
        <v>0</v>
      </c>
      <c r="G292" s="64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0</v>
      </c>
      <c r="N292">
        <v>0</v>
      </c>
      <c r="O292">
        <v>0</v>
      </c>
      <c r="P292" s="69">
        <f t="shared" si="48"/>
        <v>0</v>
      </c>
      <c r="Q292" s="93"/>
      <c r="R292" s="81"/>
      <c r="S292" s="94"/>
      <c r="T292" s="81"/>
      <c r="U292" s="93"/>
      <c r="V292" s="81"/>
      <c r="W292" s="94"/>
      <c r="X292" s="81"/>
      <c r="Y292" s="93"/>
      <c r="Z292" s="81"/>
      <c r="AA292" s="94"/>
      <c r="AB292" s="81"/>
      <c r="AC292" s="93"/>
      <c r="AD292" s="81"/>
      <c r="AE292" s="94"/>
      <c r="AF292" s="81"/>
      <c r="AG292" s="93"/>
      <c r="AH292" s="81"/>
      <c r="AI292" s="94"/>
      <c r="AJ292" s="81"/>
      <c r="AK292" s="93"/>
      <c r="AL292" s="81"/>
      <c r="AM292" s="94"/>
      <c r="AN292" s="81"/>
      <c r="AO292" s="93"/>
      <c r="AP292" s="81"/>
      <c r="AQ292" s="94"/>
      <c r="AR292" s="81"/>
      <c r="AS292" s="94"/>
      <c r="AT292" s="306"/>
      <c r="AU292" s="94"/>
      <c r="AV292" s="306"/>
      <c r="AW292" s="94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">
        <v>1213</v>
      </c>
      <c r="B293" t="s">
        <v>26</v>
      </c>
      <c r="C293" s="52" t="s">
        <v>1211</v>
      </c>
      <c r="D293" s="52" t="s">
        <v>1211</v>
      </c>
      <c r="E293">
        <v>0</v>
      </c>
      <c r="F293">
        <v>0</v>
      </c>
      <c r="G293" s="64">
        <v>0</v>
      </c>
      <c r="H293">
        <v>300</v>
      </c>
      <c r="I293">
        <v>300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69">
        <f t="shared" si="48"/>
        <v>0</v>
      </c>
      <c r="Q293" s="93"/>
      <c r="R293" s="81"/>
      <c r="S293" s="94"/>
      <c r="T293" s="81"/>
      <c r="U293" s="93"/>
      <c r="V293" s="81"/>
      <c r="W293" s="94"/>
      <c r="X293" s="81"/>
      <c r="Y293" s="93"/>
      <c r="Z293" s="81"/>
      <c r="AA293" s="94"/>
      <c r="AB293" s="81"/>
      <c r="AC293" s="93"/>
      <c r="AD293" s="81"/>
      <c r="AE293" s="94"/>
      <c r="AF293" s="81"/>
      <c r="AG293" s="93"/>
      <c r="AH293" s="81"/>
      <c r="AI293" s="94"/>
      <c r="AJ293" s="81"/>
      <c r="AK293" s="93"/>
      <c r="AL293" s="81"/>
      <c r="AM293" s="94"/>
      <c r="AN293" s="81"/>
      <c r="AO293" s="93"/>
      <c r="AP293" s="81"/>
      <c r="AQ293" s="94"/>
      <c r="AR293" s="81"/>
      <c r="AS293" s="94"/>
      <c r="AT293" s="306"/>
      <c r="AU293" s="94"/>
      <c r="AV293" s="306"/>
      <c r="AW293" s="94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">
        <v>1214</v>
      </c>
      <c r="B294" t="s">
        <v>26</v>
      </c>
      <c r="C294" s="52" t="s">
        <v>1211</v>
      </c>
      <c r="D294" s="52" t="s">
        <v>1211</v>
      </c>
      <c r="E294">
        <v>0</v>
      </c>
      <c r="F294">
        <v>0</v>
      </c>
      <c r="G294" s="6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69">
        <f t="shared" si="48"/>
        <v>0</v>
      </c>
      <c r="Q294" s="93"/>
      <c r="R294" s="81"/>
      <c r="S294" s="94"/>
      <c r="T294" s="81"/>
      <c r="U294" s="93"/>
      <c r="V294" s="81"/>
      <c r="W294" s="94"/>
      <c r="X294" s="81"/>
      <c r="Y294" s="93"/>
      <c r="Z294" s="81"/>
      <c r="AA294" s="94"/>
      <c r="AB294" s="81"/>
      <c r="AC294" s="93"/>
      <c r="AD294" s="81"/>
      <c r="AE294" s="94"/>
      <c r="AF294" s="81"/>
      <c r="AG294" s="93"/>
      <c r="AH294" s="81"/>
      <c r="AI294" s="94"/>
      <c r="AJ294" s="81"/>
      <c r="AK294" s="93"/>
      <c r="AL294" s="81"/>
      <c r="AM294" s="94"/>
      <c r="AN294" s="81"/>
      <c r="AO294" s="93"/>
      <c r="AP294" s="81"/>
      <c r="AQ294" s="94"/>
      <c r="AR294" s="81"/>
      <c r="AS294" s="94"/>
      <c r="AT294" s="306"/>
      <c r="AU294" s="94"/>
      <c r="AV294" s="306"/>
      <c r="AW294" s="94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">
        <v>1215</v>
      </c>
      <c r="B295" t="s">
        <v>26</v>
      </c>
      <c r="C295" s="52" t="s">
        <v>1211</v>
      </c>
      <c r="D295" s="52" t="s">
        <v>1211</v>
      </c>
      <c r="E295">
        <v>0</v>
      </c>
      <c r="F295">
        <v>0</v>
      </c>
      <c r="G295" s="64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69">
        <f t="shared" si="48"/>
        <v>0</v>
      </c>
      <c r="Q295" s="93"/>
      <c r="R295" s="81"/>
      <c r="S295" s="94"/>
      <c r="T295" s="81"/>
      <c r="U295" s="93"/>
      <c r="V295" s="81"/>
      <c r="W295" s="94"/>
      <c r="X295" s="81"/>
      <c r="Y295" s="93"/>
      <c r="Z295" s="81"/>
      <c r="AA295" s="94"/>
      <c r="AB295" s="81"/>
      <c r="AC295" s="93"/>
      <c r="AD295" s="81"/>
      <c r="AE295" s="94"/>
      <c r="AF295" s="81"/>
      <c r="AG295" s="93"/>
      <c r="AH295" s="81"/>
      <c r="AI295" s="94"/>
      <c r="AJ295" s="81"/>
      <c r="AK295" s="93"/>
      <c r="AL295" s="81"/>
      <c r="AM295" s="94"/>
      <c r="AN295" s="81"/>
      <c r="AO295" s="93"/>
      <c r="AP295" s="81"/>
      <c r="AQ295" s="94"/>
      <c r="AR295" s="81"/>
      <c r="AS295" s="94"/>
      <c r="AT295" s="306"/>
      <c r="AU295" s="94"/>
      <c r="AV295" s="306"/>
      <c r="AW295" s="94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">
        <v>1216</v>
      </c>
      <c r="B296" t="s">
        <v>27</v>
      </c>
      <c r="C296" s="52" t="s">
        <v>1217</v>
      </c>
      <c r="D296" s="52" t="s">
        <v>1217</v>
      </c>
      <c r="E296">
        <v>90</v>
      </c>
      <c r="F296">
        <v>83</v>
      </c>
      <c r="G296" s="64">
        <v>44971</v>
      </c>
      <c r="H296">
        <v>300</v>
      </c>
      <c r="I296">
        <v>300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32</v>
      </c>
      <c r="P296" s="69">
        <f t="shared" si="48"/>
        <v>104.16666666666667</v>
      </c>
      <c r="Q296" s="93" t="s">
        <v>317</v>
      </c>
      <c r="R296" s="81">
        <v>4</v>
      </c>
      <c r="S296" s="311" t="s">
        <v>318</v>
      </c>
      <c r="T296" s="310">
        <v>1</v>
      </c>
      <c r="U296" s="93"/>
      <c r="V296" s="81"/>
      <c r="W296" s="94"/>
      <c r="X296" s="81"/>
      <c r="Y296" s="93"/>
      <c r="Z296" s="81"/>
      <c r="AA296" s="94"/>
      <c r="AB296" s="81"/>
      <c r="AC296" s="93"/>
      <c r="AD296" s="81"/>
      <c r="AE296" s="94"/>
      <c r="AF296" s="81"/>
      <c r="AG296" s="93"/>
      <c r="AH296" s="81"/>
      <c r="AI296" s="94"/>
      <c r="AJ296" s="81"/>
      <c r="AK296" s="93"/>
      <c r="AL296" s="81"/>
      <c r="AM296" s="94"/>
      <c r="AN296" s="81"/>
      <c r="AO296" s="93"/>
      <c r="AP296" s="81"/>
      <c r="AQ296" s="94"/>
      <c r="AR296" s="81"/>
      <c r="AS296" s="94"/>
      <c r="AT296" s="306"/>
      <c r="AU296" s="94"/>
      <c r="AV296" s="306"/>
      <c r="AW296" s="94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">
        <v>1218</v>
      </c>
      <c r="B297" t="s">
        <v>32</v>
      </c>
      <c r="C297" s="52" t="s">
        <v>1219</v>
      </c>
      <c r="D297" s="52" t="s">
        <v>1219</v>
      </c>
      <c r="E297">
        <v>16</v>
      </c>
      <c r="F297">
        <v>0</v>
      </c>
      <c r="G297" s="64">
        <v>44264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69">
        <f t="shared" si="48"/>
        <v>0</v>
      </c>
      <c r="Q297" s="93"/>
      <c r="R297" s="81"/>
      <c r="S297" s="94"/>
      <c r="T297" s="81"/>
      <c r="U297" s="93"/>
      <c r="V297" s="81"/>
      <c r="W297" s="94"/>
      <c r="X297" s="81"/>
      <c r="Y297" s="93"/>
      <c r="Z297" s="81"/>
      <c r="AA297" s="94"/>
      <c r="AB297" s="81"/>
      <c r="AC297" s="93"/>
      <c r="AD297" s="81"/>
      <c r="AE297" s="94"/>
      <c r="AF297" s="81"/>
      <c r="AG297" s="93"/>
      <c r="AH297" s="81"/>
      <c r="AI297" s="94"/>
      <c r="AJ297" s="81"/>
      <c r="AK297" s="93"/>
      <c r="AL297" s="81"/>
      <c r="AM297" s="94"/>
      <c r="AN297" s="81"/>
      <c r="AO297" s="93"/>
      <c r="AP297" s="81"/>
      <c r="AQ297" s="94"/>
      <c r="AR297" s="81"/>
      <c r="AS297" s="94"/>
      <c r="AT297" s="306"/>
      <c r="AU297" s="94"/>
      <c r="AV297" s="306"/>
      <c r="AW297" s="94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">
        <v>1220</v>
      </c>
      <c r="B298" t="s">
        <v>32</v>
      </c>
      <c r="C298" s="52" t="s">
        <v>1219</v>
      </c>
      <c r="D298" s="52" t="s">
        <v>1219</v>
      </c>
      <c r="E298">
        <v>0</v>
      </c>
      <c r="F298">
        <v>16</v>
      </c>
      <c r="G298" s="64">
        <v>44264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69">
        <f t="shared" si="48"/>
        <v>0</v>
      </c>
      <c r="Q298" s="93"/>
      <c r="R298" s="81"/>
      <c r="S298" s="94"/>
      <c r="T298" s="81"/>
      <c r="U298" s="93"/>
      <c r="V298" s="81"/>
      <c r="W298" s="94"/>
      <c r="X298" s="81"/>
      <c r="Y298" s="93"/>
      <c r="Z298" s="81"/>
      <c r="AA298" s="94"/>
      <c r="AB298" s="81"/>
      <c r="AC298" s="93"/>
      <c r="AD298" s="81"/>
      <c r="AE298" s="94"/>
      <c r="AF298" s="81"/>
      <c r="AG298" s="93"/>
      <c r="AH298" s="81"/>
      <c r="AI298" s="94"/>
      <c r="AJ298" s="81"/>
      <c r="AK298" s="93"/>
      <c r="AL298" s="81"/>
      <c r="AM298" s="94"/>
      <c r="AN298" s="81"/>
      <c r="AO298" s="93"/>
      <c r="AP298" s="81"/>
      <c r="AQ298" s="94"/>
      <c r="AR298" s="81"/>
      <c r="AS298" s="94"/>
      <c r="AT298" s="306"/>
      <c r="AU298" s="94"/>
      <c r="AV298" s="306"/>
      <c r="AW298" s="94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">
        <v>1221</v>
      </c>
      <c r="B299" t="s">
        <v>109</v>
      </c>
      <c r="C299" s="52" t="s">
        <v>1222</v>
      </c>
      <c r="D299" s="52" t="s">
        <v>1222</v>
      </c>
      <c r="E299">
        <v>90</v>
      </c>
      <c r="F299">
        <v>90</v>
      </c>
      <c r="G299" s="64">
        <v>45273</v>
      </c>
      <c r="H299">
        <v>300</v>
      </c>
      <c r="I299">
        <v>300</v>
      </c>
      <c r="J299">
        <v>0</v>
      </c>
      <c r="K299">
        <v>0</v>
      </c>
      <c r="L299">
        <v>4</v>
      </c>
      <c r="M299">
        <v>0</v>
      </c>
      <c r="N299">
        <v>0</v>
      </c>
      <c r="O299">
        <v>9</v>
      </c>
      <c r="P299" s="69">
        <f t="shared" si="48"/>
        <v>208.33333333333334</v>
      </c>
      <c r="Q299" s="82" t="s">
        <v>499</v>
      </c>
      <c r="R299" s="83">
        <v>5</v>
      </c>
      <c r="S299" s="82" t="s">
        <v>500</v>
      </c>
      <c r="T299" s="83">
        <v>4</v>
      </c>
      <c r="U299" s="93"/>
      <c r="V299" s="81"/>
      <c r="W299" s="93"/>
      <c r="X299" s="310"/>
      <c r="Y299" s="90" t="s">
        <v>501</v>
      </c>
      <c r="Z299" s="310">
        <v>1</v>
      </c>
      <c r="AA299" s="94"/>
      <c r="AB299" s="81"/>
      <c r="AC299" s="93"/>
      <c r="AD299" s="81"/>
      <c r="AE299" s="94"/>
      <c r="AF299" s="81"/>
      <c r="AG299" s="93"/>
      <c r="AH299" s="81"/>
      <c r="AI299" s="94"/>
      <c r="AJ299" s="81"/>
      <c r="AK299" s="93"/>
      <c r="AL299" s="81"/>
      <c r="AM299" s="94"/>
      <c r="AN299" s="81"/>
      <c r="AO299" s="93"/>
      <c r="AP299" s="81"/>
      <c r="AQ299" s="94"/>
      <c r="AR299" s="81"/>
      <c r="AS299" s="94"/>
      <c r="AT299" s="306"/>
      <c r="AU299" s="94"/>
      <c r="AV299" s="306"/>
      <c r="AW299" s="94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">
        <v>1223</v>
      </c>
      <c r="B300" t="s">
        <v>110</v>
      </c>
      <c r="C300" s="52" t="s">
        <v>1224</v>
      </c>
      <c r="D300" s="52" t="s">
        <v>1224</v>
      </c>
      <c r="E300" t="s">
        <v>1134</v>
      </c>
      <c r="F300">
        <v>0</v>
      </c>
      <c r="G300" s="64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69">
        <f t="shared" si="48"/>
        <v>20.833333333333332</v>
      </c>
      <c r="Q300" s="259" t="s">
        <v>498</v>
      </c>
      <c r="R300" s="260">
        <v>0.5</v>
      </c>
      <c r="S300" s="259" t="s">
        <v>498</v>
      </c>
      <c r="T300" s="260">
        <v>0.5</v>
      </c>
      <c r="U300" s="93"/>
      <c r="V300" s="81"/>
      <c r="W300" s="94"/>
      <c r="X300" s="81"/>
      <c r="Y300" s="93"/>
      <c r="Z300" s="81"/>
      <c r="AA300" s="94"/>
      <c r="AB300" s="81"/>
      <c r="AC300" s="93"/>
      <c r="AD300" s="81"/>
      <c r="AE300" s="94"/>
      <c r="AF300" s="81"/>
      <c r="AG300" s="93"/>
      <c r="AH300" s="81"/>
      <c r="AI300" s="94"/>
      <c r="AJ300" s="81"/>
      <c r="AK300" s="93"/>
      <c r="AL300" s="81"/>
      <c r="AM300" s="94"/>
      <c r="AN300" s="81"/>
      <c r="AO300" s="93"/>
      <c r="AP300" s="81"/>
      <c r="AQ300" s="94"/>
      <c r="AR300" s="81"/>
      <c r="AS300" s="94"/>
      <c r="AT300" s="306"/>
      <c r="AU300" s="94"/>
      <c r="AV300" s="306"/>
      <c r="AW300" s="94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">
        <v>1225</v>
      </c>
      <c r="B301" t="s">
        <v>111</v>
      </c>
      <c r="C301" s="52" t="s">
        <v>1226</v>
      </c>
      <c r="D301" s="52" t="s">
        <v>1226</v>
      </c>
      <c r="E301">
        <v>0</v>
      </c>
      <c r="F301">
        <v>0</v>
      </c>
      <c r="G301" s="64">
        <v>0</v>
      </c>
      <c r="H301">
        <v>300</v>
      </c>
      <c r="I301">
        <v>300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</v>
      </c>
      <c r="P301" s="69">
        <f t="shared" si="48"/>
        <v>10.416666666666666</v>
      </c>
      <c r="Q301" s="82" t="s">
        <v>502</v>
      </c>
      <c r="R301" s="83">
        <v>0.5</v>
      </c>
      <c r="S301" s="94"/>
      <c r="T301" s="81"/>
      <c r="U301" s="93"/>
      <c r="V301" s="81"/>
      <c r="W301" s="94"/>
      <c r="X301" s="81"/>
      <c r="Y301" s="93"/>
      <c r="Z301" s="81"/>
      <c r="AA301" s="94"/>
      <c r="AB301" s="81"/>
      <c r="AC301" s="93"/>
      <c r="AD301" s="81"/>
      <c r="AE301" s="94"/>
      <c r="AF301" s="81"/>
      <c r="AG301" s="93"/>
      <c r="AH301" s="81"/>
      <c r="AI301" s="94"/>
      <c r="AJ301" s="81"/>
      <c r="AK301" s="93"/>
      <c r="AL301" s="81"/>
      <c r="AM301" s="94"/>
      <c r="AN301" s="81"/>
      <c r="AO301" s="93"/>
      <c r="AP301" s="81"/>
      <c r="AQ301" s="94"/>
      <c r="AR301" s="81"/>
      <c r="AS301" s="94"/>
      <c r="AT301" s="306"/>
      <c r="AU301" s="94"/>
      <c r="AV301" s="306"/>
      <c r="AW301" s="94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">
        <v>1227</v>
      </c>
      <c r="B302" t="s">
        <v>117</v>
      </c>
      <c r="C302" s="52" t="s">
        <v>1228</v>
      </c>
      <c r="D302" s="52" t="s">
        <v>1228</v>
      </c>
      <c r="E302">
        <v>112.3</v>
      </c>
      <c r="F302">
        <v>130.70000000000002</v>
      </c>
      <c r="G302" s="64">
        <v>45244</v>
      </c>
      <c r="H302">
        <v>360</v>
      </c>
      <c r="I302">
        <v>360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69">
        <f t="shared" si="48"/>
        <v>908.33333333333337</v>
      </c>
      <c r="Q302" s="82" t="s">
        <v>505</v>
      </c>
      <c r="R302" s="83">
        <v>2</v>
      </c>
      <c r="S302" s="82" t="s">
        <v>506</v>
      </c>
      <c r="T302" s="83">
        <v>1.1000000000000001</v>
      </c>
      <c r="U302" s="82" t="s">
        <v>507</v>
      </c>
      <c r="V302" s="83">
        <v>2.5</v>
      </c>
      <c r="W302" s="82" t="s">
        <v>508</v>
      </c>
      <c r="X302" s="83">
        <v>2.9</v>
      </c>
      <c r="Y302" s="109" t="s">
        <v>490</v>
      </c>
      <c r="Z302" s="261">
        <v>0.6</v>
      </c>
      <c r="AA302" s="262" t="s">
        <v>509</v>
      </c>
      <c r="AB302" s="261">
        <v>3.6</v>
      </c>
      <c r="AC302" s="262" t="s">
        <v>1229</v>
      </c>
      <c r="AD302" s="261">
        <v>3.5</v>
      </c>
      <c r="AE302" s="86" t="s">
        <v>512</v>
      </c>
      <c r="AF302" s="87">
        <v>5.5</v>
      </c>
      <c r="AG302" s="86" t="s">
        <v>513</v>
      </c>
      <c r="AH302" s="87">
        <v>5.5</v>
      </c>
      <c r="AI302" s="86" t="s">
        <v>514</v>
      </c>
      <c r="AJ302" s="87">
        <v>5.5</v>
      </c>
      <c r="AK302" s="86" t="s">
        <v>515</v>
      </c>
      <c r="AL302" s="87">
        <v>1.9</v>
      </c>
      <c r="AM302" s="86" t="s">
        <v>516</v>
      </c>
      <c r="AN302" s="87">
        <v>4</v>
      </c>
      <c r="AO302" s="86" t="s">
        <v>1230</v>
      </c>
      <c r="AP302" s="87">
        <v>1</v>
      </c>
      <c r="AQ302" s="86" t="s">
        <v>517</v>
      </c>
      <c r="AR302" s="258">
        <v>4</v>
      </c>
      <c r="AS302" s="94"/>
      <c r="AT302" s="306"/>
      <c r="AU302" s="94"/>
      <c r="AV302" s="306"/>
      <c r="AW302" s="94"/>
      <c r="AX302" s="66">
        <f t="shared" si="44"/>
        <v>43.6</v>
      </c>
      <c r="AY302" s="78">
        <f t="shared" si="45"/>
        <v>908.33333333333337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566.4666666666667</v>
      </c>
      <c r="BC302" s="53">
        <f t="shared" si="47"/>
        <v>584.86666666666667</v>
      </c>
    </row>
    <row r="303" spans="1:55" ht="13.15">
      <c r="A303" t="s">
        <v>1231</v>
      </c>
      <c r="B303" t="s">
        <v>117</v>
      </c>
      <c r="C303" s="52" t="s">
        <v>1228</v>
      </c>
      <c r="D303" s="52" t="s">
        <v>1228</v>
      </c>
      <c r="E303">
        <v>195</v>
      </c>
      <c r="F303">
        <v>205</v>
      </c>
      <c r="G303" s="64">
        <v>44642</v>
      </c>
      <c r="H303">
        <v>300</v>
      </c>
      <c r="I303">
        <v>300</v>
      </c>
      <c r="J303">
        <v>2</v>
      </c>
      <c r="K303">
        <v>9</v>
      </c>
      <c r="L303">
        <v>3</v>
      </c>
      <c r="M303">
        <v>0</v>
      </c>
      <c r="N303">
        <v>0</v>
      </c>
      <c r="O303">
        <v>13</v>
      </c>
      <c r="P303" s="69">
        <f t="shared" si="48"/>
        <v>0</v>
      </c>
      <c r="Q303" s="84"/>
      <c r="R303" s="292"/>
      <c r="S303" s="94"/>
      <c r="T303" s="81"/>
      <c r="U303" s="93"/>
      <c r="V303" s="81"/>
      <c r="W303" s="94"/>
      <c r="X303" s="81"/>
      <c r="Y303" s="93"/>
      <c r="Z303" s="81"/>
      <c r="AA303" s="94"/>
      <c r="AB303" s="81"/>
      <c r="AC303" s="93"/>
      <c r="AD303" s="81"/>
      <c r="AE303" s="94"/>
      <c r="AF303" s="81"/>
      <c r="AG303" s="93"/>
      <c r="AH303" s="81"/>
      <c r="AI303" s="94"/>
      <c r="AJ303" s="81"/>
      <c r="AK303" s="93"/>
      <c r="AL303" s="81"/>
      <c r="AM303" s="94"/>
      <c r="AN303" s="81"/>
      <c r="AO303" s="93"/>
      <c r="AP303" s="81"/>
      <c r="AQ303" s="94"/>
      <c r="AR303" s="81"/>
      <c r="AS303" s="94"/>
      <c r="AT303" s="306"/>
      <c r="AU303" s="94"/>
      <c r="AV303" s="306"/>
      <c r="AW303" s="94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">
        <v>1232</v>
      </c>
      <c r="B304" t="s">
        <v>117</v>
      </c>
      <c r="C304" s="52" t="s">
        <v>1228</v>
      </c>
      <c r="D304" s="52" t="s">
        <v>1228</v>
      </c>
      <c r="E304">
        <v>184</v>
      </c>
      <c r="F304">
        <v>181</v>
      </c>
      <c r="G304" s="64">
        <v>44453</v>
      </c>
      <c r="H304">
        <v>300</v>
      </c>
      <c r="I304">
        <v>300</v>
      </c>
      <c r="J304">
        <v>0</v>
      </c>
      <c r="K304">
        <v>6</v>
      </c>
      <c r="L304">
        <v>4</v>
      </c>
      <c r="M304">
        <v>0</v>
      </c>
      <c r="N304">
        <v>0</v>
      </c>
      <c r="O304">
        <v>46</v>
      </c>
      <c r="P304" s="69">
        <f t="shared" si="48"/>
        <v>0</v>
      </c>
      <c r="Q304" s="82"/>
      <c r="R304" s="83"/>
      <c r="S304" s="94"/>
      <c r="T304" s="81"/>
      <c r="U304" s="93"/>
      <c r="V304" s="81"/>
      <c r="W304" s="94"/>
      <c r="X304" s="81"/>
      <c r="Y304" s="93"/>
      <c r="Z304" s="81"/>
      <c r="AA304" s="94"/>
      <c r="AB304" s="81"/>
      <c r="AC304" s="93"/>
      <c r="AD304" s="81"/>
      <c r="AE304" s="94"/>
      <c r="AF304" s="81"/>
      <c r="AG304" s="93"/>
      <c r="AH304" s="81"/>
      <c r="AI304" s="94"/>
      <c r="AJ304" s="81"/>
      <c r="AK304" s="93"/>
      <c r="AL304" s="81"/>
      <c r="AM304" s="94"/>
      <c r="AN304" s="81"/>
      <c r="AO304" s="93"/>
      <c r="AP304" s="81"/>
      <c r="AQ304" s="94"/>
      <c r="AR304" s="81"/>
      <c r="AS304" s="94"/>
      <c r="AT304" s="306"/>
      <c r="AU304" s="94"/>
      <c r="AV304" s="306"/>
      <c r="AW304" s="94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">
        <v>1233</v>
      </c>
      <c r="B305" t="s">
        <v>119</v>
      </c>
      <c r="C305" s="52" t="s">
        <v>1234</v>
      </c>
      <c r="D305" s="52" t="s">
        <v>1234</v>
      </c>
      <c r="E305">
        <v>152</v>
      </c>
      <c r="F305">
        <v>168</v>
      </c>
      <c r="G305" s="64">
        <v>45008</v>
      </c>
      <c r="H305">
        <v>300</v>
      </c>
      <c r="I305">
        <v>300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48</v>
      </c>
      <c r="P305" s="69">
        <f t="shared" si="48"/>
        <v>137.5</v>
      </c>
      <c r="Q305" s="82" t="s">
        <v>520</v>
      </c>
      <c r="R305" s="83">
        <v>4.5999999999999996</v>
      </c>
      <c r="S305" s="311" t="s">
        <v>522</v>
      </c>
      <c r="T305" s="310">
        <v>2</v>
      </c>
      <c r="U305" s="93"/>
      <c r="V305" s="81"/>
      <c r="W305" s="94"/>
      <c r="X305" s="81"/>
      <c r="Y305" s="93"/>
      <c r="Z305" s="81"/>
      <c r="AA305" s="94"/>
      <c r="AB305" s="81"/>
      <c r="AC305" s="93"/>
      <c r="AD305" s="81"/>
      <c r="AE305" s="94"/>
      <c r="AF305" s="81"/>
      <c r="AG305" s="93"/>
      <c r="AH305" s="81"/>
      <c r="AI305" s="94"/>
      <c r="AJ305" s="81"/>
      <c r="AK305" s="93"/>
      <c r="AL305" s="81"/>
      <c r="AM305" s="94"/>
      <c r="AN305" s="81"/>
      <c r="AO305" s="93"/>
      <c r="AP305" s="81"/>
      <c r="AQ305" s="94"/>
      <c r="AR305" s="81"/>
      <c r="AS305" s="94"/>
      <c r="AT305" s="306"/>
      <c r="AU305" s="94"/>
      <c r="AV305" s="306"/>
      <c r="AW305" s="94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">
        <v>1235</v>
      </c>
      <c r="B306" t="s">
        <v>119</v>
      </c>
      <c r="C306" s="52" t="s">
        <v>1234</v>
      </c>
      <c r="D306" s="52" t="s">
        <v>1234</v>
      </c>
      <c r="E306">
        <v>0</v>
      </c>
      <c r="F306">
        <v>0</v>
      </c>
      <c r="G306" s="64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69">
        <f t="shared" si="48"/>
        <v>0</v>
      </c>
      <c r="Q306" s="93"/>
      <c r="R306" s="81"/>
      <c r="S306" s="94"/>
      <c r="T306" s="81"/>
      <c r="U306" s="93"/>
      <c r="V306" s="81"/>
      <c r="W306" s="94"/>
      <c r="X306" s="81"/>
      <c r="Y306" s="93"/>
      <c r="Z306" s="81"/>
      <c r="AA306" s="94"/>
      <c r="AB306" s="81"/>
      <c r="AC306" s="93"/>
      <c r="AD306" s="81"/>
      <c r="AE306" s="94"/>
      <c r="AF306" s="81"/>
      <c r="AG306" s="93"/>
      <c r="AH306" s="81"/>
      <c r="AI306" s="94"/>
      <c r="AJ306" s="81"/>
      <c r="AK306" s="93"/>
      <c r="AL306" s="81"/>
      <c r="AM306" s="94"/>
      <c r="AN306" s="81"/>
      <c r="AO306" s="93"/>
      <c r="AP306" s="81"/>
      <c r="AQ306" s="94"/>
      <c r="AR306" s="81"/>
      <c r="AS306" s="94"/>
      <c r="AT306" s="306"/>
      <c r="AU306" s="94"/>
      <c r="AV306" s="306"/>
      <c r="AW306" s="94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">
        <v>1236</v>
      </c>
      <c r="B307" t="s">
        <v>119</v>
      </c>
      <c r="C307" s="52" t="s">
        <v>1234</v>
      </c>
      <c r="D307" s="52" t="s">
        <v>1234</v>
      </c>
      <c r="E307">
        <v>0</v>
      </c>
      <c r="F307">
        <v>0</v>
      </c>
      <c r="G307" s="64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69">
        <f t="shared" si="48"/>
        <v>0</v>
      </c>
      <c r="Q307" s="93"/>
      <c r="R307" s="81"/>
      <c r="S307" s="94"/>
      <c r="T307" s="81"/>
      <c r="U307" s="93"/>
      <c r="V307" s="81"/>
      <c r="W307" s="94"/>
      <c r="X307" s="81"/>
      <c r="Y307" s="93"/>
      <c r="Z307" s="81"/>
      <c r="AA307" s="94"/>
      <c r="AB307" s="81"/>
      <c r="AC307" s="93"/>
      <c r="AD307" s="81"/>
      <c r="AE307" s="94"/>
      <c r="AF307" s="81"/>
      <c r="AG307" s="93"/>
      <c r="AH307" s="81"/>
      <c r="AI307" s="94"/>
      <c r="AJ307" s="81"/>
      <c r="AK307" s="93"/>
      <c r="AL307" s="81"/>
      <c r="AM307" s="94"/>
      <c r="AN307" s="81"/>
      <c r="AO307" s="93"/>
      <c r="AP307" s="81"/>
      <c r="AQ307" s="94"/>
      <c r="AR307" s="81"/>
      <c r="AS307" s="94"/>
      <c r="AT307" s="306"/>
      <c r="AU307" s="94"/>
      <c r="AV307" s="306"/>
      <c r="AW307" s="94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">
        <v>1237</v>
      </c>
      <c r="B308" t="s">
        <v>119</v>
      </c>
      <c r="C308" s="52" t="s">
        <v>1234</v>
      </c>
      <c r="D308" s="52" t="s">
        <v>1234</v>
      </c>
      <c r="E308">
        <v>290</v>
      </c>
      <c r="F308">
        <v>345</v>
      </c>
      <c r="G308" s="64">
        <v>45006</v>
      </c>
      <c r="H308">
        <v>300</v>
      </c>
      <c r="I308">
        <v>300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5</v>
      </c>
      <c r="P308" s="69">
        <f t="shared" si="48"/>
        <v>20.833333333333332</v>
      </c>
      <c r="Q308" s="93" t="s">
        <v>524</v>
      </c>
      <c r="R308" s="258">
        <v>1</v>
      </c>
      <c r="S308" s="94"/>
      <c r="T308" s="81"/>
      <c r="U308" s="93"/>
      <c r="V308" s="81"/>
      <c r="W308" s="94"/>
      <c r="X308" s="81"/>
      <c r="Y308" s="93"/>
      <c r="Z308" s="81"/>
      <c r="AA308" s="94"/>
      <c r="AB308" s="81"/>
      <c r="AC308" s="93"/>
      <c r="AD308" s="81"/>
      <c r="AE308" s="94"/>
      <c r="AF308" s="81"/>
      <c r="AG308" s="93"/>
      <c r="AH308" s="81"/>
      <c r="AI308" s="94"/>
      <c r="AJ308" s="81"/>
      <c r="AK308" s="93"/>
      <c r="AL308" s="81"/>
      <c r="AM308" s="94"/>
      <c r="AN308" s="81"/>
      <c r="AO308" s="93"/>
      <c r="AP308" s="81"/>
      <c r="AQ308" s="94"/>
      <c r="AR308" s="81"/>
      <c r="AS308" s="94"/>
      <c r="AT308" s="306"/>
      <c r="AU308" s="94"/>
      <c r="AV308" s="306"/>
      <c r="AW308" s="94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">
        <v>1238</v>
      </c>
      <c r="B309" t="s">
        <v>75</v>
      </c>
      <c r="C309" s="52" t="s">
        <v>1239</v>
      </c>
      <c r="D309" s="52" t="s">
        <v>1239</v>
      </c>
      <c r="E309">
        <v>10</v>
      </c>
      <c r="F309">
        <v>10</v>
      </c>
      <c r="G309" s="64">
        <v>41963</v>
      </c>
      <c r="H309">
        <v>300</v>
      </c>
      <c r="I309">
        <v>300</v>
      </c>
      <c r="J309">
        <v>5</v>
      </c>
      <c r="K309">
        <v>8</v>
      </c>
      <c r="L309">
        <v>0</v>
      </c>
      <c r="M309">
        <v>29</v>
      </c>
      <c r="N309">
        <v>11</v>
      </c>
      <c r="O309">
        <v>0</v>
      </c>
      <c r="P309" s="69" t="e">
        <f t="shared" si="48"/>
        <v>#REF!</v>
      </c>
      <c r="Q309" s="93"/>
      <c r="R309" s="81"/>
      <c r="S309" s="94"/>
      <c r="T309" s="81"/>
      <c r="U309" s="93"/>
      <c r="V309" s="81"/>
      <c r="W309" s="94"/>
      <c r="X309" s="81"/>
      <c r="Y309" s="93"/>
      <c r="Z309" s="81"/>
      <c r="AA309" s="94"/>
      <c r="AB309" s="81"/>
      <c r="AC309" s="93"/>
      <c r="AD309" s="81"/>
      <c r="AE309" s="94"/>
      <c r="AF309" s="81"/>
      <c r="AG309" s="93"/>
      <c r="AH309" s="81"/>
      <c r="AI309" s="94"/>
      <c r="AJ309" s="81"/>
      <c r="AK309" s="93"/>
      <c r="AL309" s="81"/>
      <c r="AM309" s="94"/>
      <c r="AN309" s="81"/>
      <c r="AO309" s="93"/>
      <c r="AP309" s="81"/>
      <c r="AQ309" s="94"/>
      <c r="AR309" s="81"/>
      <c r="AS309" s="94"/>
      <c r="AT309" s="306"/>
      <c r="AU309" s="94"/>
      <c r="AV309" s="306"/>
      <c r="AW309" s="94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">
        <v>1240</v>
      </c>
      <c r="B310" t="s">
        <v>134</v>
      </c>
      <c r="C310" s="52" t="s">
        <v>1241</v>
      </c>
      <c r="D310" s="52" t="s">
        <v>1241</v>
      </c>
      <c r="E310">
        <v>125.79999999999998</v>
      </c>
      <c r="F310">
        <v>104</v>
      </c>
      <c r="G310" s="64">
        <v>45252</v>
      </c>
      <c r="H310">
        <v>360</v>
      </c>
      <c r="I310">
        <v>360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69">
        <f t="shared" si="48"/>
        <v>593.75</v>
      </c>
      <c r="Q310" s="82" t="s">
        <v>539</v>
      </c>
      <c r="R310" s="83">
        <v>2</v>
      </c>
      <c r="S310" s="90" t="s">
        <v>540</v>
      </c>
      <c r="T310" s="91">
        <v>2.7</v>
      </c>
      <c r="U310" s="82" t="s">
        <v>541</v>
      </c>
      <c r="V310" s="91">
        <v>2.9</v>
      </c>
      <c r="W310" s="88" t="s">
        <v>542</v>
      </c>
      <c r="X310" s="89">
        <v>2.1</v>
      </c>
      <c r="Y310" s="82" t="s">
        <v>544</v>
      </c>
      <c r="Z310" s="91">
        <v>1.6</v>
      </c>
      <c r="AA310" s="262" t="s">
        <v>1242</v>
      </c>
      <c r="AB310" s="261">
        <v>4</v>
      </c>
      <c r="AC310" s="93" t="s">
        <v>546</v>
      </c>
      <c r="AD310" s="81">
        <v>1.4</v>
      </c>
      <c r="AE310" s="266" t="s">
        <v>543</v>
      </c>
      <c r="AF310" s="267">
        <v>1.8</v>
      </c>
      <c r="AG310" s="84" t="s">
        <v>547</v>
      </c>
      <c r="AH310" s="103">
        <v>5</v>
      </c>
      <c r="AI310" s="84" t="s">
        <v>548</v>
      </c>
      <c r="AJ310" s="103">
        <v>5</v>
      </c>
      <c r="AK310" s="93"/>
      <c r="AL310" s="81"/>
      <c r="AM310" s="94"/>
      <c r="AN310" s="81"/>
      <c r="AO310" s="93"/>
      <c r="AP310" s="81"/>
      <c r="AQ310" s="94"/>
      <c r="AR310" s="81"/>
      <c r="AS310" s="94"/>
      <c r="AT310" s="306"/>
      <c r="AU310" s="94"/>
      <c r="AV310" s="306"/>
      <c r="AW310" s="94"/>
      <c r="AX310" s="66">
        <f t="shared" si="44"/>
        <v>28.5</v>
      </c>
      <c r="AY310" s="78">
        <f t="shared" si="45"/>
        <v>593.75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422.67499999999995</v>
      </c>
      <c r="BC310" s="53">
        <f t="shared" si="47"/>
        <v>400.875</v>
      </c>
    </row>
    <row r="311" spans="1:55" ht="13.15">
      <c r="A311" t="s">
        <v>1243</v>
      </c>
      <c r="B311" t="s">
        <v>134</v>
      </c>
      <c r="C311" s="52" t="s">
        <v>1241</v>
      </c>
      <c r="D311" s="52" t="s">
        <v>1241</v>
      </c>
      <c r="E311">
        <v>0</v>
      </c>
      <c r="F311">
        <v>0</v>
      </c>
      <c r="G311" s="64">
        <v>0</v>
      </c>
      <c r="H311">
        <v>300</v>
      </c>
      <c r="I311">
        <v>300</v>
      </c>
      <c r="J311">
        <v>1</v>
      </c>
      <c r="K311">
        <v>1</v>
      </c>
      <c r="L311">
        <v>0</v>
      </c>
      <c r="M311">
        <v>2</v>
      </c>
      <c r="N311">
        <v>0</v>
      </c>
      <c r="O311">
        <v>15</v>
      </c>
      <c r="P311" s="69">
        <f t="shared" si="48"/>
        <v>83.333333333333329</v>
      </c>
      <c r="Q311" s="104" t="s">
        <v>1244</v>
      </c>
      <c r="R311" s="103">
        <v>2</v>
      </c>
      <c r="S311" s="104" t="s">
        <v>1244</v>
      </c>
      <c r="T311" s="103">
        <v>2</v>
      </c>
      <c r="U311" s="93"/>
      <c r="V311" s="81"/>
      <c r="W311" s="94"/>
      <c r="X311" s="81"/>
      <c r="Y311" s="93"/>
      <c r="Z311" s="81"/>
      <c r="AA311" s="94"/>
      <c r="AB311" s="81"/>
      <c r="AC311" s="93"/>
      <c r="AD311" s="81"/>
      <c r="AE311" s="94"/>
      <c r="AF311" s="81"/>
      <c r="AG311" s="93"/>
      <c r="AH311" s="81"/>
      <c r="AI311" s="94"/>
      <c r="AJ311" s="81"/>
      <c r="AK311" s="93"/>
      <c r="AL311" s="81"/>
      <c r="AM311" s="94"/>
      <c r="AN311" s="81"/>
      <c r="AO311" s="93"/>
      <c r="AP311" s="81"/>
      <c r="AQ311" s="94"/>
      <c r="AR311" s="81"/>
      <c r="AS311" s="94"/>
      <c r="AT311" s="306"/>
      <c r="AU311" s="94"/>
      <c r="AV311" s="306"/>
      <c r="AW311" s="94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">
        <v>1245</v>
      </c>
      <c r="B312" t="s">
        <v>134</v>
      </c>
      <c r="C312" s="52" t="s">
        <v>1241</v>
      </c>
      <c r="D312" s="52" t="s">
        <v>1241</v>
      </c>
      <c r="E312">
        <v>0</v>
      </c>
      <c r="F312">
        <v>0</v>
      </c>
      <c r="G312" s="64">
        <v>0</v>
      </c>
      <c r="H312">
        <v>300</v>
      </c>
      <c r="I312">
        <v>300</v>
      </c>
      <c r="J312">
        <v>4</v>
      </c>
      <c r="K312">
        <v>0</v>
      </c>
      <c r="L312">
        <v>0</v>
      </c>
      <c r="M312">
        <v>1</v>
      </c>
      <c r="N312">
        <v>5</v>
      </c>
      <c r="O312">
        <v>0</v>
      </c>
      <c r="P312" s="69">
        <f t="shared" si="48"/>
        <v>0</v>
      </c>
      <c r="Q312" s="93"/>
      <c r="R312" s="81"/>
      <c r="S312" s="94"/>
      <c r="T312" s="81"/>
      <c r="U312" s="93"/>
      <c r="V312" s="81"/>
      <c r="W312" s="94"/>
      <c r="X312" s="81"/>
      <c r="Y312" s="93"/>
      <c r="Z312" s="81"/>
      <c r="AA312" s="94"/>
      <c r="AB312" s="81"/>
      <c r="AC312" s="93"/>
      <c r="AD312" s="81"/>
      <c r="AE312" s="94"/>
      <c r="AF312" s="81"/>
      <c r="AG312" s="93"/>
      <c r="AH312" s="81"/>
      <c r="AI312" s="94"/>
      <c r="AJ312" s="81"/>
      <c r="AK312" s="93"/>
      <c r="AL312" s="81"/>
      <c r="AM312" s="94"/>
      <c r="AN312" s="81"/>
      <c r="AO312" s="93"/>
      <c r="AP312" s="81"/>
      <c r="AQ312" s="94"/>
      <c r="AR312" s="81"/>
      <c r="AS312" s="94"/>
      <c r="AT312" s="306"/>
      <c r="AU312" s="94"/>
      <c r="AV312" s="306"/>
      <c r="AW312" s="94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">
        <v>1246</v>
      </c>
      <c r="B313" t="s">
        <v>134</v>
      </c>
      <c r="C313" s="52" t="s">
        <v>1241</v>
      </c>
      <c r="D313" s="52" t="s">
        <v>1241</v>
      </c>
      <c r="E313">
        <v>78</v>
      </c>
      <c r="F313">
        <v>125</v>
      </c>
      <c r="G313" s="64">
        <v>0</v>
      </c>
      <c r="H313">
        <v>300</v>
      </c>
      <c r="I313">
        <v>300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29</v>
      </c>
      <c r="P313" s="69">
        <f t="shared" si="48"/>
        <v>0</v>
      </c>
      <c r="Q313" s="93"/>
      <c r="R313" s="81"/>
      <c r="S313" s="94"/>
      <c r="T313" s="81"/>
      <c r="U313" s="93"/>
      <c r="V313" s="81"/>
      <c r="W313" s="94"/>
      <c r="X313" s="81"/>
      <c r="Y313" s="93"/>
      <c r="Z313" s="81"/>
      <c r="AA313" s="94"/>
      <c r="AB313" s="81"/>
      <c r="AC313" s="93"/>
      <c r="AD313" s="81"/>
      <c r="AE313" s="94"/>
      <c r="AF313" s="81"/>
      <c r="AG313" s="93"/>
      <c r="AH313" s="81"/>
      <c r="AI313" s="94"/>
      <c r="AJ313" s="81"/>
      <c r="AK313" s="93"/>
      <c r="AL313" s="81"/>
      <c r="AM313" s="94"/>
      <c r="AN313" s="81"/>
      <c r="AO313" s="93"/>
      <c r="AP313" s="81"/>
      <c r="AQ313" s="94"/>
      <c r="AR313" s="81"/>
      <c r="AS313" s="94"/>
      <c r="AT313" s="306"/>
      <c r="AU313" s="94"/>
      <c r="AV313" s="306"/>
      <c r="AW313" s="94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">
        <v>1247</v>
      </c>
      <c r="B314" t="s">
        <v>134</v>
      </c>
      <c r="C314" s="52" t="s">
        <v>1241</v>
      </c>
      <c r="D314" s="52" t="s">
        <v>1241</v>
      </c>
      <c r="E314">
        <v>170</v>
      </c>
      <c r="F314">
        <v>170</v>
      </c>
      <c r="G314" s="64">
        <v>41834</v>
      </c>
      <c r="H314">
        <v>300</v>
      </c>
      <c r="I314">
        <v>300</v>
      </c>
      <c r="J314">
        <v>4</v>
      </c>
      <c r="K314">
        <v>2</v>
      </c>
      <c r="L314">
        <v>0</v>
      </c>
      <c r="M314">
        <v>1</v>
      </c>
      <c r="N314">
        <v>0</v>
      </c>
      <c r="O314">
        <v>0</v>
      </c>
      <c r="P314" s="69">
        <f t="shared" si="48"/>
        <v>0</v>
      </c>
      <c r="Q314" s="93"/>
      <c r="R314" s="81"/>
      <c r="S314" s="94"/>
      <c r="T314" s="81"/>
      <c r="U314" s="93"/>
      <c r="V314" s="81"/>
      <c r="W314" s="94"/>
      <c r="X314" s="81"/>
      <c r="Y314" s="93"/>
      <c r="Z314" s="81"/>
      <c r="AA314" s="94"/>
      <c r="AB314" s="81"/>
      <c r="AC314" s="93"/>
      <c r="AD314" s="81"/>
      <c r="AE314" s="94"/>
      <c r="AF314" s="81"/>
      <c r="AG314" s="93"/>
      <c r="AH314" s="81"/>
      <c r="AI314" s="94"/>
      <c r="AJ314" s="81"/>
      <c r="AK314" s="93"/>
      <c r="AL314" s="81"/>
      <c r="AM314" s="94"/>
      <c r="AN314" s="81"/>
      <c r="AO314" s="93"/>
      <c r="AP314" s="81"/>
      <c r="AQ314" s="94"/>
      <c r="AR314" s="81"/>
      <c r="AS314" s="94"/>
      <c r="AT314" s="306"/>
      <c r="AU314" s="94"/>
      <c r="AV314" s="306"/>
      <c r="AW314" s="94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">
        <v>1248</v>
      </c>
      <c r="B315" t="s">
        <v>134</v>
      </c>
      <c r="C315" s="52" t="s">
        <v>1241</v>
      </c>
      <c r="D315" s="52" t="s">
        <v>1241</v>
      </c>
      <c r="E315">
        <v>190</v>
      </c>
      <c r="F315">
        <v>190</v>
      </c>
      <c r="G315" s="64">
        <v>42789</v>
      </c>
      <c r="H315">
        <v>300</v>
      </c>
      <c r="I315">
        <v>300</v>
      </c>
      <c r="J315">
        <v>1</v>
      </c>
      <c r="K315">
        <v>1</v>
      </c>
      <c r="L315">
        <v>3</v>
      </c>
      <c r="M315">
        <v>0</v>
      </c>
      <c r="N315">
        <v>3</v>
      </c>
      <c r="O315">
        <v>0</v>
      </c>
      <c r="P315" s="69">
        <f t="shared" si="48"/>
        <v>0</v>
      </c>
      <c r="Q315" s="93"/>
      <c r="R315" s="81"/>
      <c r="S315" s="94"/>
      <c r="T315" s="81"/>
      <c r="U315" s="93"/>
      <c r="V315" s="81"/>
      <c r="W315" s="94"/>
      <c r="X315" s="81"/>
      <c r="Y315" s="93"/>
      <c r="Z315" s="81"/>
      <c r="AA315" s="94"/>
      <c r="AB315" s="81"/>
      <c r="AC315" s="93"/>
      <c r="AD315" s="81"/>
      <c r="AE315" s="94"/>
      <c r="AF315" s="81"/>
      <c r="AG315" s="93"/>
      <c r="AH315" s="81"/>
      <c r="AI315" s="94"/>
      <c r="AJ315" s="81"/>
      <c r="AK315" s="93"/>
      <c r="AL315" s="81"/>
      <c r="AM315" s="94"/>
      <c r="AN315" s="81"/>
      <c r="AO315" s="93"/>
      <c r="AP315" s="81"/>
      <c r="AQ315" s="94"/>
      <c r="AR315" s="81"/>
      <c r="AS315" s="94"/>
      <c r="AT315" s="306"/>
      <c r="AU315" s="94"/>
      <c r="AV315" s="306"/>
      <c r="AW315" s="94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">
        <v>1249</v>
      </c>
      <c r="B316" t="s">
        <v>136</v>
      </c>
      <c r="C316" s="52" t="s">
        <v>1250</v>
      </c>
      <c r="D316" s="52" t="s">
        <v>1250</v>
      </c>
      <c r="E316">
        <v>0</v>
      </c>
      <c r="F316">
        <v>0</v>
      </c>
      <c r="G316" s="64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69">
        <f t="shared" si="48"/>
        <v>0</v>
      </c>
      <c r="Q316" s="93"/>
      <c r="R316" s="81"/>
      <c r="S316" s="94"/>
      <c r="T316" s="81"/>
      <c r="U316" s="93"/>
      <c r="V316" s="81"/>
      <c r="W316" s="94"/>
      <c r="X316" s="81"/>
      <c r="Y316" s="93"/>
      <c r="Z316" s="81"/>
      <c r="AA316" s="94"/>
      <c r="AB316" s="81"/>
      <c r="AC316" s="93"/>
      <c r="AD316" s="81"/>
      <c r="AE316" s="94"/>
      <c r="AF316" s="81"/>
      <c r="AG316" s="93"/>
      <c r="AH316" s="81"/>
      <c r="AI316" s="94"/>
      <c r="AJ316" s="81"/>
      <c r="AK316" s="93"/>
      <c r="AL316" s="81"/>
      <c r="AM316" s="94"/>
      <c r="AN316" s="81"/>
      <c r="AO316" s="93"/>
      <c r="AP316" s="81"/>
      <c r="AQ316" s="94"/>
      <c r="AR316" s="81"/>
      <c r="AS316" s="94"/>
      <c r="AT316" s="306"/>
      <c r="AU316" s="94"/>
      <c r="AV316" s="306"/>
      <c r="AW316" s="94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">
        <v>1251</v>
      </c>
      <c r="B317" t="s">
        <v>136</v>
      </c>
      <c r="C317" s="52" t="s">
        <v>1250</v>
      </c>
      <c r="D317" s="52" t="s">
        <v>1250</v>
      </c>
      <c r="E317">
        <v>0</v>
      </c>
      <c r="F317">
        <v>0</v>
      </c>
      <c r="G317" s="64">
        <v>44392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30</v>
      </c>
      <c r="P317" s="69">
        <f t="shared" ref="P317:P372" si="54">SUM(AY317+BA317)</f>
        <v>145.83333333333334</v>
      </c>
      <c r="Q317" s="82" t="s">
        <v>551</v>
      </c>
      <c r="R317" s="83">
        <v>5</v>
      </c>
      <c r="S317" s="262" t="s">
        <v>552</v>
      </c>
      <c r="T317" s="261">
        <v>2</v>
      </c>
      <c r="U317" s="93"/>
      <c r="V317" s="81"/>
      <c r="W317" s="94"/>
      <c r="X317" s="81"/>
      <c r="Y317" s="93"/>
      <c r="Z317" s="81"/>
      <c r="AA317" s="94"/>
      <c r="AB317" s="81"/>
      <c r="AC317" s="93"/>
      <c r="AD317" s="81"/>
      <c r="AE317" s="94"/>
      <c r="AF317" s="81"/>
      <c r="AG317" s="93"/>
      <c r="AH317" s="81"/>
      <c r="AI317" s="94"/>
      <c r="AJ317" s="81"/>
      <c r="AK317" s="93"/>
      <c r="AL317" s="81"/>
      <c r="AM317" s="94"/>
      <c r="AN317" s="81"/>
      <c r="AO317" s="93"/>
      <c r="AP317" s="81"/>
      <c r="AQ317" s="94"/>
      <c r="AR317" s="81"/>
      <c r="AS317" s="94"/>
      <c r="AT317" s="306"/>
      <c r="AU317" s="94"/>
      <c r="AV317" s="306"/>
      <c r="AW317" s="94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">
        <v>1252</v>
      </c>
      <c r="B318" t="s">
        <v>137</v>
      </c>
      <c r="C318" s="52" t="s">
        <v>1253</v>
      </c>
      <c r="D318" s="52" t="s">
        <v>1253</v>
      </c>
      <c r="E318">
        <v>0</v>
      </c>
      <c r="F318">
        <v>0</v>
      </c>
      <c r="G318" s="64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69">
        <f t="shared" si="54"/>
        <v>0</v>
      </c>
      <c r="Q318" s="93"/>
      <c r="R318" s="81"/>
      <c r="S318" s="94"/>
      <c r="T318" s="81"/>
      <c r="U318" s="93"/>
      <c r="V318" s="81"/>
      <c r="W318" s="94"/>
      <c r="X318" s="81"/>
      <c r="Y318" s="93"/>
      <c r="Z318" s="81"/>
      <c r="AA318" s="94"/>
      <c r="AB318" s="81"/>
      <c r="AC318" s="93"/>
      <c r="AD318" s="81"/>
      <c r="AE318" s="94"/>
      <c r="AF318" s="81"/>
      <c r="AG318" s="93"/>
      <c r="AH318" s="81"/>
      <c r="AI318" s="94"/>
      <c r="AJ318" s="81"/>
      <c r="AK318" s="93"/>
      <c r="AL318" s="81"/>
      <c r="AM318" s="94"/>
      <c r="AN318" s="81"/>
      <c r="AO318" s="93"/>
      <c r="AP318" s="81"/>
      <c r="AQ318" s="94"/>
      <c r="AR318" s="81"/>
      <c r="AS318" s="94"/>
      <c r="AT318" s="306"/>
      <c r="AU318" s="94"/>
      <c r="AV318" s="306"/>
      <c r="AW318" s="94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">
        <v>1254</v>
      </c>
      <c r="B319" t="s">
        <v>137</v>
      </c>
      <c r="C319" s="52" t="s">
        <v>1253</v>
      </c>
      <c r="D319" s="52" t="s">
        <v>1253</v>
      </c>
      <c r="E319">
        <v>200</v>
      </c>
      <c r="F319">
        <v>190</v>
      </c>
      <c r="G319" s="64">
        <v>45008</v>
      </c>
      <c r="H319">
        <v>300</v>
      </c>
      <c r="I319">
        <v>300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17</v>
      </c>
      <c r="P319" s="69">
        <f t="shared" si="54"/>
        <v>41.666666666666664</v>
      </c>
      <c r="Q319" s="309" t="s">
        <v>1255</v>
      </c>
      <c r="R319" s="310">
        <v>1</v>
      </c>
      <c r="S319" s="84" t="s">
        <v>554</v>
      </c>
      <c r="T319" s="85">
        <v>1</v>
      </c>
      <c r="U319" s="84"/>
      <c r="V319" s="85"/>
      <c r="W319" s="94"/>
      <c r="X319" s="81"/>
      <c r="Y319" s="93"/>
      <c r="Z319" s="81"/>
      <c r="AA319" s="94"/>
      <c r="AB319" s="81"/>
      <c r="AC319" s="93"/>
      <c r="AD319" s="81"/>
      <c r="AE319" s="94"/>
      <c r="AF319" s="81"/>
      <c r="AG319" s="93"/>
      <c r="AH319" s="81"/>
      <c r="AI319" s="94"/>
      <c r="AJ319" s="81"/>
      <c r="AK319" s="93"/>
      <c r="AL319" s="81"/>
      <c r="AM319" s="94"/>
      <c r="AN319" s="81"/>
      <c r="AO319" s="93"/>
      <c r="AP319" s="81"/>
      <c r="AQ319" s="94"/>
      <c r="AR319" s="81"/>
      <c r="AS319" s="94"/>
      <c r="AT319" s="306"/>
      <c r="AU319" s="94"/>
      <c r="AV319" s="306"/>
      <c r="AW319" s="94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">
        <v>1256</v>
      </c>
      <c r="B320" t="s">
        <v>147</v>
      </c>
      <c r="C320" s="52" t="s">
        <v>1257</v>
      </c>
      <c r="D320" s="52" t="s">
        <v>1257</v>
      </c>
      <c r="E320">
        <v>50</v>
      </c>
      <c r="F320">
        <v>52</v>
      </c>
      <c r="G320" s="64">
        <v>45133</v>
      </c>
      <c r="H320">
        <v>300</v>
      </c>
      <c r="I320">
        <v>300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69">
        <f t="shared" si="54"/>
        <v>145.83333333333334</v>
      </c>
      <c r="Q320" s="82" t="s">
        <v>568</v>
      </c>
      <c r="R320" s="83">
        <v>3</v>
      </c>
      <c r="S320" s="86" t="s">
        <v>569</v>
      </c>
      <c r="T320" s="288">
        <v>4</v>
      </c>
      <c r="U320" s="93"/>
      <c r="V320" s="81"/>
      <c r="W320" s="94"/>
      <c r="X320" s="81"/>
      <c r="Y320" s="93"/>
      <c r="Z320" s="81"/>
      <c r="AA320" s="94"/>
      <c r="AB320" s="81"/>
      <c r="AC320" s="93"/>
      <c r="AD320" s="81"/>
      <c r="AE320" s="94"/>
      <c r="AF320" s="81"/>
      <c r="AG320" s="93"/>
      <c r="AH320" s="81"/>
      <c r="AI320" s="94"/>
      <c r="AJ320" s="81"/>
      <c r="AK320" s="93"/>
      <c r="AL320" s="81"/>
      <c r="AM320" s="94"/>
      <c r="AN320" s="81"/>
      <c r="AO320" s="93"/>
      <c r="AP320" s="81"/>
      <c r="AQ320" s="94"/>
      <c r="AR320" s="81"/>
      <c r="AS320" s="94"/>
      <c r="AT320" s="306"/>
      <c r="AU320" s="94"/>
      <c r="AV320" s="306"/>
      <c r="AW320" s="94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">
        <v>1258</v>
      </c>
      <c r="B321" t="s">
        <v>162</v>
      </c>
      <c r="C321" s="52" t="s">
        <v>1259</v>
      </c>
      <c r="D321" s="52" t="s">
        <v>1259</v>
      </c>
      <c r="E321">
        <v>110</v>
      </c>
      <c r="F321">
        <v>100</v>
      </c>
      <c r="G321" s="64">
        <v>44838</v>
      </c>
      <c r="H321">
        <v>300</v>
      </c>
      <c r="I321">
        <v>300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 s="69">
        <f t="shared" si="54"/>
        <v>0</v>
      </c>
      <c r="Q321" s="93"/>
      <c r="R321" s="81"/>
      <c r="S321" s="94"/>
      <c r="T321" s="81"/>
      <c r="U321" s="93"/>
      <c r="V321" s="81"/>
      <c r="W321" s="94"/>
      <c r="X321" s="81"/>
      <c r="Y321" s="93"/>
      <c r="Z321" s="81"/>
      <c r="AA321" s="94"/>
      <c r="AB321" s="81"/>
      <c r="AC321" s="93"/>
      <c r="AD321" s="81"/>
      <c r="AE321" s="94"/>
      <c r="AF321" s="81"/>
      <c r="AG321" s="93"/>
      <c r="AH321" s="81"/>
      <c r="AI321" s="94"/>
      <c r="AJ321" s="81"/>
      <c r="AK321" s="93"/>
      <c r="AL321" s="81"/>
      <c r="AM321" s="94"/>
      <c r="AN321" s="81"/>
      <c r="AO321" s="93"/>
      <c r="AP321" s="81"/>
      <c r="AQ321" s="94"/>
      <c r="AR321" s="81"/>
      <c r="AS321" s="94"/>
      <c r="AT321" s="306"/>
      <c r="AU321" s="94"/>
      <c r="AV321" s="306"/>
      <c r="AW321" s="94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">
        <v>1260</v>
      </c>
      <c r="B322" t="s">
        <v>162</v>
      </c>
      <c r="C322" s="52" t="s">
        <v>1259</v>
      </c>
      <c r="D322" s="52" t="s">
        <v>1259</v>
      </c>
      <c r="E322">
        <v>30</v>
      </c>
      <c r="F322">
        <v>30</v>
      </c>
      <c r="G322" s="64">
        <v>0</v>
      </c>
      <c r="H322">
        <v>300</v>
      </c>
      <c r="I322">
        <v>300</v>
      </c>
      <c r="J322">
        <v>6</v>
      </c>
      <c r="K322">
        <v>0</v>
      </c>
      <c r="L322">
        <v>0</v>
      </c>
      <c r="M322">
        <v>21</v>
      </c>
      <c r="N322">
        <v>10</v>
      </c>
      <c r="O322">
        <v>0</v>
      </c>
      <c r="P322" s="69">
        <f t="shared" si="54"/>
        <v>83.333333333333329</v>
      </c>
      <c r="Q322" s="104" t="s">
        <v>601</v>
      </c>
      <c r="R322" s="103">
        <v>2</v>
      </c>
      <c r="S322" s="104" t="s">
        <v>601</v>
      </c>
      <c r="T322" s="103">
        <v>2</v>
      </c>
      <c r="U322" s="93"/>
      <c r="V322" s="81"/>
      <c r="W322" s="94"/>
      <c r="X322" s="81"/>
      <c r="Y322" s="93"/>
      <c r="Z322" s="81"/>
      <c r="AA322" s="94"/>
      <c r="AB322" s="81"/>
      <c r="AC322" s="93"/>
      <c r="AD322" s="81"/>
      <c r="AE322" s="94"/>
      <c r="AF322" s="81"/>
      <c r="AG322" s="93"/>
      <c r="AH322" s="81"/>
      <c r="AI322" s="94"/>
      <c r="AJ322" s="81"/>
      <c r="AK322" s="93"/>
      <c r="AL322" s="81"/>
      <c r="AM322" s="94"/>
      <c r="AN322" s="81"/>
      <c r="AO322" s="93"/>
      <c r="AP322" s="81"/>
      <c r="AQ322" s="94"/>
      <c r="AR322" s="81"/>
      <c r="AS322" s="94"/>
      <c r="AT322" s="306"/>
      <c r="AU322" s="94"/>
      <c r="AV322" s="306"/>
      <c r="AW322" s="94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">
        <v>1261</v>
      </c>
      <c r="B323" t="s">
        <v>206</v>
      </c>
      <c r="C323" s="52" t="s">
        <v>1262</v>
      </c>
      <c r="D323" s="52" t="s">
        <v>1262</v>
      </c>
      <c r="E323">
        <v>37</v>
      </c>
      <c r="F323">
        <v>37</v>
      </c>
      <c r="G323" s="64">
        <v>41834</v>
      </c>
      <c r="H323">
        <v>300</v>
      </c>
      <c r="I323">
        <v>300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69">
        <f t="shared" si="54"/>
        <v>83.333333333333329</v>
      </c>
      <c r="Q323" s="84" t="s">
        <v>670</v>
      </c>
      <c r="R323" s="85">
        <v>4</v>
      </c>
      <c r="S323" s="94"/>
      <c r="T323" s="81"/>
      <c r="U323" s="93"/>
      <c r="V323" s="81"/>
      <c r="W323" s="94"/>
      <c r="X323" s="81"/>
      <c r="Y323" s="93"/>
      <c r="Z323" s="81"/>
      <c r="AA323" s="94"/>
      <c r="AB323" s="81"/>
      <c r="AC323" s="93"/>
      <c r="AD323" s="81"/>
      <c r="AE323" s="94"/>
      <c r="AF323" s="81"/>
      <c r="AG323" s="93"/>
      <c r="AH323" s="81"/>
      <c r="AI323" s="94"/>
      <c r="AJ323" s="81"/>
      <c r="AK323" s="93"/>
      <c r="AL323" s="81"/>
      <c r="AM323" s="94"/>
      <c r="AN323" s="81"/>
      <c r="AO323" s="93"/>
      <c r="AP323" s="81"/>
      <c r="AQ323" s="94"/>
      <c r="AR323" s="81"/>
      <c r="AS323" s="94"/>
      <c r="AT323" s="306"/>
      <c r="AU323" s="94"/>
      <c r="AV323" s="306"/>
      <c r="AW323" s="94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">
        <v>1263</v>
      </c>
      <c r="B324" t="s">
        <v>238</v>
      </c>
      <c r="C324" s="52" t="s">
        <v>1264</v>
      </c>
      <c r="D324" s="52" t="s">
        <v>1264</v>
      </c>
      <c r="E324">
        <v>0</v>
      </c>
      <c r="F324">
        <v>0</v>
      </c>
      <c r="G324" s="64">
        <v>0</v>
      </c>
      <c r="H324">
        <v>300</v>
      </c>
      <c r="I324">
        <v>300</v>
      </c>
      <c r="J324">
        <v>0</v>
      </c>
      <c r="K324">
        <v>1</v>
      </c>
      <c r="L324">
        <v>2</v>
      </c>
      <c r="M324">
        <v>0</v>
      </c>
      <c r="N324">
        <v>0</v>
      </c>
      <c r="O324">
        <v>0</v>
      </c>
      <c r="P324" s="69">
        <f t="shared" si="54"/>
        <v>62.5</v>
      </c>
      <c r="Q324" s="82" t="s">
        <v>718</v>
      </c>
      <c r="R324" s="83">
        <v>3</v>
      </c>
      <c r="S324" s="94"/>
      <c r="T324" s="81"/>
      <c r="U324" s="93"/>
      <c r="V324" s="81"/>
      <c r="W324" s="94"/>
      <c r="X324" s="81"/>
      <c r="Y324" s="93"/>
      <c r="Z324" s="81"/>
      <c r="AA324" s="94"/>
      <c r="AB324" s="81"/>
      <c r="AC324" s="93"/>
      <c r="AD324" s="81"/>
      <c r="AE324" s="94"/>
      <c r="AF324" s="81"/>
      <c r="AG324" s="93"/>
      <c r="AH324" s="81"/>
      <c r="AI324" s="94"/>
      <c r="AJ324" s="81"/>
      <c r="AK324" s="93"/>
      <c r="AL324" s="81"/>
      <c r="AM324" s="94"/>
      <c r="AN324" s="81"/>
      <c r="AO324" s="93"/>
      <c r="AP324" s="81"/>
      <c r="AQ324" s="94"/>
      <c r="AR324" s="81"/>
      <c r="AS324" s="94"/>
      <c r="AT324" s="306"/>
      <c r="AU324" s="94"/>
      <c r="AV324" s="306"/>
      <c r="AW324" s="94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">
        <v>1265</v>
      </c>
      <c r="B325" t="s">
        <v>30</v>
      </c>
      <c r="C325" s="52" t="s">
        <v>1266</v>
      </c>
      <c r="D325" s="52" t="s">
        <v>1266</v>
      </c>
      <c r="E325">
        <v>0</v>
      </c>
      <c r="F325">
        <v>0</v>
      </c>
      <c r="G325" s="64">
        <v>0</v>
      </c>
      <c r="H325">
        <v>300</v>
      </c>
      <c r="I325" s="316">
        <v>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69">
        <f t="shared" si="54"/>
        <v>0</v>
      </c>
      <c r="Q325" s="93"/>
      <c r="R325" s="81"/>
      <c r="S325" s="94"/>
      <c r="T325" s="81"/>
      <c r="U325" s="93"/>
      <c r="V325" s="81"/>
      <c r="W325" s="94"/>
      <c r="X325" s="81"/>
      <c r="Y325" s="93"/>
      <c r="Z325" s="81"/>
      <c r="AA325" s="94"/>
      <c r="AB325" s="81"/>
      <c r="AC325" s="93"/>
      <c r="AD325" s="81"/>
      <c r="AE325" s="94"/>
      <c r="AF325" s="81"/>
      <c r="AG325" s="93"/>
      <c r="AH325" s="81"/>
      <c r="AI325" s="94"/>
      <c r="AJ325" s="81"/>
      <c r="AK325" s="93"/>
      <c r="AL325" s="81"/>
      <c r="AM325" s="94"/>
      <c r="AN325" s="81"/>
      <c r="AO325" s="93"/>
      <c r="AP325" s="81"/>
      <c r="AQ325" s="94"/>
      <c r="AR325" s="81"/>
      <c r="AS325" s="94"/>
      <c r="AT325" s="306"/>
      <c r="AU325" s="94"/>
      <c r="AV325" s="306"/>
      <c r="AW325" s="94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">
        <v>1267</v>
      </c>
      <c r="B326" t="s">
        <v>30</v>
      </c>
      <c r="C326" s="52" t="s">
        <v>1266</v>
      </c>
      <c r="D326" s="52" t="s">
        <v>1266</v>
      </c>
      <c r="E326">
        <v>0</v>
      </c>
      <c r="F326">
        <v>0</v>
      </c>
      <c r="G326" s="64">
        <v>0</v>
      </c>
      <c r="H326">
        <v>160</v>
      </c>
      <c r="I326">
        <v>300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 s="69">
        <f t="shared" si="54"/>
        <v>0</v>
      </c>
      <c r="Q326" s="93"/>
      <c r="R326" s="81"/>
      <c r="S326" s="94"/>
      <c r="T326" s="81"/>
      <c r="U326" s="93"/>
      <c r="V326" s="81"/>
      <c r="W326" s="94"/>
      <c r="X326" s="81"/>
      <c r="Y326" s="93"/>
      <c r="Z326" s="81"/>
      <c r="AA326" s="94"/>
      <c r="AB326" s="81"/>
      <c r="AC326" s="93"/>
      <c r="AD326" s="81"/>
      <c r="AE326" s="94"/>
      <c r="AF326" s="81"/>
      <c r="AG326" s="93"/>
      <c r="AH326" s="81"/>
      <c r="AI326" s="94"/>
      <c r="AJ326" s="81"/>
      <c r="AK326" s="93"/>
      <c r="AL326" s="81"/>
      <c r="AM326" s="94"/>
      <c r="AN326" s="81"/>
      <c r="AO326" s="93"/>
      <c r="AP326" s="81"/>
      <c r="AQ326" s="94"/>
      <c r="AR326" s="81"/>
      <c r="AS326" s="94"/>
      <c r="AT326" s="306"/>
      <c r="AU326" s="94"/>
      <c r="AV326" s="306"/>
      <c r="AW326" s="94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">
        <v>1268</v>
      </c>
      <c r="B327" t="s">
        <v>79</v>
      </c>
      <c r="C327" s="52" t="s">
        <v>1269</v>
      </c>
      <c r="D327" s="52" t="s">
        <v>1269</v>
      </c>
      <c r="E327">
        <v>60</v>
      </c>
      <c r="F327">
        <v>70</v>
      </c>
      <c r="G327" s="64">
        <v>45097</v>
      </c>
      <c r="H327">
        <v>300</v>
      </c>
      <c r="I327">
        <v>300</v>
      </c>
      <c r="J327">
        <v>4</v>
      </c>
      <c r="K327">
        <v>6</v>
      </c>
      <c r="L327">
        <v>0</v>
      </c>
      <c r="M327">
        <v>13</v>
      </c>
      <c r="N327">
        <v>11</v>
      </c>
      <c r="O327">
        <v>1</v>
      </c>
      <c r="P327" s="69">
        <f t="shared" si="54"/>
        <v>20.833333333333332</v>
      </c>
      <c r="Q327" s="266" t="s">
        <v>458</v>
      </c>
      <c r="R327" s="267">
        <v>1</v>
      </c>
      <c r="S327" s="94"/>
      <c r="T327" s="81"/>
      <c r="U327" s="93"/>
      <c r="V327" s="81"/>
      <c r="W327" s="94"/>
      <c r="X327" s="81"/>
      <c r="Y327" s="93"/>
      <c r="Z327" s="81"/>
      <c r="AA327" s="94"/>
      <c r="AB327" s="81"/>
      <c r="AC327" s="93"/>
      <c r="AD327" s="81"/>
      <c r="AE327" s="94"/>
      <c r="AF327" s="81"/>
      <c r="AG327" s="93"/>
      <c r="AH327" s="81"/>
      <c r="AI327" s="94"/>
      <c r="AJ327" s="81"/>
      <c r="AK327" s="93"/>
      <c r="AL327" s="81"/>
      <c r="AM327" s="94"/>
      <c r="AN327" s="81"/>
      <c r="AO327" s="93"/>
      <c r="AP327" s="81"/>
      <c r="AQ327" s="94"/>
      <c r="AR327" s="81"/>
      <c r="AS327" s="94"/>
      <c r="AT327" s="306"/>
      <c r="AU327" s="94"/>
      <c r="AV327" s="306"/>
      <c r="AW327" s="94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">
        <v>1270</v>
      </c>
      <c r="B328" t="s">
        <v>79</v>
      </c>
      <c r="C328" s="52" t="s">
        <v>1269</v>
      </c>
      <c r="D328" s="52" t="s">
        <v>1269</v>
      </c>
      <c r="E328">
        <v>15</v>
      </c>
      <c r="F328">
        <v>0</v>
      </c>
      <c r="G328" s="64">
        <v>45097</v>
      </c>
      <c r="H328">
        <v>300</v>
      </c>
      <c r="I328">
        <v>300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69">
        <f t="shared" si="54"/>
        <v>0</v>
      </c>
      <c r="Q328" s="93"/>
      <c r="R328" s="81"/>
      <c r="S328" s="94"/>
      <c r="T328" s="81"/>
      <c r="U328" s="93"/>
      <c r="V328" s="81"/>
      <c r="W328" s="94"/>
      <c r="X328" s="81"/>
      <c r="Y328" s="93"/>
      <c r="Z328" s="81"/>
      <c r="AA328" s="94"/>
      <c r="AB328" s="81"/>
      <c r="AC328" s="93"/>
      <c r="AD328" s="81"/>
      <c r="AE328" s="94"/>
      <c r="AF328" s="81"/>
      <c r="AG328" s="93"/>
      <c r="AH328" s="81"/>
      <c r="AI328" s="94"/>
      <c r="AJ328" s="81"/>
      <c r="AK328" s="93"/>
      <c r="AL328" s="81"/>
      <c r="AM328" s="94"/>
      <c r="AN328" s="81"/>
      <c r="AO328" s="93"/>
      <c r="AP328" s="81"/>
      <c r="AQ328" s="94"/>
      <c r="AR328" s="81"/>
      <c r="AS328" s="94"/>
      <c r="AT328" s="306"/>
      <c r="AU328" s="94"/>
      <c r="AV328" s="306"/>
      <c r="AW328" s="94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">
        <v>1271</v>
      </c>
      <c r="B329" t="s">
        <v>126</v>
      </c>
      <c r="C329" s="52" t="s">
        <v>1272</v>
      </c>
      <c r="D329" s="52" t="s">
        <v>1272</v>
      </c>
      <c r="E329">
        <v>20</v>
      </c>
      <c r="F329">
        <v>20</v>
      </c>
      <c r="G329" s="64">
        <v>45097</v>
      </c>
      <c r="H329">
        <v>300</v>
      </c>
      <c r="I329">
        <v>300</v>
      </c>
      <c r="J329">
        <v>6</v>
      </c>
      <c r="K329">
        <v>6</v>
      </c>
      <c r="L329">
        <v>0</v>
      </c>
      <c r="M329">
        <v>19</v>
      </c>
      <c r="N329">
        <v>11</v>
      </c>
      <c r="O329">
        <v>0</v>
      </c>
      <c r="P329" s="69">
        <f t="shared" si="54"/>
        <v>0</v>
      </c>
      <c r="Q329" s="93"/>
      <c r="R329" s="81"/>
      <c r="S329" s="94"/>
      <c r="T329" s="81"/>
      <c r="U329" s="93"/>
      <c r="V329" s="81"/>
      <c r="W329" s="94"/>
      <c r="X329" s="81"/>
      <c r="Y329" s="93"/>
      <c r="Z329" s="81"/>
      <c r="AA329" s="94"/>
      <c r="AB329" s="81"/>
      <c r="AC329" s="93"/>
      <c r="AD329" s="81"/>
      <c r="AE329" s="94"/>
      <c r="AF329" s="81"/>
      <c r="AG329" s="93"/>
      <c r="AH329" s="81"/>
      <c r="AI329" s="94"/>
      <c r="AJ329" s="81"/>
      <c r="AK329" s="93"/>
      <c r="AL329" s="81"/>
      <c r="AM329" s="94"/>
      <c r="AN329" s="81"/>
      <c r="AO329" s="93"/>
      <c r="AP329" s="81"/>
      <c r="AQ329" s="94"/>
      <c r="AR329" s="81"/>
      <c r="AS329" s="94"/>
      <c r="AT329" s="306"/>
      <c r="AU329" s="94"/>
      <c r="AV329" s="306"/>
      <c r="AW329" s="94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">
        <v>1273</v>
      </c>
      <c r="B330" t="s">
        <v>143</v>
      </c>
      <c r="C330" s="52" t="s">
        <v>1274</v>
      </c>
      <c r="D330" s="52" t="s">
        <v>1274</v>
      </c>
      <c r="E330">
        <v>80</v>
      </c>
      <c r="F330">
        <v>70</v>
      </c>
      <c r="G330" s="64">
        <v>44880</v>
      </c>
      <c r="H330">
        <v>300</v>
      </c>
      <c r="I330">
        <v>300</v>
      </c>
      <c r="J330">
        <v>5</v>
      </c>
      <c r="K330">
        <v>6</v>
      </c>
      <c r="L330">
        <v>4</v>
      </c>
      <c r="M330">
        <v>8</v>
      </c>
      <c r="N330">
        <v>9</v>
      </c>
      <c r="O330">
        <v>0</v>
      </c>
      <c r="P330" s="69">
        <f t="shared" si="54"/>
        <v>20.833333333333332</v>
      </c>
      <c r="Q330" s="309" t="s">
        <v>559</v>
      </c>
      <c r="R330" s="310">
        <v>1</v>
      </c>
      <c r="S330" s="94"/>
      <c r="T330" s="81"/>
      <c r="U330" s="93"/>
      <c r="V330" s="81"/>
      <c r="W330" s="94"/>
      <c r="X330" s="81"/>
      <c r="Y330" s="93"/>
      <c r="Z330" s="81"/>
      <c r="AA330" s="94"/>
      <c r="AB330" s="81"/>
      <c r="AC330" s="93"/>
      <c r="AD330" s="81"/>
      <c r="AE330" s="94"/>
      <c r="AF330" s="81"/>
      <c r="AG330" s="93"/>
      <c r="AH330" s="81"/>
      <c r="AI330" s="94"/>
      <c r="AJ330" s="81"/>
      <c r="AK330" s="93"/>
      <c r="AL330" s="81"/>
      <c r="AM330" s="94"/>
      <c r="AN330" s="81"/>
      <c r="AO330" s="93"/>
      <c r="AP330" s="81"/>
      <c r="AQ330" s="94"/>
      <c r="AR330" s="81"/>
      <c r="AS330" s="94"/>
      <c r="AT330" s="306"/>
      <c r="AU330" s="94"/>
      <c r="AV330" s="306"/>
      <c r="AW330" s="94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">
        <v>1275</v>
      </c>
      <c r="B331" t="s">
        <v>143</v>
      </c>
      <c r="C331" s="52" t="s">
        <v>1274</v>
      </c>
      <c r="D331" s="52" t="s">
        <v>1274</v>
      </c>
      <c r="E331">
        <v>32</v>
      </c>
      <c r="F331">
        <v>38</v>
      </c>
      <c r="G331" s="64">
        <v>44880</v>
      </c>
      <c r="H331">
        <v>300</v>
      </c>
      <c r="I331">
        <v>300</v>
      </c>
      <c r="J331">
        <v>6</v>
      </c>
      <c r="K331">
        <v>6</v>
      </c>
      <c r="L331">
        <v>0</v>
      </c>
      <c r="M331">
        <v>19</v>
      </c>
      <c r="N331">
        <v>11</v>
      </c>
      <c r="O331">
        <v>0</v>
      </c>
      <c r="P331" s="69">
        <f t="shared" si="54"/>
        <v>0</v>
      </c>
      <c r="Q331" s="93"/>
      <c r="R331" s="81"/>
      <c r="S331" s="94"/>
      <c r="T331" s="81"/>
      <c r="U331" s="93"/>
      <c r="V331" s="81"/>
      <c r="W331" s="94"/>
      <c r="X331" s="81"/>
      <c r="Y331" s="93"/>
      <c r="Z331" s="81"/>
      <c r="AA331" s="94"/>
      <c r="AB331" s="81"/>
      <c r="AC331" s="93"/>
      <c r="AD331" s="81"/>
      <c r="AE331" s="94"/>
      <c r="AF331" s="81"/>
      <c r="AG331" s="93"/>
      <c r="AH331" s="81"/>
      <c r="AI331" s="94"/>
      <c r="AJ331" s="81"/>
      <c r="AK331" s="93"/>
      <c r="AL331" s="81"/>
      <c r="AM331" s="94"/>
      <c r="AN331" s="81"/>
      <c r="AO331" s="93"/>
      <c r="AP331" s="81"/>
      <c r="AQ331" s="94"/>
      <c r="AR331" s="81"/>
      <c r="AS331" s="94"/>
      <c r="AT331" s="306"/>
      <c r="AU331" s="94"/>
      <c r="AV331" s="306"/>
      <c r="AW331" s="94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">
        <v>1276</v>
      </c>
      <c r="B332" t="s">
        <v>140</v>
      </c>
      <c r="C332" s="52" t="s">
        <v>1277</v>
      </c>
      <c r="D332" s="52" t="s">
        <v>1277</v>
      </c>
      <c r="E332">
        <v>135</v>
      </c>
      <c r="F332">
        <v>140</v>
      </c>
      <c r="G332" s="64">
        <v>45090</v>
      </c>
      <c r="H332">
        <v>300</v>
      </c>
      <c r="I332">
        <v>300</v>
      </c>
      <c r="J332">
        <v>5</v>
      </c>
      <c r="K332">
        <v>1</v>
      </c>
      <c r="L332">
        <v>0</v>
      </c>
      <c r="M332">
        <v>10</v>
      </c>
      <c r="N332">
        <v>2</v>
      </c>
      <c r="O332">
        <v>0</v>
      </c>
      <c r="P332" s="69">
        <f t="shared" si="54"/>
        <v>41.666666666666664</v>
      </c>
      <c r="Q332" s="109" t="s">
        <v>557</v>
      </c>
      <c r="R332" s="261">
        <v>1</v>
      </c>
      <c r="S332" s="102" t="s">
        <v>558</v>
      </c>
      <c r="T332" s="103">
        <v>1</v>
      </c>
      <c r="U332" s="93"/>
      <c r="V332" s="81"/>
      <c r="W332" s="94"/>
      <c r="X332" s="81"/>
      <c r="Y332" s="93"/>
      <c r="Z332" s="81"/>
      <c r="AA332" s="94"/>
      <c r="AB332" s="81"/>
      <c r="AC332" s="93"/>
      <c r="AD332" s="81"/>
      <c r="AE332" s="94"/>
      <c r="AF332" s="81"/>
      <c r="AG332" s="93"/>
      <c r="AH332" s="81"/>
      <c r="AI332" s="94"/>
      <c r="AJ332" s="81"/>
      <c r="AK332" s="93"/>
      <c r="AL332" s="81"/>
      <c r="AM332" s="94"/>
      <c r="AN332" s="81"/>
      <c r="AO332" s="93"/>
      <c r="AP332" s="81"/>
      <c r="AQ332" s="94"/>
      <c r="AR332" s="81"/>
      <c r="AS332" s="94"/>
      <c r="AT332" s="306"/>
      <c r="AU332" s="94"/>
      <c r="AV332" s="306"/>
      <c r="AW332" s="94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">
        <v>1278</v>
      </c>
      <c r="B333" t="s">
        <v>151</v>
      </c>
      <c r="C333" s="52" t="s">
        <v>1279</v>
      </c>
      <c r="D333" s="52" t="s">
        <v>1279</v>
      </c>
      <c r="E333">
        <v>60</v>
      </c>
      <c r="F333">
        <v>60</v>
      </c>
      <c r="G333" s="64">
        <v>45007</v>
      </c>
      <c r="H333">
        <v>300</v>
      </c>
      <c r="I333">
        <v>300</v>
      </c>
      <c r="J333">
        <v>3</v>
      </c>
      <c r="K333">
        <v>0</v>
      </c>
      <c r="L333">
        <v>3</v>
      </c>
      <c r="M333">
        <v>0</v>
      </c>
      <c r="N333">
        <v>0</v>
      </c>
      <c r="O333">
        <v>33</v>
      </c>
      <c r="P333" s="69">
        <f t="shared" si="54"/>
        <v>166.66666666666666</v>
      </c>
      <c r="Q333" s="82" t="s">
        <v>576</v>
      </c>
      <c r="R333" s="83">
        <v>3</v>
      </c>
      <c r="S333" s="102" t="s">
        <v>577</v>
      </c>
      <c r="T333" s="103">
        <v>1</v>
      </c>
      <c r="U333" s="109" t="s">
        <v>1280</v>
      </c>
      <c r="V333" s="261">
        <v>4</v>
      </c>
      <c r="W333" s="94"/>
      <c r="X333" s="81"/>
      <c r="Y333" s="93"/>
      <c r="Z333" s="81"/>
      <c r="AA333" s="94"/>
      <c r="AB333" s="81"/>
      <c r="AC333" s="93"/>
      <c r="AD333" s="81"/>
      <c r="AE333" s="94"/>
      <c r="AF333" s="81"/>
      <c r="AG333" s="93"/>
      <c r="AH333" s="81"/>
      <c r="AI333" s="94"/>
      <c r="AJ333" s="81"/>
      <c r="AK333" s="93"/>
      <c r="AL333" s="81"/>
      <c r="AM333" s="94"/>
      <c r="AN333" s="81"/>
      <c r="AO333" s="93"/>
      <c r="AP333" s="81"/>
      <c r="AQ333" s="94"/>
      <c r="AR333" s="81"/>
      <c r="AS333" s="94"/>
      <c r="AT333" s="306"/>
      <c r="AU333" s="94"/>
      <c r="AV333" s="306"/>
      <c r="AW333" s="94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">
        <v>1281</v>
      </c>
      <c r="B334" t="s">
        <v>151</v>
      </c>
      <c r="C334" s="52" t="s">
        <v>1279</v>
      </c>
      <c r="D334" s="52" t="s">
        <v>1279</v>
      </c>
      <c r="E334" t="s">
        <v>829</v>
      </c>
      <c r="F334" t="s">
        <v>829</v>
      </c>
      <c r="G334" s="64">
        <v>45007</v>
      </c>
      <c r="H334">
        <v>300</v>
      </c>
      <c r="I334">
        <v>300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 s="69">
        <f t="shared" si="54"/>
        <v>0</v>
      </c>
      <c r="Q334" s="93"/>
      <c r="R334" s="81"/>
      <c r="S334" s="94"/>
      <c r="T334" s="81"/>
      <c r="U334" s="93"/>
      <c r="V334" s="81"/>
      <c r="W334" s="94"/>
      <c r="X334" s="81"/>
      <c r="Y334" s="93"/>
      <c r="Z334" s="81"/>
      <c r="AA334" s="94"/>
      <c r="AB334" s="81"/>
      <c r="AC334" s="93"/>
      <c r="AD334" s="81"/>
      <c r="AE334" s="94"/>
      <c r="AF334" s="81"/>
      <c r="AG334" s="93"/>
      <c r="AH334" s="81"/>
      <c r="AI334" s="94"/>
      <c r="AJ334" s="81"/>
      <c r="AK334" s="93"/>
      <c r="AL334" s="81"/>
      <c r="AM334" s="94"/>
      <c r="AN334" s="81"/>
      <c r="AO334" s="93"/>
      <c r="AP334" s="81"/>
      <c r="AQ334" s="94"/>
      <c r="AR334" s="81"/>
      <c r="AS334" s="94"/>
      <c r="AT334" s="306"/>
      <c r="AU334" s="94"/>
      <c r="AV334" s="306"/>
      <c r="AW334" s="94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">
        <v>1282</v>
      </c>
      <c r="B335" t="s">
        <v>151</v>
      </c>
      <c r="C335" s="52" t="s">
        <v>1279</v>
      </c>
      <c r="D335" s="52" t="s">
        <v>1279</v>
      </c>
      <c r="E335" t="s">
        <v>829</v>
      </c>
      <c r="F335" t="s">
        <v>829</v>
      </c>
      <c r="G335" s="64">
        <v>45007</v>
      </c>
      <c r="H335">
        <v>200</v>
      </c>
      <c r="I335">
        <v>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69">
        <f t="shared" si="54"/>
        <v>0</v>
      </c>
      <c r="Q335" s="93"/>
      <c r="R335" s="81"/>
      <c r="S335" s="94"/>
      <c r="T335" s="81"/>
      <c r="U335" s="93"/>
      <c r="V335" s="81"/>
      <c r="W335" s="94"/>
      <c r="X335" s="81"/>
      <c r="Y335" s="93"/>
      <c r="Z335" s="81"/>
      <c r="AA335" s="94"/>
      <c r="AB335" s="81"/>
      <c r="AC335" s="93"/>
      <c r="AD335" s="81"/>
      <c r="AE335" s="94"/>
      <c r="AF335" s="81"/>
      <c r="AG335" s="93"/>
      <c r="AH335" s="81"/>
      <c r="AI335" s="94"/>
      <c r="AJ335" s="81"/>
      <c r="AK335" s="93"/>
      <c r="AL335" s="81"/>
      <c r="AM335" s="94"/>
      <c r="AN335" s="81"/>
      <c r="AO335" s="93"/>
      <c r="AP335" s="81"/>
      <c r="AQ335" s="94"/>
      <c r="AR335" s="81"/>
      <c r="AS335" s="94"/>
      <c r="AT335" s="306"/>
      <c r="AU335" s="94"/>
      <c r="AV335" s="306"/>
      <c r="AW335" s="94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">
        <v>1283</v>
      </c>
      <c r="B336" t="s">
        <v>151</v>
      </c>
      <c r="C336" s="52" t="s">
        <v>1279</v>
      </c>
      <c r="D336" s="52" t="s">
        <v>1279</v>
      </c>
      <c r="E336" t="s">
        <v>829</v>
      </c>
      <c r="F336">
        <v>0</v>
      </c>
      <c r="G336" s="64">
        <v>45007</v>
      </c>
      <c r="H336">
        <v>300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0</v>
      </c>
      <c r="O336">
        <v>0</v>
      </c>
      <c r="P336" s="69">
        <f t="shared" si="54"/>
        <v>0</v>
      </c>
      <c r="Q336" s="93"/>
      <c r="R336" s="81"/>
      <c r="S336" s="94"/>
      <c r="T336" s="81"/>
      <c r="U336" s="93"/>
      <c r="V336" s="81"/>
      <c r="W336" s="94"/>
      <c r="X336" s="81"/>
      <c r="Y336" s="93"/>
      <c r="Z336" s="81"/>
      <c r="AA336" s="94"/>
      <c r="AB336" s="81"/>
      <c r="AC336" s="93"/>
      <c r="AD336" s="81"/>
      <c r="AE336" s="94"/>
      <c r="AF336" s="81"/>
      <c r="AG336" s="93"/>
      <c r="AH336" s="81"/>
      <c r="AI336" s="94"/>
      <c r="AJ336" s="81"/>
      <c r="AK336" s="93"/>
      <c r="AL336" s="81"/>
      <c r="AM336" s="94"/>
      <c r="AN336" s="81"/>
      <c r="AO336" s="93"/>
      <c r="AP336" s="81"/>
      <c r="AQ336" s="94"/>
      <c r="AR336" s="81"/>
      <c r="AS336" s="94"/>
      <c r="AT336" s="306"/>
      <c r="AU336" s="94"/>
      <c r="AV336" s="306"/>
      <c r="AW336" s="94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">
        <v>1284</v>
      </c>
      <c r="B337" t="s">
        <v>168</v>
      </c>
      <c r="C337" s="52" t="s">
        <v>1285</v>
      </c>
      <c r="D337" s="52" t="s">
        <v>1285</v>
      </c>
      <c r="E337">
        <v>120</v>
      </c>
      <c r="F337">
        <v>170</v>
      </c>
      <c r="G337" s="64">
        <v>44264</v>
      </c>
      <c r="H337">
        <v>300</v>
      </c>
      <c r="I337">
        <v>300</v>
      </c>
      <c r="J337">
        <v>0</v>
      </c>
      <c r="K337">
        <v>6</v>
      </c>
      <c r="L337">
        <v>0</v>
      </c>
      <c r="M337">
        <v>7</v>
      </c>
      <c r="N337">
        <v>9</v>
      </c>
      <c r="O337">
        <v>0</v>
      </c>
      <c r="P337" s="69">
        <f t="shared" si="54"/>
        <v>20.833333333333332</v>
      </c>
      <c r="Q337" s="109" t="s">
        <v>1286</v>
      </c>
      <c r="R337" s="261">
        <v>1</v>
      </c>
      <c r="S337" s="104"/>
      <c r="T337" s="103"/>
      <c r="U337" s="93"/>
      <c r="V337" s="81"/>
      <c r="W337" s="94"/>
      <c r="X337" s="81"/>
      <c r="Y337" s="93"/>
      <c r="Z337" s="81"/>
      <c r="AA337" s="94"/>
      <c r="AB337" s="81"/>
      <c r="AC337" s="93"/>
      <c r="AD337" s="81"/>
      <c r="AE337" s="94"/>
      <c r="AF337" s="81"/>
      <c r="AG337" s="93"/>
      <c r="AH337" s="81"/>
      <c r="AI337" s="94"/>
      <c r="AJ337" s="81"/>
      <c r="AK337" s="93"/>
      <c r="AL337" s="81"/>
      <c r="AM337" s="94"/>
      <c r="AN337" s="81"/>
      <c r="AO337" s="93"/>
      <c r="AP337" s="81"/>
      <c r="AQ337" s="94"/>
      <c r="AR337" s="81"/>
      <c r="AS337" s="94"/>
      <c r="AT337" s="306"/>
      <c r="AU337" s="94"/>
      <c r="AV337" s="306"/>
      <c r="AW337" s="94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">
        <v>1287</v>
      </c>
      <c r="B338" t="s">
        <v>177</v>
      </c>
      <c r="C338" s="52" t="s">
        <v>1288</v>
      </c>
      <c r="D338" s="52" t="s">
        <v>1288</v>
      </c>
      <c r="E338" t="s">
        <v>829</v>
      </c>
      <c r="F338" t="s">
        <v>829</v>
      </c>
      <c r="G338" s="64">
        <v>45006</v>
      </c>
      <c r="H338">
        <v>300</v>
      </c>
      <c r="I338">
        <v>300</v>
      </c>
      <c r="J338">
        <v>0</v>
      </c>
      <c r="K338">
        <v>10</v>
      </c>
      <c r="L338">
        <v>0</v>
      </c>
      <c r="M338">
        <v>0</v>
      </c>
      <c r="N338">
        <v>0</v>
      </c>
      <c r="O338">
        <v>0</v>
      </c>
      <c r="P338" s="69">
        <f t="shared" si="54"/>
        <v>0</v>
      </c>
      <c r="Q338" s="93"/>
      <c r="R338" s="81"/>
      <c r="S338" s="94"/>
      <c r="T338" s="81"/>
      <c r="U338" s="93"/>
      <c r="V338" s="81"/>
      <c r="W338" s="94"/>
      <c r="X338" s="81"/>
      <c r="Y338" s="93"/>
      <c r="Z338" s="81"/>
      <c r="AA338" s="94"/>
      <c r="AB338" s="81"/>
      <c r="AC338" s="93"/>
      <c r="AD338" s="81"/>
      <c r="AE338" s="94"/>
      <c r="AF338" s="81"/>
      <c r="AG338" s="93"/>
      <c r="AH338" s="81"/>
      <c r="AI338" s="94"/>
      <c r="AJ338" s="81"/>
      <c r="AK338" s="93"/>
      <c r="AL338" s="81"/>
      <c r="AM338" s="94"/>
      <c r="AN338" s="81"/>
      <c r="AO338" s="93"/>
      <c r="AP338" s="81"/>
      <c r="AQ338" s="94"/>
      <c r="AR338" s="81"/>
      <c r="AS338" s="94"/>
      <c r="AT338" s="306"/>
      <c r="AU338" s="94"/>
      <c r="AV338" s="306"/>
      <c r="AW338" s="94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">
        <v>1289</v>
      </c>
      <c r="B339" t="s">
        <v>177</v>
      </c>
      <c r="C339" s="52" t="s">
        <v>1288</v>
      </c>
      <c r="D339" s="52" t="s">
        <v>1288</v>
      </c>
      <c r="E339" t="s">
        <v>1290</v>
      </c>
      <c r="F339" t="s">
        <v>1290</v>
      </c>
      <c r="G339" s="64">
        <v>45006</v>
      </c>
      <c r="H339">
        <v>300</v>
      </c>
      <c r="I339">
        <v>300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48</v>
      </c>
      <c r="P339" s="69">
        <f t="shared" si="54"/>
        <v>0</v>
      </c>
      <c r="Q339" s="93"/>
      <c r="R339" s="81"/>
      <c r="S339" s="94"/>
      <c r="T339" s="81"/>
      <c r="U339" s="93"/>
      <c r="V339" s="81"/>
      <c r="W339" s="94"/>
      <c r="X339" s="81"/>
      <c r="Y339" s="93"/>
      <c r="Z339" s="81"/>
      <c r="AA339" s="94"/>
      <c r="AB339" s="81"/>
      <c r="AC339" s="93"/>
      <c r="AD339" s="81"/>
      <c r="AE339" s="94"/>
      <c r="AF339" s="81"/>
      <c r="AG339" s="93"/>
      <c r="AH339" s="81"/>
      <c r="AI339" s="94"/>
      <c r="AJ339" s="81"/>
      <c r="AK339" s="93"/>
      <c r="AL339" s="81"/>
      <c r="AM339" s="94"/>
      <c r="AN339" s="81"/>
      <c r="AO339" s="93"/>
      <c r="AP339" s="81"/>
      <c r="AQ339" s="94"/>
      <c r="AR339" s="81"/>
      <c r="AS339" s="94"/>
      <c r="AT339" s="306"/>
      <c r="AU339" s="94"/>
      <c r="AV339" s="306"/>
      <c r="AW339" s="94"/>
      <c r="AX339" s="66">
        <f t="shared" si="50"/>
        <v>0</v>
      </c>
      <c r="AY339" s="78">
        <f t="shared" si="51"/>
        <v>0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">
        <v>1291</v>
      </c>
      <c r="B340" t="s">
        <v>211</v>
      </c>
      <c r="C340" s="52" t="s">
        <v>1292</v>
      </c>
      <c r="D340" s="52" t="s">
        <v>1292</v>
      </c>
      <c r="E340">
        <v>90</v>
      </c>
      <c r="F340">
        <v>95</v>
      </c>
      <c r="G340" s="64">
        <v>45006</v>
      </c>
      <c r="H340">
        <v>300</v>
      </c>
      <c r="I340">
        <v>300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31</v>
      </c>
      <c r="P340" s="69">
        <f t="shared" si="54"/>
        <v>125</v>
      </c>
      <c r="Q340" s="82" t="s">
        <v>673</v>
      </c>
      <c r="R340" s="83">
        <v>5</v>
      </c>
      <c r="S340" s="262" t="s">
        <v>674</v>
      </c>
      <c r="T340" s="261">
        <v>1</v>
      </c>
      <c r="U340" s="93"/>
      <c r="V340" s="81"/>
      <c r="W340" s="94"/>
      <c r="X340" s="81"/>
      <c r="Y340" s="93"/>
      <c r="Z340" s="81"/>
      <c r="AA340" s="94"/>
      <c r="AB340" s="81"/>
      <c r="AC340" s="93"/>
      <c r="AD340" s="81"/>
      <c r="AE340" s="94"/>
      <c r="AF340" s="81"/>
      <c r="AG340" s="93"/>
      <c r="AH340" s="81"/>
      <c r="AI340" s="94"/>
      <c r="AJ340" s="81"/>
      <c r="AK340" s="93"/>
      <c r="AL340" s="81"/>
      <c r="AM340" s="94"/>
      <c r="AN340" s="81"/>
      <c r="AO340" s="93"/>
      <c r="AP340" s="81"/>
      <c r="AQ340" s="94"/>
      <c r="AR340" s="81"/>
      <c r="AS340" s="94"/>
      <c r="AT340" s="306"/>
      <c r="AU340" s="94"/>
      <c r="AV340" s="306"/>
      <c r="AW340" s="94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">
        <v>1293</v>
      </c>
      <c r="B341" t="s">
        <v>211</v>
      </c>
      <c r="C341" s="52" t="s">
        <v>1292</v>
      </c>
      <c r="D341" s="52" t="s">
        <v>1292</v>
      </c>
      <c r="E341">
        <v>0</v>
      </c>
      <c r="F341">
        <v>0</v>
      </c>
      <c r="G341" s="64">
        <v>0</v>
      </c>
      <c r="H341">
        <v>300</v>
      </c>
      <c r="I341">
        <v>300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 s="69">
        <f t="shared" si="54"/>
        <v>0</v>
      </c>
      <c r="Q341" s="93"/>
      <c r="R341" s="81"/>
      <c r="S341" s="94"/>
      <c r="T341" s="81"/>
      <c r="U341" s="93"/>
      <c r="V341" s="81"/>
      <c r="W341" s="94"/>
      <c r="X341" s="81"/>
      <c r="Y341" s="93"/>
      <c r="Z341" s="81"/>
      <c r="AA341" s="94"/>
      <c r="AB341" s="81"/>
      <c r="AC341" s="93"/>
      <c r="AD341" s="81"/>
      <c r="AE341" s="94"/>
      <c r="AF341" s="81"/>
      <c r="AG341" s="93"/>
      <c r="AH341" s="81"/>
      <c r="AI341" s="94"/>
      <c r="AJ341" s="81"/>
      <c r="AK341" s="93"/>
      <c r="AL341" s="81"/>
      <c r="AM341" s="94"/>
      <c r="AN341" s="81"/>
      <c r="AO341" s="93"/>
      <c r="AP341" s="81"/>
      <c r="AQ341" s="94"/>
      <c r="AR341" s="81"/>
      <c r="AS341" s="94"/>
      <c r="AT341" s="306"/>
      <c r="AU341" s="94"/>
      <c r="AV341" s="306"/>
      <c r="AW341" s="94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0</v>
      </c>
      <c r="BC341" s="53">
        <f t="shared" si="53"/>
        <v>0</v>
      </c>
    </row>
    <row r="342" spans="1:55" ht="13.15">
      <c r="A342" t="s">
        <v>1294</v>
      </c>
      <c r="B342" t="s">
        <v>228</v>
      </c>
      <c r="C342" s="52" t="s">
        <v>1295</v>
      </c>
      <c r="D342" s="52" t="s">
        <v>1295</v>
      </c>
      <c r="E342">
        <v>55</v>
      </c>
      <c r="F342">
        <v>45</v>
      </c>
      <c r="G342" s="64">
        <v>45055</v>
      </c>
      <c r="H342">
        <v>300</v>
      </c>
      <c r="I342">
        <v>300</v>
      </c>
      <c r="J342">
        <v>5</v>
      </c>
      <c r="K342">
        <v>0</v>
      </c>
      <c r="L342">
        <v>0</v>
      </c>
      <c r="M342">
        <v>15</v>
      </c>
      <c r="N342">
        <v>11</v>
      </c>
      <c r="O342">
        <v>0</v>
      </c>
      <c r="P342" s="69">
        <f t="shared" si="54"/>
        <v>41.666666666666664</v>
      </c>
      <c r="Q342" s="109" t="s">
        <v>700</v>
      </c>
      <c r="R342" s="261">
        <v>1</v>
      </c>
      <c r="S342" s="102" t="s">
        <v>701</v>
      </c>
      <c r="T342" s="103">
        <v>1</v>
      </c>
      <c r="U342" s="93"/>
      <c r="V342" s="81"/>
      <c r="W342" s="94"/>
      <c r="X342" s="81"/>
      <c r="Y342" s="93"/>
      <c r="Z342" s="81"/>
      <c r="AA342" s="94"/>
      <c r="AB342" s="81"/>
      <c r="AC342" s="93"/>
      <c r="AD342" s="81"/>
      <c r="AE342" s="94"/>
      <c r="AF342" s="81"/>
      <c r="AG342" s="93"/>
      <c r="AH342" s="81"/>
      <c r="AI342" s="94"/>
      <c r="AJ342" s="81"/>
      <c r="AK342" s="93"/>
      <c r="AL342" s="81"/>
      <c r="AM342" s="94"/>
      <c r="AN342" s="81"/>
      <c r="AO342" s="93"/>
      <c r="AP342" s="81"/>
      <c r="AQ342" s="94"/>
      <c r="AR342" s="81"/>
      <c r="AS342" s="94"/>
      <c r="AT342" s="306"/>
      <c r="AU342" s="94"/>
      <c r="AV342" s="306"/>
      <c r="AW342" s="94"/>
      <c r="AX342" s="66">
        <f t="shared" si="50"/>
        <v>2</v>
      </c>
      <c r="AY342" s="78">
        <f t="shared" si="51"/>
        <v>41.666666666666664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75.833333333333329</v>
      </c>
      <c r="BC342" s="53">
        <f t="shared" si="53"/>
        <v>65.833333333333329</v>
      </c>
    </row>
    <row r="343" spans="1:55" ht="13.15">
      <c r="A343" t="s">
        <v>1296</v>
      </c>
      <c r="B343" t="s">
        <v>33</v>
      </c>
      <c r="C343" s="52" t="s">
        <v>1297</v>
      </c>
      <c r="D343" s="52" t="s">
        <v>1297</v>
      </c>
      <c r="E343">
        <v>87.8</v>
      </c>
      <c r="F343">
        <v>0</v>
      </c>
      <c r="G343" s="64">
        <v>40554</v>
      </c>
      <c r="H343">
        <v>300</v>
      </c>
      <c r="I343">
        <v>300</v>
      </c>
      <c r="J343">
        <v>0</v>
      </c>
      <c r="K343">
        <v>0</v>
      </c>
      <c r="L343">
        <v>7</v>
      </c>
      <c r="M343">
        <v>4</v>
      </c>
      <c r="N343">
        <v>11</v>
      </c>
      <c r="O343">
        <v>12</v>
      </c>
      <c r="P343" s="69">
        <f t="shared" si="54"/>
        <v>0</v>
      </c>
      <c r="Q343" s="93"/>
      <c r="R343" s="81"/>
      <c r="S343" s="94"/>
      <c r="T343" s="81"/>
      <c r="U343" s="93"/>
      <c r="V343" s="81"/>
      <c r="W343" s="94"/>
      <c r="X343" s="81"/>
      <c r="Y343" s="93"/>
      <c r="Z343" s="81"/>
      <c r="AA343" s="94"/>
      <c r="AB343" s="81"/>
      <c r="AC343" s="93"/>
      <c r="AD343" s="81"/>
      <c r="AE343" s="94"/>
      <c r="AF343" s="81"/>
      <c r="AG343" s="93"/>
      <c r="AH343" s="81"/>
      <c r="AI343" s="94"/>
      <c r="AJ343" s="81"/>
      <c r="AK343" s="93"/>
      <c r="AL343" s="81"/>
      <c r="AM343" s="94"/>
      <c r="AN343" s="81"/>
      <c r="AO343" s="93"/>
      <c r="AP343" s="81"/>
      <c r="AQ343" s="94"/>
      <c r="AR343" s="81"/>
      <c r="AS343" s="94"/>
      <c r="AT343" s="306"/>
      <c r="AU343" s="94"/>
      <c r="AV343" s="306"/>
      <c r="AW343" s="94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">
        <v>1298</v>
      </c>
      <c r="B344" t="s">
        <v>33</v>
      </c>
      <c r="C344" s="52" t="s">
        <v>1297</v>
      </c>
      <c r="D344" s="52" t="s">
        <v>1297</v>
      </c>
      <c r="E344">
        <v>200</v>
      </c>
      <c r="F344">
        <v>200</v>
      </c>
      <c r="G344" s="64">
        <v>44041</v>
      </c>
      <c r="H344">
        <v>300</v>
      </c>
      <c r="I344">
        <v>300</v>
      </c>
      <c r="J344">
        <v>0</v>
      </c>
      <c r="K344">
        <v>0</v>
      </c>
      <c r="L344">
        <v>4</v>
      </c>
      <c r="M344">
        <v>3</v>
      </c>
      <c r="N344">
        <v>0</v>
      </c>
      <c r="O344">
        <v>28</v>
      </c>
      <c r="P344" s="69">
        <f t="shared" si="54"/>
        <v>177.08333333333334</v>
      </c>
      <c r="Q344" s="82" t="s">
        <v>328</v>
      </c>
      <c r="R344" s="83">
        <v>0.5</v>
      </c>
      <c r="S344" s="82" t="s">
        <v>327</v>
      </c>
      <c r="T344" s="83">
        <v>5</v>
      </c>
      <c r="U344" s="104" t="s">
        <v>329</v>
      </c>
      <c r="V344" s="103">
        <v>2</v>
      </c>
      <c r="W344" s="84" t="s">
        <v>331</v>
      </c>
      <c r="X344" s="85">
        <v>1</v>
      </c>
      <c r="Y344" s="93"/>
      <c r="Z344" s="81"/>
      <c r="AA344" s="94"/>
      <c r="AB344" s="81"/>
      <c r="AC344" s="93"/>
      <c r="AD344" s="81"/>
      <c r="AE344" s="94"/>
      <c r="AF344" s="81"/>
      <c r="AG344" s="93"/>
      <c r="AH344" s="81"/>
      <c r="AI344" s="94"/>
      <c r="AJ344" s="81"/>
      <c r="AK344" s="93"/>
      <c r="AL344" s="81"/>
      <c r="AM344" s="94"/>
      <c r="AN344" s="81"/>
      <c r="AO344" s="93"/>
      <c r="AP344" s="81"/>
      <c r="AQ344" s="94"/>
      <c r="AR344" s="81"/>
      <c r="AS344" s="94"/>
      <c r="AT344" s="306"/>
      <c r="AU344" s="94"/>
      <c r="AV344" s="306"/>
      <c r="AW344" s="94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">
        <v>1299</v>
      </c>
      <c r="B345" t="s">
        <v>33</v>
      </c>
      <c r="C345" s="52" t="s">
        <v>1300</v>
      </c>
      <c r="D345" s="52" t="s">
        <v>1300</v>
      </c>
      <c r="E345">
        <v>89</v>
      </c>
      <c r="F345">
        <v>78</v>
      </c>
      <c r="G345" s="64">
        <v>44977</v>
      </c>
      <c r="H345">
        <v>300</v>
      </c>
      <c r="I345">
        <v>300</v>
      </c>
      <c r="J345">
        <v>4</v>
      </c>
      <c r="K345">
        <v>1</v>
      </c>
      <c r="L345">
        <v>1</v>
      </c>
      <c r="M345">
        <v>12</v>
      </c>
      <c r="N345">
        <v>11</v>
      </c>
      <c r="O345">
        <v>0</v>
      </c>
      <c r="P345" s="69">
        <f t="shared" si="54"/>
        <v>20.833333333333332</v>
      </c>
      <c r="Q345" s="93"/>
      <c r="R345" s="81"/>
      <c r="S345" s="94"/>
      <c r="T345" s="81"/>
      <c r="U345" s="104" t="s">
        <v>1301</v>
      </c>
      <c r="V345" s="103">
        <v>1</v>
      </c>
      <c r="W345" s="94"/>
      <c r="X345" s="81"/>
      <c r="Y345" s="93"/>
      <c r="Z345" s="81"/>
      <c r="AA345" s="94"/>
      <c r="AB345" s="81"/>
      <c r="AC345" s="93"/>
      <c r="AD345" s="81"/>
      <c r="AE345" s="94"/>
      <c r="AF345" s="81"/>
      <c r="AG345" s="93"/>
      <c r="AH345" s="81"/>
      <c r="AI345" s="94"/>
      <c r="AJ345" s="81"/>
      <c r="AK345" s="93"/>
      <c r="AL345" s="81"/>
      <c r="AM345" s="94"/>
      <c r="AN345" s="81"/>
      <c r="AO345" s="93"/>
      <c r="AP345" s="81"/>
      <c r="AQ345" s="94"/>
      <c r="AR345" s="81"/>
      <c r="AS345" s="94"/>
      <c r="AT345" s="306"/>
      <c r="AU345" s="94"/>
      <c r="AV345" s="306"/>
      <c r="AW345" s="94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">
        <v>1302</v>
      </c>
      <c r="B346" t="s">
        <v>33</v>
      </c>
      <c r="C346" s="52" t="s">
        <v>1300</v>
      </c>
      <c r="D346" s="52" t="s">
        <v>1300</v>
      </c>
      <c r="E346">
        <v>126</v>
      </c>
      <c r="F346">
        <v>122</v>
      </c>
      <c r="G346" s="64">
        <v>44977</v>
      </c>
      <c r="H346">
        <v>300</v>
      </c>
      <c r="I346">
        <v>300</v>
      </c>
      <c r="J346">
        <v>4</v>
      </c>
      <c r="K346">
        <v>5</v>
      </c>
      <c r="L346">
        <v>0</v>
      </c>
      <c r="M346">
        <v>7</v>
      </c>
      <c r="N346">
        <v>10</v>
      </c>
      <c r="O346">
        <v>0</v>
      </c>
      <c r="P346" s="69">
        <f t="shared" si="54"/>
        <v>0</v>
      </c>
      <c r="Q346" s="93"/>
      <c r="R346" s="81"/>
      <c r="S346" s="94"/>
      <c r="T346" s="81"/>
      <c r="U346" s="93"/>
      <c r="V346" s="81"/>
      <c r="W346" s="94"/>
      <c r="X346" s="81"/>
      <c r="Y346" s="93"/>
      <c r="Z346" s="81"/>
      <c r="AA346" s="94"/>
      <c r="AB346" s="81"/>
      <c r="AC346" s="93"/>
      <c r="AD346" s="81"/>
      <c r="AE346" s="94"/>
      <c r="AF346" s="81"/>
      <c r="AG346" s="93"/>
      <c r="AH346" s="81"/>
      <c r="AI346" s="94"/>
      <c r="AJ346" s="81"/>
      <c r="AK346" s="93"/>
      <c r="AL346" s="81"/>
      <c r="AM346" s="94"/>
      <c r="AN346" s="81"/>
      <c r="AO346" s="93"/>
      <c r="AP346" s="81"/>
      <c r="AQ346" s="94"/>
      <c r="AR346" s="81"/>
      <c r="AS346" s="94"/>
      <c r="AT346" s="306"/>
      <c r="AU346" s="94"/>
      <c r="AV346" s="306"/>
      <c r="AW346" s="94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">
        <v>1303</v>
      </c>
      <c r="B347" t="s">
        <v>70</v>
      </c>
      <c r="C347" s="52" t="s">
        <v>1304</v>
      </c>
      <c r="D347" s="52" t="s">
        <v>1304</v>
      </c>
      <c r="E347">
        <v>0</v>
      </c>
      <c r="F347">
        <v>0</v>
      </c>
      <c r="G347" s="64">
        <v>0</v>
      </c>
      <c r="H347">
        <v>300</v>
      </c>
      <c r="I347">
        <v>300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 s="69">
        <f t="shared" si="54"/>
        <v>0</v>
      </c>
      <c r="Q347" s="93"/>
      <c r="R347" s="81"/>
      <c r="S347" s="94"/>
      <c r="T347" s="81"/>
      <c r="U347" s="93"/>
      <c r="V347" s="81"/>
      <c r="W347" s="94"/>
      <c r="X347" s="81"/>
      <c r="Y347" s="93"/>
      <c r="Z347" s="81"/>
      <c r="AA347" s="94"/>
      <c r="AB347" s="81"/>
      <c r="AC347" s="93"/>
      <c r="AD347" s="81"/>
      <c r="AE347" s="94"/>
      <c r="AF347" s="81"/>
      <c r="AG347" s="93"/>
      <c r="AH347" s="81"/>
      <c r="AI347" s="94"/>
      <c r="AJ347" s="81"/>
      <c r="AK347" s="93"/>
      <c r="AL347" s="81"/>
      <c r="AM347" s="94"/>
      <c r="AN347" s="81"/>
      <c r="AO347" s="93"/>
      <c r="AP347" s="81"/>
      <c r="AQ347" s="94"/>
      <c r="AR347" s="81"/>
      <c r="AS347" s="94"/>
      <c r="AT347" s="306"/>
      <c r="AU347" s="94"/>
      <c r="AV347" s="306"/>
      <c r="AW347" s="94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">
        <v>1305</v>
      </c>
      <c r="B348" t="s">
        <v>70</v>
      </c>
      <c r="C348" s="52" t="s">
        <v>1304</v>
      </c>
      <c r="D348" s="52" t="s">
        <v>1304</v>
      </c>
      <c r="E348">
        <v>0</v>
      </c>
      <c r="F348">
        <v>0</v>
      </c>
      <c r="G348" s="64">
        <v>44977</v>
      </c>
      <c r="H348">
        <v>80</v>
      </c>
      <c r="I348">
        <v>80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69">
        <f t="shared" si="54"/>
        <v>0</v>
      </c>
      <c r="Q348" s="93"/>
      <c r="R348" s="81"/>
      <c r="S348" s="94"/>
      <c r="T348" s="81"/>
      <c r="U348" s="93"/>
      <c r="V348" s="81"/>
      <c r="W348" s="94"/>
      <c r="X348" s="81"/>
      <c r="Y348" s="93"/>
      <c r="Z348" s="81"/>
      <c r="AA348" s="94"/>
      <c r="AB348" s="81"/>
      <c r="AC348" s="93"/>
      <c r="AD348" s="81"/>
      <c r="AE348" s="94"/>
      <c r="AF348" s="81"/>
      <c r="AG348" s="93"/>
      <c r="AH348" s="81"/>
      <c r="AI348" s="94"/>
      <c r="AJ348" s="81"/>
      <c r="AK348" s="93"/>
      <c r="AL348" s="81"/>
      <c r="AM348" s="94"/>
      <c r="AN348" s="81"/>
      <c r="AO348" s="93"/>
      <c r="AP348" s="81"/>
      <c r="AQ348" s="94"/>
      <c r="AR348" s="81"/>
      <c r="AS348" s="94"/>
      <c r="AT348" s="306"/>
      <c r="AU348" s="94"/>
      <c r="AV348" s="306"/>
      <c r="AW348" s="94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">
        <v>1306</v>
      </c>
      <c r="B349" t="s">
        <v>70</v>
      </c>
      <c r="C349" s="52" t="s">
        <v>1304</v>
      </c>
      <c r="D349" s="52" t="s">
        <v>1304</v>
      </c>
      <c r="E349">
        <v>0</v>
      </c>
      <c r="F349">
        <v>0</v>
      </c>
      <c r="G349" s="64">
        <v>0</v>
      </c>
      <c r="H349">
        <v>300</v>
      </c>
      <c r="I349">
        <v>300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69">
        <f t="shared" si="54"/>
        <v>0</v>
      </c>
      <c r="Q349" s="93"/>
      <c r="R349" s="81"/>
      <c r="S349" s="94"/>
      <c r="T349" s="81"/>
      <c r="U349" s="93"/>
      <c r="V349" s="81"/>
      <c r="W349" s="94"/>
      <c r="X349" s="81"/>
      <c r="Y349" s="93"/>
      <c r="Z349" s="81"/>
      <c r="AA349" s="94"/>
      <c r="AB349" s="81"/>
      <c r="AC349" s="93"/>
      <c r="AD349" s="81"/>
      <c r="AE349" s="94"/>
      <c r="AF349" s="81"/>
      <c r="AG349" s="93"/>
      <c r="AH349" s="81"/>
      <c r="AI349" s="94"/>
      <c r="AJ349" s="81"/>
      <c r="AK349" s="93"/>
      <c r="AL349" s="81"/>
      <c r="AM349" s="94"/>
      <c r="AN349" s="81"/>
      <c r="AO349" s="93"/>
      <c r="AP349" s="81"/>
      <c r="AQ349" s="94"/>
      <c r="AR349" s="81"/>
      <c r="AS349" s="94"/>
      <c r="AT349" s="306"/>
      <c r="AU349" s="94"/>
      <c r="AV349" s="306"/>
      <c r="AW349" s="94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">
        <v>1307</v>
      </c>
      <c r="B350" t="s">
        <v>70</v>
      </c>
      <c r="C350" s="52" t="s">
        <v>1304</v>
      </c>
      <c r="D350" s="52" t="s">
        <v>1304</v>
      </c>
      <c r="E350">
        <v>110</v>
      </c>
      <c r="F350">
        <v>100</v>
      </c>
      <c r="G350" s="64">
        <v>44978</v>
      </c>
      <c r="H350">
        <v>300</v>
      </c>
      <c r="I350">
        <v>300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 s="69">
        <f t="shared" si="54"/>
        <v>5.208333333333333</v>
      </c>
      <c r="Q350" s="82" t="s">
        <v>435</v>
      </c>
      <c r="R350" s="83">
        <v>0.25</v>
      </c>
      <c r="S350" s="94"/>
      <c r="T350" s="81"/>
      <c r="U350" s="93"/>
      <c r="V350" s="81"/>
      <c r="W350" s="94"/>
      <c r="X350" s="81"/>
      <c r="Y350" s="93"/>
      <c r="Z350" s="81"/>
      <c r="AA350" s="94"/>
      <c r="AB350" s="81"/>
      <c r="AC350" s="93"/>
      <c r="AD350" s="81"/>
      <c r="AE350" s="94"/>
      <c r="AF350" s="81"/>
      <c r="AG350" s="93"/>
      <c r="AH350" s="81"/>
      <c r="AI350" s="94"/>
      <c r="AJ350" s="81"/>
      <c r="AK350" s="93"/>
      <c r="AL350" s="81"/>
      <c r="AM350" s="94"/>
      <c r="AN350" s="81"/>
      <c r="AO350" s="93"/>
      <c r="AP350" s="81"/>
      <c r="AQ350" s="94"/>
      <c r="AR350" s="81"/>
      <c r="AS350" s="94"/>
      <c r="AT350" s="306"/>
      <c r="AU350" s="94"/>
      <c r="AV350" s="306"/>
      <c r="AW350" s="94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">
        <v>1308</v>
      </c>
      <c r="B351" t="s">
        <v>70</v>
      </c>
      <c r="C351" s="52" t="s">
        <v>1304</v>
      </c>
      <c r="D351" s="52" t="s">
        <v>1304</v>
      </c>
      <c r="E351">
        <v>20</v>
      </c>
      <c r="F351">
        <v>20</v>
      </c>
      <c r="G351" s="64">
        <v>44978</v>
      </c>
      <c r="H351">
        <v>300</v>
      </c>
      <c r="I351">
        <v>300</v>
      </c>
      <c r="J351">
        <v>5</v>
      </c>
      <c r="K351">
        <v>4</v>
      </c>
      <c r="L351">
        <v>0</v>
      </c>
      <c r="M351">
        <v>23</v>
      </c>
      <c r="N351">
        <v>5</v>
      </c>
      <c r="O351">
        <v>0</v>
      </c>
      <c r="P351" s="69">
        <f t="shared" si="54"/>
        <v>0</v>
      </c>
      <c r="Q351" s="93"/>
      <c r="R351" s="81"/>
      <c r="S351" s="94"/>
      <c r="T351" s="81"/>
      <c r="U351" s="93"/>
      <c r="V351" s="81"/>
      <c r="W351" s="94"/>
      <c r="X351" s="81"/>
      <c r="Y351" s="93"/>
      <c r="Z351" s="81"/>
      <c r="AA351" s="94"/>
      <c r="AB351" s="81"/>
      <c r="AC351" s="93"/>
      <c r="AD351" s="81"/>
      <c r="AE351" s="94"/>
      <c r="AF351" s="81"/>
      <c r="AG351" s="93"/>
      <c r="AH351" s="81"/>
      <c r="AI351" s="94"/>
      <c r="AJ351" s="81"/>
      <c r="AK351" s="93"/>
      <c r="AL351" s="81"/>
      <c r="AM351" s="94"/>
      <c r="AN351" s="81"/>
      <c r="AO351" s="93"/>
      <c r="AP351" s="81"/>
      <c r="AQ351" s="94"/>
      <c r="AR351" s="81"/>
      <c r="AS351" s="94"/>
      <c r="AT351" s="306"/>
      <c r="AU351" s="94"/>
      <c r="AV351" s="306"/>
      <c r="AW351" s="94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">
        <v>1309</v>
      </c>
      <c r="B352" t="s">
        <v>70</v>
      </c>
      <c r="C352" s="52" t="s">
        <v>1304</v>
      </c>
      <c r="D352" s="52" t="s">
        <v>1304</v>
      </c>
      <c r="E352" t="s">
        <v>1166</v>
      </c>
      <c r="F352" t="s">
        <v>829</v>
      </c>
      <c r="G352" s="64">
        <v>44978</v>
      </c>
      <c r="H352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</v>
      </c>
      <c r="P352" s="69">
        <f t="shared" si="54"/>
        <v>0</v>
      </c>
      <c r="Q352" s="93"/>
      <c r="R352" s="81"/>
      <c r="S352" s="94"/>
      <c r="T352" s="81"/>
      <c r="U352" s="93"/>
      <c r="V352" s="81"/>
      <c r="W352" s="94"/>
      <c r="X352" s="81"/>
      <c r="Y352" s="93"/>
      <c r="Z352" s="81"/>
      <c r="AA352" s="94"/>
      <c r="AB352" s="81"/>
      <c r="AC352" s="93"/>
      <c r="AD352" s="81"/>
      <c r="AE352" s="94"/>
      <c r="AF352" s="81"/>
      <c r="AG352" s="93"/>
      <c r="AH352" s="81"/>
      <c r="AI352" s="94"/>
      <c r="AJ352" s="81"/>
      <c r="AK352" s="93"/>
      <c r="AL352" s="81"/>
      <c r="AM352" s="94"/>
      <c r="AN352" s="81"/>
      <c r="AO352" s="93"/>
      <c r="AP352" s="81"/>
      <c r="AQ352" s="94"/>
      <c r="AR352" s="81"/>
      <c r="AS352" s="94"/>
      <c r="AT352" s="306"/>
      <c r="AU352" s="94"/>
      <c r="AV352" s="306"/>
      <c r="AW352" s="94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">
        <v>1310</v>
      </c>
      <c r="B353" t="s">
        <v>70</v>
      </c>
      <c r="C353" s="52" t="s">
        <v>1304</v>
      </c>
      <c r="D353" s="52" t="s">
        <v>1304</v>
      </c>
      <c r="E353">
        <v>0</v>
      </c>
      <c r="F353">
        <v>0</v>
      </c>
      <c r="G353" s="64">
        <v>0</v>
      </c>
      <c r="H353">
        <v>300</v>
      </c>
      <c r="I353">
        <v>300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69">
        <f t="shared" si="54"/>
        <v>0</v>
      </c>
      <c r="Q353" s="93"/>
      <c r="R353" s="81"/>
      <c r="S353" s="94"/>
      <c r="T353" s="81"/>
      <c r="U353" s="93"/>
      <c r="V353" s="81"/>
      <c r="W353" s="94"/>
      <c r="X353" s="81"/>
      <c r="Y353" s="93"/>
      <c r="Z353" s="81"/>
      <c r="AA353" s="94"/>
      <c r="AB353" s="81"/>
      <c r="AC353" s="93"/>
      <c r="AD353" s="81"/>
      <c r="AE353" s="94"/>
      <c r="AF353" s="81"/>
      <c r="AG353" s="93"/>
      <c r="AH353" s="81"/>
      <c r="AI353" s="94"/>
      <c r="AJ353" s="81"/>
      <c r="AK353" s="93"/>
      <c r="AL353" s="81"/>
      <c r="AM353" s="94"/>
      <c r="AN353" s="81"/>
      <c r="AO353" s="93"/>
      <c r="AP353" s="81"/>
      <c r="AQ353" s="94"/>
      <c r="AR353" s="81"/>
      <c r="AS353" s="94"/>
      <c r="AT353" s="306"/>
      <c r="AU353" s="94"/>
      <c r="AV353" s="306"/>
      <c r="AW353" s="94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">
        <v>1311</v>
      </c>
      <c r="B354" t="s">
        <v>70</v>
      </c>
      <c r="C354" s="52" t="s">
        <v>1304</v>
      </c>
      <c r="D354" s="52" t="s">
        <v>1304</v>
      </c>
      <c r="E354">
        <v>150</v>
      </c>
      <c r="F354">
        <v>160</v>
      </c>
      <c r="G354" s="64">
        <v>44978</v>
      </c>
      <c r="H354">
        <v>300</v>
      </c>
      <c r="I354">
        <v>300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69">
        <f t="shared" si="54"/>
        <v>0</v>
      </c>
      <c r="Q354" s="93"/>
      <c r="R354" s="81"/>
      <c r="S354" s="94"/>
      <c r="T354" s="81"/>
      <c r="U354" s="93"/>
      <c r="V354" s="81"/>
      <c r="W354" s="94"/>
      <c r="X354" s="81"/>
      <c r="Y354" s="93"/>
      <c r="Z354" s="81"/>
      <c r="AA354" s="94"/>
      <c r="AB354" s="81"/>
      <c r="AC354" s="93"/>
      <c r="AD354" s="81"/>
      <c r="AE354" s="94"/>
      <c r="AF354" s="81"/>
      <c r="AG354" s="93"/>
      <c r="AH354" s="81"/>
      <c r="AI354" s="94"/>
      <c r="AJ354" s="81"/>
      <c r="AK354" s="93"/>
      <c r="AL354" s="81"/>
      <c r="AM354" s="94"/>
      <c r="AN354" s="81"/>
      <c r="AO354" s="93"/>
      <c r="AP354" s="81"/>
      <c r="AQ354" s="94"/>
      <c r="AR354" s="81"/>
      <c r="AS354" s="94"/>
      <c r="AT354" s="306"/>
      <c r="AU354" s="94"/>
      <c r="AV354" s="306"/>
      <c r="AW354" s="94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">
        <v>1312</v>
      </c>
      <c r="B355" t="s">
        <v>71</v>
      </c>
      <c r="C355" s="52" t="s">
        <v>1313</v>
      </c>
      <c r="D355" s="52" t="s">
        <v>1313</v>
      </c>
      <c r="E355">
        <v>224</v>
      </c>
      <c r="F355">
        <v>223</v>
      </c>
      <c r="G355" s="64">
        <v>44977</v>
      </c>
      <c r="H355">
        <v>300</v>
      </c>
      <c r="I355">
        <v>300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 s="69">
        <f t="shared" si="54"/>
        <v>0</v>
      </c>
      <c r="Q355" s="93"/>
      <c r="R355" s="81"/>
      <c r="S355" s="94"/>
      <c r="T355" s="81"/>
      <c r="U355" s="93"/>
      <c r="V355" s="81"/>
      <c r="W355" s="94"/>
      <c r="X355" s="81"/>
      <c r="Y355" s="93"/>
      <c r="Z355" s="81"/>
      <c r="AA355" s="94"/>
      <c r="AB355" s="81"/>
      <c r="AC355" s="93"/>
      <c r="AD355" s="81"/>
      <c r="AE355" s="94"/>
      <c r="AF355" s="81"/>
      <c r="AG355" s="93"/>
      <c r="AH355" s="81"/>
      <c r="AI355" s="94"/>
      <c r="AJ355" s="81"/>
      <c r="AK355" s="93"/>
      <c r="AL355" s="81"/>
      <c r="AM355" s="94"/>
      <c r="AN355" s="81"/>
      <c r="AO355" s="93"/>
      <c r="AP355" s="81"/>
      <c r="AQ355" s="94"/>
      <c r="AR355" s="81"/>
      <c r="AS355" s="94"/>
      <c r="AT355" s="306"/>
      <c r="AU355" s="94"/>
      <c r="AV355" s="306"/>
      <c r="AW355" s="94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">
        <v>1314</v>
      </c>
      <c r="B356" t="s">
        <v>71</v>
      </c>
      <c r="C356" s="52" t="s">
        <v>1313</v>
      </c>
      <c r="D356" s="52" t="s">
        <v>1313</v>
      </c>
      <c r="E356">
        <v>150</v>
      </c>
      <c r="F356">
        <v>160</v>
      </c>
      <c r="G356" s="64">
        <v>44977</v>
      </c>
      <c r="H356">
        <v>300</v>
      </c>
      <c r="I356">
        <v>300</v>
      </c>
      <c r="J356">
        <v>5</v>
      </c>
      <c r="K356">
        <v>2</v>
      </c>
      <c r="L356">
        <v>0</v>
      </c>
      <c r="M356">
        <v>4</v>
      </c>
      <c r="N356">
        <v>10</v>
      </c>
      <c r="O356">
        <v>0</v>
      </c>
      <c r="P356" s="69">
        <f t="shared" si="54"/>
        <v>0</v>
      </c>
      <c r="Q356" s="104"/>
      <c r="R356" s="103"/>
      <c r="S356" s="94"/>
      <c r="T356" s="81"/>
      <c r="U356" s="93"/>
      <c r="V356" s="81"/>
      <c r="W356" s="94"/>
      <c r="X356" s="81"/>
      <c r="Y356" s="93"/>
      <c r="Z356" s="81"/>
      <c r="AA356" s="94"/>
      <c r="AB356" s="81"/>
      <c r="AC356" s="93"/>
      <c r="AD356" s="81"/>
      <c r="AE356" s="94"/>
      <c r="AF356" s="81"/>
      <c r="AG356" s="93"/>
      <c r="AH356" s="81"/>
      <c r="AI356" s="94"/>
      <c r="AJ356" s="81"/>
      <c r="AK356" s="93"/>
      <c r="AL356" s="81"/>
      <c r="AM356" s="94"/>
      <c r="AN356" s="81"/>
      <c r="AO356" s="93"/>
      <c r="AP356" s="81"/>
      <c r="AQ356" s="94"/>
      <c r="AR356" s="81"/>
      <c r="AS356" s="94"/>
      <c r="AT356" s="306"/>
      <c r="AU356" s="94"/>
      <c r="AV356" s="306"/>
      <c r="AW356" s="94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">
        <v>1315</v>
      </c>
      <c r="B357" t="s">
        <v>71</v>
      </c>
      <c r="C357" s="52" t="s">
        <v>1313</v>
      </c>
      <c r="D357" s="52" t="s">
        <v>1313</v>
      </c>
      <c r="E357">
        <v>160</v>
      </c>
      <c r="F357">
        <v>160</v>
      </c>
      <c r="G357" s="64">
        <v>44977</v>
      </c>
      <c r="H357">
        <v>300</v>
      </c>
      <c r="I357">
        <v>300</v>
      </c>
      <c r="J357">
        <v>9</v>
      </c>
      <c r="K357">
        <v>0</v>
      </c>
      <c r="L357">
        <v>5</v>
      </c>
      <c r="M357">
        <v>0</v>
      </c>
      <c r="N357">
        <v>3</v>
      </c>
      <c r="O357">
        <v>1</v>
      </c>
      <c r="P357" s="69">
        <f t="shared" si="54"/>
        <v>125</v>
      </c>
      <c r="Q357" s="115" t="s">
        <v>437</v>
      </c>
      <c r="R357" s="117">
        <v>3</v>
      </c>
      <c r="S357" s="115" t="s">
        <v>437</v>
      </c>
      <c r="T357" s="117">
        <v>3</v>
      </c>
      <c r="U357" s="93"/>
      <c r="V357" s="81"/>
      <c r="W357" s="94"/>
      <c r="X357" s="81"/>
      <c r="Y357" s="93"/>
      <c r="Z357" s="81"/>
      <c r="AA357" s="94"/>
      <c r="AB357" s="81"/>
      <c r="AC357" s="93"/>
      <c r="AD357" s="81"/>
      <c r="AE357" s="94"/>
      <c r="AF357" s="81"/>
      <c r="AG357" s="93"/>
      <c r="AH357" s="81"/>
      <c r="AI357" s="94"/>
      <c r="AJ357" s="81"/>
      <c r="AK357" s="93"/>
      <c r="AL357" s="81"/>
      <c r="AM357" s="94"/>
      <c r="AN357" s="81"/>
      <c r="AO357" s="93"/>
      <c r="AP357" s="81"/>
      <c r="AQ357" s="94"/>
      <c r="AR357" s="81"/>
      <c r="AS357" s="94"/>
      <c r="AT357" s="306"/>
      <c r="AU357" s="94"/>
      <c r="AV357" s="306"/>
      <c r="AW357" s="94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">
        <v>1316</v>
      </c>
      <c r="B358" t="s">
        <v>1317</v>
      </c>
      <c r="C358" s="52" t="s">
        <v>1318</v>
      </c>
      <c r="D358" s="52" t="s">
        <v>1318</v>
      </c>
      <c r="E358">
        <v>210</v>
      </c>
      <c r="F358">
        <v>0</v>
      </c>
      <c r="G358" s="64">
        <v>40634</v>
      </c>
      <c r="H358">
        <v>0</v>
      </c>
      <c r="I358">
        <v>0</v>
      </c>
      <c r="J358">
        <v>0</v>
      </c>
      <c r="K358">
        <v>0</v>
      </c>
      <c r="L358">
        <v>15</v>
      </c>
      <c r="M358">
        <v>2</v>
      </c>
      <c r="N358">
        <v>0</v>
      </c>
      <c r="O358">
        <v>0</v>
      </c>
      <c r="P358" s="69">
        <f t="shared" si="54"/>
        <v>0</v>
      </c>
      <c r="Q358" s="93"/>
      <c r="R358" s="81"/>
      <c r="S358" s="94"/>
      <c r="T358" s="81"/>
      <c r="U358" s="93"/>
      <c r="V358" s="81"/>
      <c r="W358" s="94"/>
      <c r="X358" s="81"/>
      <c r="Y358" s="93"/>
      <c r="Z358" s="81"/>
      <c r="AA358" s="94"/>
      <c r="AB358" s="81"/>
      <c r="AC358" s="93"/>
      <c r="AD358" s="81"/>
      <c r="AE358" s="94"/>
      <c r="AF358" s="81"/>
      <c r="AG358" s="93"/>
      <c r="AH358" s="81"/>
      <c r="AI358" s="94"/>
      <c r="AJ358" s="81"/>
      <c r="AK358" s="93"/>
      <c r="AL358" s="81"/>
      <c r="AM358" s="94"/>
      <c r="AN358" s="81"/>
      <c r="AO358" s="93"/>
      <c r="AP358" s="81"/>
      <c r="AQ358" s="94"/>
      <c r="AR358" s="81"/>
      <c r="AS358" s="94"/>
      <c r="AT358" s="306"/>
      <c r="AU358" s="94"/>
      <c r="AV358" s="306"/>
      <c r="AW358" s="94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">
        <v>1319</v>
      </c>
      <c r="B359" t="s">
        <v>72</v>
      </c>
      <c r="C359" s="52" t="s">
        <v>1320</v>
      </c>
      <c r="D359" s="52" t="s">
        <v>1320</v>
      </c>
      <c r="E359">
        <v>250.70000000000002</v>
      </c>
      <c r="F359">
        <v>244.89999999999998</v>
      </c>
      <c r="G359" s="64">
        <v>45244</v>
      </c>
      <c r="H359">
        <v>600</v>
      </c>
      <c r="I359">
        <v>600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s="69">
        <f t="shared" si="54"/>
        <v>741.875</v>
      </c>
      <c r="Q359" s="82" t="s">
        <v>439</v>
      </c>
      <c r="R359" s="287">
        <v>2.1</v>
      </c>
      <c r="S359" s="82" t="s">
        <v>440</v>
      </c>
      <c r="T359" s="287">
        <v>1.2</v>
      </c>
      <c r="U359" s="82" t="s">
        <v>441</v>
      </c>
      <c r="V359" s="287">
        <v>5.8</v>
      </c>
      <c r="W359" s="82" t="s">
        <v>442</v>
      </c>
      <c r="X359" s="287">
        <v>1.4</v>
      </c>
      <c r="Y359" s="82" t="s">
        <v>443</v>
      </c>
      <c r="Z359" s="287">
        <v>1.7</v>
      </c>
      <c r="AA359" s="82" t="s">
        <v>444</v>
      </c>
      <c r="AB359" s="287">
        <v>11.7</v>
      </c>
      <c r="AC359" s="90" t="s">
        <v>445</v>
      </c>
      <c r="AD359" s="290">
        <v>2.4</v>
      </c>
      <c r="AE359" s="90" t="s">
        <v>446</v>
      </c>
      <c r="AF359" s="290">
        <v>2.2000000000000002</v>
      </c>
      <c r="AG359" s="90" t="s">
        <v>447</v>
      </c>
      <c r="AH359" s="290">
        <v>1.3</v>
      </c>
      <c r="AI359" s="102" t="s">
        <v>1321</v>
      </c>
      <c r="AJ359" s="103">
        <v>0.88</v>
      </c>
      <c r="AK359" s="109" t="s">
        <v>451</v>
      </c>
      <c r="AL359" s="302">
        <v>0.93</v>
      </c>
      <c r="AM359" s="93" t="s">
        <v>452</v>
      </c>
      <c r="AN359" s="318">
        <v>4</v>
      </c>
      <c r="AO359" s="93"/>
      <c r="AP359" s="81"/>
      <c r="AQ359" s="94"/>
      <c r="AR359" s="81"/>
      <c r="AS359" s="94"/>
      <c r="AT359" s="306"/>
      <c r="AU359" s="94"/>
      <c r="AV359" s="306"/>
      <c r="AW359" s="94"/>
      <c r="AX359" s="66">
        <f t="shared" si="50"/>
        <v>35.61</v>
      </c>
      <c r="AY359" s="78">
        <f t="shared" si="51"/>
        <v>741.875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621.63750000000005</v>
      </c>
      <c r="BC359" s="53">
        <f t="shared" si="53"/>
        <v>615.83749999999998</v>
      </c>
    </row>
    <row r="360" spans="1:55" ht="13.15">
      <c r="A360" t="s">
        <v>1322</v>
      </c>
      <c r="B360" t="s">
        <v>35</v>
      </c>
      <c r="C360" s="52" t="s">
        <v>1323</v>
      </c>
      <c r="D360" s="52" t="s">
        <v>1323</v>
      </c>
      <c r="E360">
        <v>45</v>
      </c>
      <c r="F360">
        <v>55</v>
      </c>
      <c r="G360" s="64">
        <v>44404</v>
      </c>
      <c r="H360">
        <v>300</v>
      </c>
      <c r="I360">
        <v>300</v>
      </c>
      <c r="J360">
        <v>6</v>
      </c>
      <c r="K360">
        <v>1</v>
      </c>
      <c r="L360">
        <v>0</v>
      </c>
      <c r="M360">
        <v>9</v>
      </c>
      <c r="N360">
        <v>0</v>
      </c>
      <c r="O360">
        <v>0</v>
      </c>
      <c r="P360" s="69">
        <f t="shared" si="54"/>
        <v>0</v>
      </c>
      <c r="Q360" s="82"/>
      <c r="R360" s="83"/>
      <c r="S360" s="94"/>
      <c r="T360" s="81"/>
      <c r="U360" s="93"/>
      <c r="V360" s="81"/>
      <c r="W360" s="94"/>
      <c r="X360" s="81"/>
      <c r="Y360" s="93"/>
      <c r="Z360" s="81"/>
      <c r="AA360" s="94"/>
      <c r="AB360" s="81"/>
      <c r="AC360" s="93"/>
      <c r="AD360" s="81"/>
      <c r="AE360" s="94"/>
      <c r="AF360" s="81"/>
      <c r="AG360" s="93"/>
      <c r="AH360" s="81"/>
      <c r="AI360" s="94"/>
      <c r="AJ360" s="81"/>
      <c r="AK360" s="93"/>
      <c r="AL360" s="81"/>
      <c r="AM360" s="94"/>
      <c r="AN360" s="81"/>
      <c r="AO360" s="93"/>
      <c r="AP360" s="81"/>
      <c r="AQ360" s="94"/>
      <c r="AR360" s="81"/>
      <c r="AS360" s="94"/>
      <c r="AT360" s="306"/>
      <c r="AU360" s="94"/>
      <c r="AV360" s="306"/>
      <c r="AW360" s="94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">
        <v>1324</v>
      </c>
      <c r="B361" t="s">
        <v>35</v>
      </c>
      <c r="C361" s="52" t="s">
        <v>1323</v>
      </c>
      <c r="D361" s="52" t="s">
        <v>1323</v>
      </c>
      <c r="E361">
        <v>10</v>
      </c>
      <c r="F361">
        <v>10</v>
      </c>
      <c r="G361" s="64">
        <v>44404</v>
      </c>
      <c r="H361">
        <v>300</v>
      </c>
      <c r="I361">
        <v>300</v>
      </c>
      <c r="J361">
        <v>6</v>
      </c>
      <c r="K361">
        <v>6</v>
      </c>
      <c r="L361">
        <v>0</v>
      </c>
      <c r="M361">
        <v>23</v>
      </c>
      <c r="N361">
        <v>9</v>
      </c>
      <c r="O361">
        <v>0</v>
      </c>
      <c r="P361" s="69">
        <f t="shared" si="54"/>
        <v>0</v>
      </c>
      <c r="Q361" s="82"/>
      <c r="R361" s="83"/>
      <c r="S361" s="94"/>
      <c r="T361" s="81"/>
      <c r="U361" s="93"/>
      <c r="V361" s="81"/>
      <c r="W361" s="94"/>
      <c r="X361" s="81"/>
      <c r="Y361" s="93"/>
      <c r="Z361" s="81"/>
      <c r="AA361" s="94"/>
      <c r="AB361" s="81"/>
      <c r="AC361" s="93"/>
      <c r="AD361" s="81"/>
      <c r="AE361" s="94"/>
      <c r="AF361" s="81"/>
      <c r="AG361" s="93"/>
      <c r="AH361" s="81"/>
      <c r="AI361" s="94"/>
      <c r="AJ361" s="81"/>
      <c r="AK361" s="93"/>
      <c r="AL361" s="81"/>
      <c r="AM361" s="94"/>
      <c r="AN361" s="81"/>
      <c r="AO361" s="93"/>
      <c r="AP361" s="81"/>
      <c r="AQ361" s="94"/>
      <c r="AR361" s="81"/>
      <c r="AS361" s="94"/>
      <c r="AT361" s="306"/>
      <c r="AU361" s="94"/>
      <c r="AV361" s="306"/>
      <c r="AW361" s="94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">
        <v>1325</v>
      </c>
      <c r="B362" t="s">
        <v>36</v>
      </c>
      <c r="C362" s="52" t="s">
        <v>1326</v>
      </c>
      <c r="D362" s="52" t="s">
        <v>1326</v>
      </c>
      <c r="E362">
        <v>170</v>
      </c>
      <c r="F362">
        <v>179</v>
      </c>
      <c r="G362" s="64">
        <v>45048</v>
      </c>
      <c r="H362">
        <v>300</v>
      </c>
      <c r="I362">
        <v>300</v>
      </c>
      <c r="J362">
        <v>4</v>
      </c>
      <c r="K362">
        <v>2</v>
      </c>
      <c r="L362">
        <v>0</v>
      </c>
      <c r="M362">
        <v>24</v>
      </c>
      <c r="N362">
        <v>11</v>
      </c>
      <c r="O362">
        <v>0</v>
      </c>
      <c r="P362" s="69">
        <f t="shared" si="54"/>
        <v>83.333333333333329</v>
      </c>
      <c r="Q362" s="84" t="s">
        <v>333</v>
      </c>
      <c r="R362" s="85">
        <v>2</v>
      </c>
      <c r="S362" s="86" t="s">
        <v>334</v>
      </c>
      <c r="T362" s="87">
        <v>2</v>
      </c>
      <c r="U362" s="93"/>
      <c r="V362" s="81"/>
      <c r="W362" s="94"/>
      <c r="X362" s="81"/>
      <c r="Y362" s="93"/>
      <c r="Z362" s="81"/>
      <c r="AA362" s="94"/>
      <c r="AB362" s="81"/>
      <c r="AC362" s="93"/>
      <c r="AD362" s="81"/>
      <c r="AE362" s="94"/>
      <c r="AF362" s="81"/>
      <c r="AG362" s="93"/>
      <c r="AH362" s="81"/>
      <c r="AI362" s="94"/>
      <c r="AJ362" s="81"/>
      <c r="AK362" s="93"/>
      <c r="AL362" s="81"/>
      <c r="AM362" s="94"/>
      <c r="AN362" s="81"/>
      <c r="AO362" s="93"/>
      <c r="AP362" s="81"/>
      <c r="AQ362" s="94"/>
      <c r="AR362" s="81"/>
      <c r="AS362" s="94"/>
      <c r="AT362" s="306"/>
      <c r="AU362" s="94"/>
      <c r="AV362" s="306"/>
      <c r="AW362" s="94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">
        <v>1327</v>
      </c>
      <c r="B363" t="s">
        <v>36</v>
      </c>
      <c r="C363" s="52" t="s">
        <v>1326</v>
      </c>
      <c r="D363" s="52" t="s">
        <v>1326</v>
      </c>
      <c r="E363">
        <v>80</v>
      </c>
      <c r="F363">
        <v>90</v>
      </c>
      <c r="G363" s="64">
        <v>45048</v>
      </c>
      <c r="H363">
        <v>600</v>
      </c>
      <c r="I363">
        <v>600</v>
      </c>
      <c r="J363">
        <v>1</v>
      </c>
      <c r="K363">
        <v>0</v>
      </c>
      <c r="L363">
        <v>3</v>
      </c>
      <c r="M363">
        <v>17</v>
      </c>
      <c r="N363">
        <v>12</v>
      </c>
      <c r="O363">
        <v>0</v>
      </c>
      <c r="P363" s="69">
        <f t="shared" si="54"/>
        <v>31.25</v>
      </c>
      <c r="Q363" s="303" t="s">
        <v>335</v>
      </c>
      <c r="R363" s="305">
        <v>1.5</v>
      </c>
      <c r="S363" s="94"/>
      <c r="T363" s="81"/>
      <c r="U363" s="93"/>
      <c r="V363" s="81"/>
      <c r="W363" s="94"/>
      <c r="X363" s="81"/>
      <c r="Y363" s="93"/>
      <c r="Z363" s="81"/>
      <c r="AA363" s="94"/>
      <c r="AB363" s="81"/>
      <c r="AC363" s="93"/>
      <c r="AD363" s="81"/>
      <c r="AE363" s="94"/>
      <c r="AF363" s="81"/>
      <c r="AG363" s="93"/>
      <c r="AH363" s="81"/>
      <c r="AI363" s="94"/>
      <c r="AJ363" s="81"/>
      <c r="AK363" s="93"/>
      <c r="AL363" s="81"/>
      <c r="AM363" s="94"/>
      <c r="AN363" s="81"/>
      <c r="AO363" s="93"/>
      <c r="AP363" s="81"/>
      <c r="AQ363" s="94"/>
      <c r="AR363" s="81"/>
      <c r="AS363" s="94"/>
      <c r="AT363" s="306"/>
      <c r="AU363" s="94"/>
      <c r="AV363" s="306"/>
      <c r="AW363" s="94"/>
      <c r="AX363" s="66">
        <f t="shared" si="50"/>
        <v>1.5</v>
      </c>
      <c r="AY363" s="78">
        <f t="shared" si="51"/>
        <v>31.25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95.625</v>
      </c>
      <c r="BC363" s="53">
        <f t="shared" si="53"/>
        <v>105.625</v>
      </c>
    </row>
    <row r="364" spans="1:55" ht="13.15">
      <c r="A364" t="s">
        <v>1328</v>
      </c>
      <c r="B364" t="s">
        <v>36</v>
      </c>
      <c r="C364" s="52" t="s">
        <v>1326</v>
      </c>
      <c r="D364" s="52" t="s">
        <v>1326</v>
      </c>
      <c r="E364">
        <v>10</v>
      </c>
      <c r="F364">
        <v>10</v>
      </c>
      <c r="G364" s="64">
        <v>45048</v>
      </c>
      <c r="H364">
        <v>600</v>
      </c>
      <c r="I364">
        <v>600</v>
      </c>
      <c r="J364">
        <v>6</v>
      </c>
      <c r="K364">
        <v>6</v>
      </c>
      <c r="L364">
        <v>6</v>
      </c>
      <c r="M364">
        <v>22</v>
      </c>
      <c r="N364">
        <v>4</v>
      </c>
      <c r="O364">
        <v>0</v>
      </c>
      <c r="P364" s="69">
        <f t="shared" si="54"/>
        <v>0</v>
      </c>
      <c r="Q364" s="93"/>
      <c r="R364" s="81"/>
      <c r="S364" s="94"/>
      <c r="T364" s="81"/>
      <c r="U364" s="93"/>
      <c r="V364" s="81"/>
      <c r="W364" s="94"/>
      <c r="X364" s="81"/>
      <c r="Y364" s="93"/>
      <c r="Z364" s="81"/>
      <c r="AA364" s="94"/>
      <c r="AB364" s="81"/>
      <c r="AC364" s="93"/>
      <c r="AD364" s="81"/>
      <c r="AE364" s="94"/>
      <c r="AF364" s="81"/>
      <c r="AG364" s="93"/>
      <c r="AH364" s="81"/>
      <c r="AI364" s="94"/>
      <c r="AJ364" s="81"/>
      <c r="AK364" s="93"/>
      <c r="AL364" s="81"/>
      <c r="AM364" s="94"/>
      <c r="AN364" s="81"/>
      <c r="AO364" s="93"/>
      <c r="AP364" s="81"/>
      <c r="AQ364" s="94"/>
      <c r="AR364" s="81"/>
      <c r="AS364" s="94"/>
      <c r="AT364" s="306"/>
      <c r="AU364" s="94"/>
      <c r="AV364" s="306"/>
      <c r="AW364" s="94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">
        <v>1329</v>
      </c>
      <c r="B365">
        <v>0</v>
      </c>
      <c r="C365" s="52" t="s">
        <v>1330</v>
      </c>
      <c r="D365" s="52" t="s">
        <v>1330</v>
      </c>
      <c r="E365">
        <v>413.05000000000007</v>
      </c>
      <c r="F365">
        <v>413.05000000000007</v>
      </c>
      <c r="G365" s="64">
        <v>45233</v>
      </c>
      <c r="H365">
        <v>600</v>
      </c>
      <c r="I365">
        <v>600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69">
        <f t="shared" si="54"/>
        <v>0</v>
      </c>
      <c r="Q365" s="93"/>
      <c r="R365" s="81"/>
      <c r="S365" s="94"/>
      <c r="T365" s="81"/>
      <c r="U365" s="93"/>
      <c r="V365" s="81"/>
      <c r="W365" s="94"/>
      <c r="X365" s="81"/>
      <c r="Y365" s="93"/>
      <c r="Z365" s="81"/>
      <c r="AA365" s="94"/>
      <c r="AB365" s="81"/>
      <c r="AC365" s="93"/>
      <c r="AD365" s="81"/>
      <c r="AE365" s="94"/>
      <c r="AF365" s="81"/>
      <c r="AG365" s="93"/>
      <c r="AH365" s="81"/>
      <c r="AI365" s="94"/>
      <c r="AJ365" s="81"/>
      <c r="AK365" s="93"/>
      <c r="AL365" s="81"/>
      <c r="AM365" s="94"/>
      <c r="AN365" s="81"/>
      <c r="AO365" s="93"/>
      <c r="AP365" s="81"/>
      <c r="AQ365" s="94"/>
      <c r="AR365" s="81"/>
      <c r="AS365" s="94"/>
      <c r="AT365" s="306"/>
      <c r="AU365" s="94"/>
      <c r="AV365" s="306"/>
      <c r="AW365" s="94"/>
      <c r="AX365" s="66">
        <f t="shared" si="50"/>
        <v>0</v>
      </c>
      <c r="AY365" s="78">
        <f t="shared" si="51"/>
        <v>0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413.05000000000007</v>
      </c>
      <c r="BC365" s="53">
        <f t="shared" si="53"/>
        <v>413.05000000000007</v>
      </c>
    </row>
    <row r="366" spans="1:55" ht="13.15">
      <c r="A366" t="s">
        <v>1331</v>
      </c>
      <c r="B366" t="s">
        <v>80</v>
      </c>
      <c r="C366" s="52" t="s">
        <v>1332</v>
      </c>
      <c r="D366" s="52" t="s">
        <v>1332</v>
      </c>
      <c r="E366">
        <v>120</v>
      </c>
      <c r="F366">
        <v>140</v>
      </c>
      <c r="G366" s="64" t="s">
        <v>1333</v>
      </c>
      <c r="H366">
        <v>300</v>
      </c>
      <c r="I366">
        <v>300</v>
      </c>
      <c r="J366">
        <v>4</v>
      </c>
      <c r="K366">
        <v>1</v>
      </c>
      <c r="L366">
        <v>0</v>
      </c>
      <c r="M366">
        <v>5</v>
      </c>
      <c r="N366">
        <v>6</v>
      </c>
      <c r="O366">
        <v>0</v>
      </c>
      <c r="P366" s="69">
        <f t="shared" si="54"/>
        <v>10.416666666666666</v>
      </c>
      <c r="Q366" s="82" t="s">
        <v>459</v>
      </c>
      <c r="R366" s="83">
        <v>0.5</v>
      </c>
      <c r="S366" s="94"/>
      <c r="T366" s="81"/>
      <c r="U366" s="93"/>
      <c r="V366" s="81"/>
      <c r="W366" s="94"/>
      <c r="X366" s="81"/>
      <c r="Y366" s="93"/>
      <c r="Z366" s="81"/>
      <c r="AA366" s="94"/>
      <c r="AB366" s="81"/>
      <c r="AC366" s="93"/>
      <c r="AD366" s="81"/>
      <c r="AE366" s="94"/>
      <c r="AF366" s="81"/>
      <c r="AG366" s="93"/>
      <c r="AH366" s="81"/>
      <c r="AI366" s="94"/>
      <c r="AJ366" s="81"/>
      <c r="AK366" s="93"/>
      <c r="AL366" s="81"/>
      <c r="AM366" s="94"/>
      <c r="AN366" s="81"/>
      <c r="AO366" s="93"/>
      <c r="AP366" s="81"/>
      <c r="AQ366" s="94"/>
      <c r="AR366" s="81"/>
      <c r="AS366" s="94"/>
      <c r="AT366" s="306"/>
      <c r="AU366" s="94"/>
      <c r="AV366" s="306"/>
      <c r="AW366" s="94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">
        <v>1334</v>
      </c>
      <c r="B367" t="s">
        <v>80</v>
      </c>
      <c r="C367" s="52" t="s">
        <v>1332</v>
      </c>
      <c r="D367" s="52" t="s">
        <v>1332</v>
      </c>
      <c r="E367">
        <v>20</v>
      </c>
      <c r="F367">
        <v>20</v>
      </c>
      <c r="G367" s="64">
        <v>41866</v>
      </c>
      <c r="H367">
        <v>300</v>
      </c>
      <c r="I367">
        <v>300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s="69">
        <f t="shared" si="54"/>
        <v>52.083333333333336</v>
      </c>
      <c r="Q367" s="82" t="s">
        <v>460</v>
      </c>
      <c r="R367" s="83">
        <v>2.5</v>
      </c>
      <c r="S367" s="94"/>
      <c r="T367" s="81"/>
      <c r="U367" s="93"/>
      <c r="V367" s="81"/>
      <c r="W367" s="94"/>
      <c r="X367" s="81"/>
      <c r="Y367" s="93"/>
      <c r="Z367" s="81"/>
      <c r="AA367" s="94"/>
      <c r="AB367" s="81"/>
      <c r="AC367" s="93"/>
      <c r="AD367" s="81"/>
      <c r="AE367" s="94"/>
      <c r="AF367" s="81"/>
      <c r="AG367" s="93"/>
      <c r="AH367" s="81"/>
      <c r="AI367" s="94"/>
      <c r="AJ367" s="81"/>
      <c r="AK367" s="93"/>
      <c r="AL367" s="81"/>
      <c r="AM367" s="94"/>
      <c r="AN367" s="81"/>
      <c r="AO367" s="93"/>
      <c r="AP367" s="81"/>
      <c r="AQ367" s="94"/>
      <c r="AR367" s="81"/>
      <c r="AS367" s="94"/>
      <c r="AT367" s="306"/>
      <c r="AU367" s="94"/>
      <c r="AV367" s="306"/>
      <c r="AW367" s="94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">
        <v>1335</v>
      </c>
      <c r="B368" t="s">
        <v>84</v>
      </c>
      <c r="C368" s="52" t="s">
        <v>1336</v>
      </c>
      <c r="D368" s="52" t="s">
        <v>1336</v>
      </c>
      <c r="E368">
        <v>5</v>
      </c>
      <c r="F368">
        <v>5</v>
      </c>
      <c r="G368" s="64">
        <v>42871</v>
      </c>
      <c r="H368">
        <v>300</v>
      </c>
      <c r="I368">
        <v>300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53</v>
      </c>
      <c r="P368" s="69">
        <f t="shared" si="54"/>
        <v>0</v>
      </c>
      <c r="Q368" s="93"/>
      <c r="R368" s="81"/>
      <c r="S368" s="94"/>
      <c r="T368" s="81"/>
      <c r="U368" s="93"/>
      <c r="V368" s="81"/>
      <c r="W368" s="94"/>
      <c r="X368" s="81"/>
      <c r="Y368" s="93"/>
      <c r="Z368" s="81"/>
      <c r="AA368" s="94"/>
      <c r="AB368" s="81"/>
      <c r="AC368" s="93"/>
      <c r="AD368" s="81"/>
      <c r="AE368" s="94"/>
      <c r="AF368" s="81"/>
      <c r="AG368" s="93"/>
      <c r="AH368" s="81"/>
      <c r="AI368" s="94"/>
      <c r="AJ368" s="81"/>
      <c r="AK368" s="93"/>
      <c r="AL368" s="81"/>
      <c r="AM368" s="94"/>
      <c r="AN368" s="81"/>
      <c r="AO368" s="93"/>
      <c r="AP368" s="81"/>
      <c r="AQ368" s="94"/>
      <c r="AR368" s="81"/>
      <c r="AS368" s="94"/>
      <c r="AT368" s="306"/>
      <c r="AU368" s="94"/>
      <c r="AV368" s="306"/>
      <c r="AW368" s="94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">
        <v>1337</v>
      </c>
      <c r="B369" t="s">
        <v>1338</v>
      </c>
      <c r="C369" s="52" t="s">
        <v>1339</v>
      </c>
      <c r="D369" s="52" t="s">
        <v>1339</v>
      </c>
      <c r="E369">
        <v>3.9</v>
      </c>
      <c r="F369">
        <v>0</v>
      </c>
      <c r="G369" s="64">
        <v>45272</v>
      </c>
      <c r="H369">
        <v>360</v>
      </c>
      <c r="I369">
        <v>360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69">
        <f t="shared" si="54"/>
        <v>243.75</v>
      </c>
      <c r="Q369" s="82" t="s">
        <v>1340</v>
      </c>
      <c r="R369" s="83">
        <v>11.7</v>
      </c>
      <c r="S369" s="82"/>
      <c r="T369" s="83"/>
      <c r="U369" s="93"/>
      <c r="V369" s="81"/>
      <c r="W369" s="94"/>
      <c r="X369" s="81"/>
      <c r="Y369" s="93"/>
      <c r="Z369" s="81"/>
      <c r="AA369" s="94"/>
      <c r="AB369" s="81"/>
      <c r="AC369" s="93"/>
      <c r="AD369" s="81"/>
      <c r="AE369" s="94"/>
      <c r="AF369" s="81"/>
      <c r="AG369" s="93"/>
      <c r="AH369" s="81"/>
      <c r="AI369" s="94"/>
      <c r="AJ369" s="81"/>
      <c r="AK369" s="93"/>
      <c r="AL369" s="81"/>
      <c r="AM369" s="94"/>
      <c r="AN369" s="81"/>
      <c r="AO369" s="93"/>
      <c r="AP369" s="81"/>
      <c r="AQ369" s="94"/>
      <c r="AR369" s="81"/>
      <c r="AS369" s="94"/>
      <c r="AT369" s="306"/>
      <c r="AU369" s="94"/>
      <c r="AV369" s="306"/>
      <c r="AW369" s="94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125.77500000000001</v>
      </c>
      <c r="BC369" s="53">
        <f t="shared" si="53"/>
        <v>121.875</v>
      </c>
    </row>
    <row r="370" spans="1:55" ht="13.15">
      <c r="A370" t="s">
        <v>1341</v>
      </c>
      <c r="B370" t="s">
        <v>1338</v>
      </c>
      <c r="C370" s="52" t="s">
        <v>1339</v>
      </c>
      <c r="D370" s="52" t="s">
        <v>1339</v>
      </c>
      <c r="E370">
        <v>60</v>
      </c>
      <c r="F370">
        <v>50</v>
      </c>
      <c r="G370" s="64">
        <v>44571</v>
      </c>
      <c r="H370">
        <v>300</v>
      </c>
      <c r="I370">
        <v>300</v>
      </c>
      <c r="J370">
        <v>6</v>
      </c>
      <c r="K370">
        <v>7</v>
      </c>
      <c r="L370">
        <v>0</v>
      </c>
      <c r="M370">
        <v>14</v>
      </c>
      <c r="N370">
        <v>3</v>
      </c>
      <c r="O370">
        <v>0</v>
      </c>
      <c r="P370" s="69">
        <f t="shared" si="54"/>
        <v>20.833333333333332</v>
      </c>
      <c r="Q370" s="109" t="s">
        <v>486</v>
      </c>
      <c r="R370" s="261">
        <v>1</v>
      </c>
      <c r="S370" s="94"/>
      <c r="T370" s="81"/>
      <c r="U370" s="93"/>
      <c r="V370" s="81"/>
      <c r="W370" s="94"/>
      <c r="X370" s="81"/>
      <c r="Y370" s="93"/>
      <c r="Z370" s="81"/>
      <c r="AA370" s="94"/>
      <c r="AB370" s="81"/>
      <c r="AC370" s="93"/>
      <c r="AD370" s="81"/>
      <c r="AE370" s="94"/>
      <c r="AF370" s="81"/>
      <c r="AG370" s="93"/>
      <c r="AH370" s="81"/>
      <c r="AI370" s="94"/>
      <c r="AJ370" s="81"/>
      <c r="AK370" s="93"/>
      <c r="AL370" s="81"/>
      <c r="AM370" s="94"/>
      <c r="AN370" s="81"/>
      <c r="AO370" s="93"/>
      <c r="AP370" s="81"/>
      <c r="AQ370" s="94"/>
      <c r="AR370" s="81"/>
      <c r="AS370" s="94"/>
      <c r="AT370" s="306"/>
      <c r="AU370" s="94"/>
      <c r="AV370" s="306"/>
      <c r="AW370" s="94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">
        <v>1342</v>
      </c>
      <c r="B371" t="s">
        <v>1338</v>
      </c>
      <c r="C371" s="52" t="s">
        <v>1339</v>
      </c>
      <c r="D371" s="52" t="s">
        <v>1339</v>
      </c>
      <c r="E371">
        <v>0</v>
      </c>
      <c r="F371">
        <v>0</v>
      </c>
      <c r="G371" s="64">
        <v>44397</v>
      </c>
      <c r="H371">
        <v>300</v>
      </c>
      <c r="I371">
        <v>300</v>
      </c>
      <c r="J371">
        <v>6</v>
      </c>
      <c r="K371">
        <v>6</v>
      </c>
      <c r="L371">
        <v>12</v>
      </c>
      <c r="M371">
        <v>22</v>
      </c>
      <c r="N371">
        <v>10</v>
      </c>
      <c r="O371">
        <v>0</v>
      </c>
      <c r="P371" s="69">
        <f t="shared" si="54"/>
        <v>0</v>
      </c>
      <c r="Q371" s="82"/>
      <c r="R371" s="83"/>
      <c r="S371" s="94"/>
      <c r="T371" s="81"/>
      <c r="U371" s="93"/>
      <c r="V371" s="81"/>
      <c r="W371" s="94"/>
      <c r="X371" s="81"/>
      <c r="Y371" s="93"/>
      <c r="Z371" s="81"/>
      <c r="AA371" s="94"/>
      <c r="AB371" s="81"/>
      <c r="AC371" s="93"/>
      <c r="AD371" s="81"/>
      <c r="AE371" s="94"/>
      <c r="AF371" s="81"/>
      <c r="AG371" s="93"/>
      <c r="AH371" s="81"/>
      <c r="AI371" s="94"/>
      <c r="AJ371" s="81"/>
      <c r="AK371" s="93"/>
      <c r="AL371" s="81"/>
      <c r="AM371" s="94"/>
      <c r="AN371" s="81"/>
      <c r="AO371" s="93"/>
      <c r="AP371" s="81"/>
      <c r="AQ371" s="94"/>
      <c r="AR371" s="81"/>
      <c r="AS371" s="94"/>
      <c r="AT371" s="306"/>
      <c r="AU371" s="94"/>
      <c r="AV371" s="306"/>
      <c r="AW371" s="94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">
        <v>1343</v>
      </c>
      <c r="B372" t="s">
        <v>89</v>
      </c>
      <c r="C372" s="52" t="s">
        <v>1344</v>
      </c>
      <c r="D372" s="52" t="s">
        <v>1344</v>
      </c>
      <c r="E372">
        <v>0</v>
      </c>
      <c r="F372">
        <v>3.8</v>
      </c>
      <c r="G372" s="64">
        <v>45243</v>
      </c>
      <c r="H372">
        <v>360</v>
      </c>
      <c r="I372">
        <v>360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69">
        <f t="shared" si="54"/>
        <v>243.75</v>
      </c>
      <c r="Q372" s="82" t="s">
        <v>477</v>
      </c>
      <c r="R372" s="83">
        <v>11.7</v>
      </c>
      <c r="S372" s="82"/>
      <c r="T372" s="83"/>
      <c r="U372" s="93"/>
      <c r="V372" s="81"/>
      <c r="W372" s="94"/>
      <c r="X372" s="81"/>
      <c r="Y372" s="93"/>
      <c r="Z372" s="81"/>
      <c r="AA372" s="94"/>
      <c r="AB372" s="81"/>
      <c r="AC372" s="93"/>
      <c r="AD372" s="81"/>
      <c r="AE372" s="94"/>
      <c r="AF372" s="81"/>
      <c r="AG372" s="93"/>
      <c r="AH372" s="81"/>
      <c r="AI372" s="94"/>
      <c r="AJ372" s="81"/>
      <c r="AK372" s="93"/>
      <c r="AL372" s="81"/>
      <c r="AM372" s="94"/>
      <c r="AN372" s="81"/>
      <c r="AO372" s="93"/>
      <c r="AP372" s="81"/>
      <c r="AQ372" s="94"/>
      <c r="AR372" s="81"/>
      <c r="AS372" s="94"/>
      <c r="AT372" s="306"/>
      <c r="AU372" s="94"/>
      <c r="AV372" s="306"/>
      <c r="AW372" s="94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121.875</v>
      </c>
      <c r="BC372" s="53">
        <f t="shared" ref="BC372:BC437" si="59">SUM(P372/2)+F372</f>
        <v>125.675</v>
      </c>
    </row>
    <row r="373" spans="1:55" ht="13.15">
      <c r="A373" t="s">
        <v>1345</v>
      </c>
      <c r="B373" t="s">
        <v>89</v>
      </c>
      <c r="C373" s="52" t="s">
        <v>1346</v>
      </c>
      <c r="D373" s="52" t="s">
        <v>1346</v>
      </c>
      <c r="E373">
        <v>0</v>
      </c>
      <c r="F373">
        <v>0</v>
      </c>
      <c r="G373" s="64">
        <v>44382</v>
      </c>
      <c r="H373" t="s">
        <v>1347</v>
      </c>
      <c r="I373" t="s">
        <v>1347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69">
        <f t="shared" ref="P373:P438" si="60">SUM(AY373+BA373)</f>
        <v>0</v>
      </c>
      <c r="Q373" s="93"/>
      <c r="R373" s="81"/>
      <c r="S373" s="94"/>
      <c r="T373" s="81"/>
      <c r="U373" s="93"/>
      <c r="V373" s="81"/>
      <c r="W373" s="94"/>
      <c r="X373" s="81"/>
      <c r="Y373" s="93"/>
      <c r="Z373" s="81"/>
      <c r="AA373" s="94"/>
      <c r="AB373" s="81"/>
      <c r="AC373" s="93"/>
      <c r="AD373" s="81"/>
      <c r="AE373" s="94"/>
      <c r="AF373" s="81"/>
      <c r="AG373" s="93"/>
      <c r="AH373" s="81"/>
      <c r="AI373" s="94"/>
      <c r="AJ373" s="81"/>
      <c r="AK373" s="93"/>
      <c r="AL373" s="81"/>
      <c r="AM373" s="94"/>
      <c r="AN373" s="81"/>
      <c r="AO373" s="93"/>
      <c r="AP373" s="81"/>
      <c r="AQ373" s="94"/>
      <c r="AR373" s="81"/>
      <c r="AS373" s="94"/>
      <c r="AT373" s="306"/>
      <c r="AU373" s="94"/>
      <c r="AV373" s="306"/>
      <c r="AW373" s="94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">
        <v>1348</v>
      </c>
      <c r="B374" t="s">
        <v>89</v>
      </c>
      <c r="C374" s="52" t="s">
        <v>1346</v>
      </c>
      <c r="D374" s="52" t="s">
        <v>1346</v>
      </c>
      <c r="E374">
        <v>30</v>
      </c>
      <c r="F374">
        <v>45</v>
      </c>
      <c r="G374" s="64">
        <v>44938</v>
      </c>
      <c r="H374">
        <v>300</v>
      </c>
      <c r="I374">
        <v>300</v>
      </c>
      <c r="J374">
        <v>5</v>
      </c>
      <c r="K374">
        <v>6</v>
      </c>
      <c r="L374">
        <v>2</v>
      </c>
      <c r="M374">
        <v>18</v>
      </c>
      <c r="N374">
        <v>10</v>
      </c>
      <c r="O374">
        <v>0</v>
      </c>
      <c r="P374" s="69">
        <f t="shared" si="60"/>
        <v>20.833333333333332</v>
      </c>
      <c r="Q374" s="109" t="s">
        <v>478</v>
      </c>
      <c r="R374" s="261">
        <v>1</v>
      </c>
      <c r="S374" s="94"/>
      <c r="T374" s="81"/>
      <c r="U374" s="93"/>
      <c r="V374" s="81"/>
      <c r="W374" s="94"/>
      <c r="X374" s="81"/>
      <c r="Y374" s="93"/>
      <c r="Z374" s="81"/>
      <c r="AA374" s="94"/>
      <c r="AB374" s="81"/>
      <c r="AC374" s="93"/>
      <c r="AD374" s="81"/>
      <c r="AE374" s="94"/>
      <c r="AF374" s="81"/>
      <c r="AG374" s="93"/>
      <c r="AH374" s="81"/>
      <c r="AI374" s="94"/>
      <c r="AJ374" s="81"/>
      <c r="AK374" s="93"/>
      <c r="AL374" s="81"/>
      <c r="AM374" s="94"/>
      <c r="AN374" s="81"/>
      <c r="AO374" s="93"/>
      <c r="AP374" s="81"/>
      <c r="AQ374" s="94"/>
      <c r="AR374" s="81"/>
      <c r="AS374" s="94"/>
      <c r="AT374" s="306"/>
      <c r="AU374" s="94"/>
      <c r="AV374" s="306"/>
      <c r="AW374" s="94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55.416666666666664</v>
      </c>
    </row>
    <row r="375" spans="1:55" ht="13.15">
      <c r="A375" t="s">
        <v>1349</v>
      </c>
      <c r="B375" t="s">
        <v>113</v>
      </c>
      <c r="C375" s="52" t="s">
        <v>1350</v>
      </c>
      <c r="D375" s="52" t="s">
        <v>1350</v>
      </c>
      <c r="E375">
        <v>0</v>
      </c>
      <c r="F375">
        <v>0</v>
      </c>
      <c r="G375" s="64">
        <v>0</v>
      </c>
      <c r="H375">
        <v>300</v>
      </c>
      <c r="I375">
        <v>300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69">
        <f t="shared" si="60"/>
        <v>0</v>
      </c>
      <c r="Q375" s="93"/>
      <c r="R375" s="81"/>
      <c r="S375" s="94"/>
      <c r="T375" s="81"/>
      <c r="U375" s="93"/>
      <c r="V375" s="81"/>
      <c r="W375" s="94"/>
      <c r="X375" s="81"/>
      <c r="Y375" s="93"/>
      <c r="Z375" s="81"/>
      <c r="AA375" s="94"/>
      <c r="AB375" s="81"/>
      <c r="AC375" s="93"/>
      <c r="AD375" s="81"/>
      <c r="AE375" s="94"/>
      <c r="AF375" s="81"/>
      <c r="AG375" s="93"/>
      <c r="AH375" s="81"/>
      <c r="AI375" s="94"/>
      <c r="AJ375" s="81"/>
      <c r="AK375" s="93"/>
      <c r="AL375" s="81"/>
      <c r="AM375" s="94"/>
      <c r="AN375" s="81"/>
      <c r="AO375" s="93"/>
      <c r="AP375" s="81"/>
      <c r="AQ375" s="94"/>
      <c r="AR375" s="81"/>
      <c r="AS375" s="94"/>
      <c r="AT375" s="306"/>
      <c r="AU375" s="94"/>
      <c r="AV375" s="306"/>
      <c r="AW375" s="94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">
        <v>1351</v>
      </c>
      <c r="B376" t="s">
        <v>123</v>
      </c>
      <c r="C376" s="52" t="s">
        <v>1352</v>
      </c>
      <c r="D376" s="52" t="s">
        <v>1352</v>
      </c>
      <c r="E376">
        <v>90</v>
      </c>
      <c r="F376">
        <v>90</v>
      </c>
      <c r="G376" s="64">
        <v>44999</v>
      </c>
      <c r="H376">
        <v>300</v>
      </c>
      <c r="I376">
        <v>300</v>
      </c>
      <c r="J376">
        <v>5</v>
      </c>
      <c r="K376">
        <v>5</v>
      </c>
      <c r="L376">
        <v>0</v>
      </c>
      <c r="M376">
        <v>10</v>
      </c>
      <c r="N376">
        <v>9</v>
      </c>
      <c r="O376">
        <v>0</v>
      </c>
      <c r="P376" s="69">
        <f t="shared" si="60"/>
        <v>62.5</v>
      </c>
      <c r="Q376" s="86" t="s">
        <v>528</v>
      </c>
      <c r="R376" s="261">
        <v>2</v>
      </c>
      <c r="S376" s="82" t="s">
        <v>529</v>
      </c>
      <c r="T376" s="83">
        <v>1</v>
      </c>
      <c r="U376" s="93"/>
      <c r="V376" s="81"/>
      <c r="W376" s="94"/>
      <c r="X376" s="81"/>
      <c r="Y376" s="93"/>
      <c r="Z376" s="81"/>
      <c r="AA376" s="94"/>
      <c r="AB376" s="81"/>
      <c r="AC376" s="93"/>
      <c r="AD376" s="81"/>
      <c r="AE376" s="94"/>
      <c r="AF376" s="81"/>
      <c r="AG376" s="93"/>
      <c r="AH376" s="81"/>
      <c r="AI376" s="94"/>
      <c r="AJ376" s="81"/>
      <c r="AK376" s="93"/>
      <c r="AL376" s="81"/>
      <c r="AM376" s="94"/>
      <c r="AN376" s="81"/>
      <c r="AO376" s="93"/>
      <c r="AP376" s="81"/>
      <c r="AQ376" s="94"/>
      <c r="AR376" s="81"/>
      <c r="AS376" s="94"/>
      <c r="AT376" s="306"/>
      <c r="AU376" s="94"/>
      <c r="AV376" s="306"/>
      <c r="AW376" s="94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">
        <v>1353</v>
      </c>
      <c r="B377" t="s">
        <v>125</v>
      </c>
      <c r="C377" s="52" t="s">
        <v>1354</v>
      </c>
      <c r="D377" s="52" t="s">
        <v>1354</v>
      </c>
      <c r="E377">
        <v>1.5</v>
      </c>
      <c r="F377">
        <v>2.4</v>
      </c>
      <c r="G377" s="64">
        <v>45273</v>
      </c>
      <c r="H377">
        <v>360</v>
      </c>
      <c r="I377">
        <v>360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69">
        <f t="shared" si="60"/>
        <v>245.83333333333334</v>
      </c>
      <c r="Q377" s="82" t="s">
        <v>530</v>
      </c>
      <c r="R377" s="83">
        <v>11.8</v>
      </c>
      <c r="S377" s="94"/>
      <c r="T377" s="81"/>
      <c r="U377" s="93"/>
      <c r="V377" s="81"/>
      <c r="W377" s="94"/>
      <c r="X377" s="81"/>
      <c r="Y377" s="93"/>
      <c r="Z377" s="81"/>
      <c r="AA377" s="94"/>
      <c r="AB377" s="81"/>
      <c r="AC377" s="93"/>
      <c r="AD377" s="81"/>
      <c r="AE377" s="94"/>
      <c r="AF377" s="81"/>
      <c r="AG377" s="93"/>
      <c r="AH377" s="81"/>
      <c r="AI377" s="94"/>
      <c r="AJ377" s="81"/>
      <c r="AK377" s="93"/>
      <c r="AL377" s="81"/>
      <c r="AM377" s="94"/>
      <c r="AN377" s="81"/>
      <c r="AO377" s="93"/>
      <c r="AP377" s="81"/>
      <c r="AQ377" s="94"/>
      <c r="AR377" s="81"/>
      <c r="AS377" s="94"/>
      <c r="AT377" s="306"/>
      <c r="AU377" s="94"/>
      <c r="AV377" s="306"/>
      <c r="AW377" s="94"/>
      <c r="AX377" s="66">
        <f t="shared" si="56"/>
        <v>11.8</v>
      </c>
      <c r="AY377" s="78">
        <f t="shared" si="57"/>
        <v>245.83333333333334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124.41666666666667</v>
      </c>
      <c r="BC377" s="53">
        <f t="shared" si="59"/>
        <v>125.31666666666668</v>
      </c>
    </row>
    <row r="378" spans="1:55" ht="13.15">
      <c r="A378" t="s">
        <v>1355</v>
      </c>
      <c r="B378" t="s">
        <v>129</v>
      </c>
      <c r="C378" s="52" t="s">
        <v>1356</v>
      </c>
      <c r="D378" s="52" t="s">
        <v>1356</v>
      </c>
      <c r="E378">
        <v>0</v>
      </c>
      <c r="F378">
        <v>4</v>
      </c>
      <c r="G378" s="64">
        <v>45244</v>
      </c>
      <c r="H378">
        <v>360</v>
      </c>
      <c r="I378">
        <v>360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69">
        <f t="shared" si="60"/>
        <v>243.75</v>
      </c>
      <c r="Q378" s="82" t="s">
        <v>1357</v>
      </c>
      <c r="R378" s="83">
        <v>11.7</v>
      </c>
      <c r="S378" s="94"/>
      <c r="T378" s="81"/>
      <c r="U378" s="93"/>
      <c r="V378" s="81"/>
      <c r="W378" s="94"/>
      <c r="X378" s="81"/>
      <c r="Y378" s="93"/>
      <c r="Z378" s="81"/>
      <c r="AA378" s="94"/>
      <c r="AB378" s="81"/>
      <c r="AC378" s="93"/>
      <c r="AD378" s="81"/>
      <c r="AE378" s="94"/>
      <c r="AF378" s="81"/>
      <c r="AG378" s="93"/>
      <c r="AH378" s="81"/>
      <c r="AI378" s="94"/>
      <c r="AJ378" s="81"/>
      <c r="AK378" s="93"/>
      <c r="AL378" s="81"/>
      <c r="AM378" s="94"/>
      <c r="AN378" s="81"/>
      <c r="AO378" s="93"/>
      <c r="AP378" s="81"/>
      <c r="AQ378" s="94"/>
      <c r="AR378" s="81"/>
      <c r="AS378" s="94"/>
      <c r="AT378" s="306"/>
      <c r="AU378" s="94"/>
      <c r="AV378" s="306"/>
      <c r="AW378" s="94"/>
      <c r="AX378" s="66">
        <f t="shared" si="56"/>
        <v>11.7</v>
      </c>
      <c r="AY378" s="78">
        <f t="shared" si="57"/>
        <v>243.75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121.875</v>
      </c>
      <c r="BC378" s="53">
        <f t="shared" si="59"/>
        <v>125.875</v>
      </c>
    </row>
    <row r="379" spans="1:55" ht="13.15">
      <c r="A379" t="s">
        <v>1358</v>
      </c>
      <c r="B379" t="s">
        <v>129</v>
      </c>
      <c r="C379" s="52" t="s">
        <v>1356</v>
      </c>
      <c r="D379" s="52" t="s">
        <v>1356</v>
      </c>
      <c r="E379">
        <v>0</v>
      </c>
      <c r="F379">
        <v>0</v>
      </c>
      <c r="G379" s="64">
        <v>44260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36</v>
      </c>
      <c r="P379" s="69">
        <f t="shared" si="60"/>
        <v>0</v>
      </c>
      <c r="Q379" s="93"/>
      <c r="R379" s="81"/>
      <c r="S379" s="94"/>
      <c r="T379" s="81"/>
      <c r="U379" s="93"/>
      <c r="V379" s="81"/>
      <c r="W379" s="94"/>
      <c r="X379" s="81"/>
      <c r="Y379" s="93"/>
      <c r="Z379" s="81"/>
      <c r="AA379" s="94"/>
      <c r="AB379" s="81"/>
      <c r="AC379" s="93"/>
      <c r="AD379" s="81"/>
      <c r="AE379" s="94"/>
      <c r="AF379" s="81"/>
      <c r="AG379" s="93"/>
      <c r="AH379" s="81"/>
      <c r="AI379" s="94"/>
      <c r="AJ379" s="81"/>
      <c r="AK379" s="93"/>
      <c r="AL379" s="81"/>
      <c r="AM379" s="94"/>
      <c r="AN379" s="81"/>
      <c r="AO379" s="93"/>
      <c r="AP379" s="81"/>
      <c r="AQ379" s="94"/>
      <c r="AR379" s="81"/>
      <c r="AS379" s="94"/>
      <c r="AT379" s="306"/>
      <c r="AU379" s="94"/>
      <c r="AV379" s="306"/>
      <c r="AW379" s="94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">
        <v>1359</v>
      </c>
      <c r="B380" t="s">
        <v>129</v>
      </c>
      <c r="C380" s="52" t="s">
        <v>1356</v>
      </c>
      <c r="D380" s="52" t="s">
        <v>1356</v>
      </c>
      <c r="E380">
        <v>20</v>
      </c>
      <c r="F380">
        <v>20</v>
      </c>
      <c r="G380" s="64">
        <v>44399</v>
      </c>
      <c r="H380">
        <v>300</v>
      </c>
      <c r="I380">
        <v>300</v>
      </c>
      <c r="J380">
        <v>6</v>
      </c>
      <c r="K380">
        <v>4</v>
      </c>
      <c r="L380">
        <v>8</v>
      </c>
      <c r="M380">
        <v>20</v>
      </c>
      <c r="N380">
        <v>12</v>
      </c>
      <c r="O380">
        <v>0</v>
      </c>
      <c r="P380" s="69">
        <f t="shared" si="60"/>
        <v>0</v>
      </c>
      <c r="Q380" s="93"/>
      <c r="R380" s="81"/>
      <c r="S380" s="94"/>
      <c r="T380" s="81"/>
      <c r="U380" s="93"/>
      <c r="V380" s="81"/>
      <c r="W380" s="94"/>
      <c r="X380" s="81"/>
      <c r="Y380" s="93"/>
      <c r="Z380" s="81"/>
      <c r="AA380" s="94"/>
      <c r="AB380" s="81"/>
      <c r="AC380" s="93"/>
      <c r="AD380" s="81"/>
      <c r="AE380" s="94"/>
      <c r="AF380" s="81"/>
      <c r="AG380" s="93"/>
      <c r="AH380" s="81"/>
      <c r="AI380" s="94"/>
      <c r="AJ380" s="81"/>
      <c r="AK380" s="93"/>
      <c r="AL380" s="81"/>
      <c r="AM380" s="94"/>
      <c r="AN380" s="81"/>
      <c r="AO380" s="93"/>
      <c r="AP380" s="81"/>
      <c r="AQ380" s="94"/>
      <c r="AR380" s="81"/>
      <c r="AS380" s="94"/>
      <c r="AT380" s="306"/>
      <c r="AU380" s="94"/>
      <c r="AV380" s="306"/>
      <c r="AW380" s="94"/>
      <c r="AX380" s="66">
        <f t="shared" si="56"/>
        <v>0</v>
      </c>
      <c r="AY380" s="78">
        <f t="shared" si="57"/>
        <v>0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20</v>
      </c>
      <c r="BC380" s="53">
        <f t="shared" si="59"/>
        <v>20</v>
      </c>
    </row>
    <row r="381" spans="1:55" ht="13.15">
      <c r="A381" t="s">
        <v>1360</v>
      </c>
      <c r="B381" t="s">
        <v>192</v>
      </c>
      <c r="C381" s="52" t="s">
        <v>1361</v>
      </c>
      <c r="D381" s="52" t="s">
        <v>1361</v>
      </c>
      <c r="E381">
        <v>24.5</v>
      </c>
      <c r="F381">
        <v>22.4</v>
      </c>
      <c r="G381" s="64">
        <v>45271</v>
      </c>
      <c r="H381">
        <v>360</v>
      </c>
      <c r="I381">
        <v>360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69">
        <f t="shared" si="60"/>
        <v>302.08333333333331</v>
      </c>
      <c r="Q381" s="82" t="s">
        <v>654</v>
      </c>
      <c r="R381" s="83">
        <v>2.6</v>
      </c>
      <c r="S381" s="82" t="s">
        <v>1362</v>
      </c>
      <c r="T381" s="83">
        <v>11.9</v>
      </c>
      <c r="U381" s="93"/>
      <c r="V381" s="81"/>
      <c r="W381" s="94"/>
      <c r="X381" s="81"/>
      <c r="Y381" s="93"/>
      <c r="Z381" s="81"/>
      <c r="AA381" s="94"/>
      <c r="AB381" s="81"/>
      <c r="AC381" s="93"/>
      <c r="AD381" s="81"/>
      <c r="AE381" s="94"/>
      <c r="AF381" s="81"/>
      <c r="AG381" s="93"/>
      <c r="AH381" s="81"/>
      <c r="AI381" s="94"/>
      <c r="AJ381" s="81"/>
      <c r="AK381" s="93"/>
      <c r="AL381" s="81"/>
      <c r="AM381" s="94"/>
      <c r="AN381" s="81"/>
      <c r="AO381" s="93"/>
      <c r="AP381" s="81"/>
      <c r="AQ381" s="94"/>
      <c r="AR381" s="81"/>
      <c r="AS381" s="94"/>
      <c r="AT381" s="306"/>
      <c r="AU381" s="94"/>
      <c r="AV381" s="306"/>
      <c r="AW381" s="94"/>
      <c r="AX381" s="66">
        <f t="shared" si="56"/>
        <v>14.5</v>
      </c>
      <c r="AY381" s="78">
        <f t="shared" si="57"/>
        <v>302.08333333333331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175.54166666666666</v>
      </c>
      <c r="BC381" s="53">
        <f t="shared" si="59"/>
        <v>173.44166666666666</v>
      </c>
    </row>
    <row r="382" spans="1:55" ht="13.15">
      <c r="A382" t="s">
        <v>1363</v>
      </c>
      <c r="B382" t="s">
        <v>192</v>
      </c>
      <c r="C382" s="52" t="s">
        <v>1361</v>
      </c>
      <c r="D382" s="52" t="s">
        <v>1361</v>
      </c>
      <c r="E382">
        <v>40</v>
      </c>
      <c r="F382">
        <v>20</v>
      </c>
      <c r="G382" s="64">
        <v>44398</v>
      </c>
      <c r="H382">
        <v>300</v>
      </c>
      <c r="I382">
        <v>300</v>
      </c>
      <c r="J382">
        <v>6</v>
      </c>
      <c r="K382">
        <v>7</v>
      </c>
      <c r="L382">
        <v>0</v>
      </c>
      <c r="M382">
        <v>19</v>
      </c>
      <c r="N382">
        <v>8</v>
      </c>
      <c r="O382">
        <v>0</v>
      </c>
      <c r="P382" s="69">
        <f t="shared" si="60"/>
        <v>0</v>
      </c>
      <c r="Q382" s="93"/>
      <c r="R382" s="81"/>
      <c r="S382" s="94"/>
      <c r="T382" s="81"/>
      <c r="U382" s="93"/>
      <c r="V382" s="81"/>
      <c r="W382" s="94"/>
      <c r="X382" s="81"/>
      <c r="Y382" s="93"/>
      <c r="Z382" s="81"/>
      <c r="AA382" s="94"/>
      <c r="AB382" s="81"/>
      <c r="AC382" s="93"/>
      <c r="AD382" s="81"/>
      <c r="AE382" s="94"/>
      <c r="AF382" s="81"/>
      <c r="AG382" s="93"/>
      <c r="AH382" s="81"/>
      <c r="AI382" s="94"/>
      <c r="AJ382" s="81"/>
      <c r="AK382" s="93"/>
      <c r="AL382" s="81"/>
      <c r="AM382" s="94"/>
      <c r="AN382" s="81"/>
      <c r="AO382" s="93"/>
      <c r="AP382" s="81"/>
      <c r="AQ382" s="94"/>
      <c r="AR382" s="81"/>
      <c r="AS382" s="94"/>
      <c r="AT382" s="306"/>
      <c r="AU382" s="94"/>
      <c r="AV382" s="306"/>
      <c r="AW382" s="94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">
        <v>1364</v>
      </c>
      <c r="B383" t="s">
        <v>198</v>
      </c>
      <c r="C383" s="52" t="s">
        <v>1365</v>
      </c>
      <c r="D383" s="52" t="s">
        <v>1365</v>
      </c>
      <c r="E383">
        <v>4.4000000000000004</v>
      </c>
      <c r="F383">
        <v>0</v>
      </c>
      <c r="G383" s="64">
        <v>45271</v>
      </c>
      <c r="H383">
        <v>360</v>
      </c>
      <c r="I383">
        <v>360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69">
        <f t="shared" si="60"/>
        <v>427.08333333333331</v>
      </c>
      <c r="Q383" s="82" t="s">
        <v>657</v>
      </c>
      <c r="R383" s="83">
        <v>4.8</v>
      </c>
      <c r="S383" s="82" t="s">
        <v>1366</v>
      </c>
      <c r="T383" s="83">
        <v>11.9</v>
      </c>
      <c r="U383" s="86" t="s">
        <v>659</v>
      </c>
      <c r="V383" s="261">
        <v>3.8</v>
      </c>
      <c r="W383" s="94"/>
      <c r="X383" s="81"/>
      <c r="Y383" s="93"/>
      <c r="Z383" s="81"/>
      <c r="AA383" s="94"/>
      <c r="AB383" s="81"/>
      <c r="AC383" s="93"/>
      <c r="AD383" s="81"/>
      <c r="AE383" s="94"/>
      <c r="AF383" s="81"/>
      <c r="AG383" s="93"/>
      <c r="AH383" s="81"/>
      <c r="AI383" s="94"/>
      <c r="AJ383" s="81"/>
      <c r="AK383" s="93"/>
      <c r="AL383" s="81"/>
      <c r="AM383" s="94"/>
      <c r="AN383" s="81"/>
      <c r="AO383" s="93"/>
      <c r="AP383" s="81"/>
      <c r="AQ383" s="94"/>
      <c r="AR383" s="81"/>
      <c r="AS383" s="94"/>
      <c r="AT383" s="306"/>
      <c r="AU383" s="94"/>
      <c r="AV383" s="306"/>
      <c r="AW383" s="94"/>
      <c r="AX383" s="66">
        <f t="shared" si="56"/>
        <v>20.5</v>
      </c>
      <c r="AY383" s="78">
        <f t="shared" si="57"/>
        <v>427.08333333333331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217.94166666666666</v>
      </c>
      <c r="BC383" s="53">
        <f t="shared" si="59"/>
        <v>213.54166666666666</v>
      </c>
    </row>
    <row r="384" spans="1:55" ht="13.15">
      <c r="A384" t="s">
        <v>1367</v>
      </c>
      <c r="B384" t="s">
        <v>198</v>
      </c>
      <c r="C384" s="52" t="s">
        <v>1365</v>
      </c>
      <c r="D384" s="52" t="s">
        <v>1365</v>
      </c>
      <c r="E384">
        <v>100</v>
      </c>
      <c r="F384">
        <v>25</v>
      </c>
      <c r="G384" s="64">
        <v>44999</v>
      </c>
      <c r="H384">
        <v>300</v>
      </c>
      <c r="I384">
        <v>300</v>
      </c>
      <c r="J384">
        <v>0</v>
      </c>
      <c r="K384">
        <v>0</v>
      </c>
      <c r="L384">
        <v>3</v>
      </c>
      <c r="M384">
        <v>14</v>
      </c>
      <c r="N384">
        <v>10</v>
      </c>
      <c r="O384">
        <v>0</v>
      </c>
      <c r="P384" s="69">
        <f t="shared" si="60"/>
        <v>20.833333333333332</v>
      </c>
      <c r="Q384" s="104" t="s">
        <v>660</v>
      </c>
      <c r="R384" s="103">
        <v>1</v>
      </c>
      <c r="S384" s="94"/>
      <c r="T384" s="81"/>
      <c r="U384" s="93"/>
      <c r="V384" s="81"/>
      <c r="W384" s="94"/>
      <c r="X384" s="81"/>
      <c r="Y384" s="93"/>
      <c r="Z384" s="81"/>
      <c r="AA384" s="94"/>
      <c r="AB384" s="81"/>
      <c r="AC384" s="93"/>
      <c r="AD384" s="81"/>
      <c r="AE384" s="94"/>
      <c r="AF384" s="81"/>
      <c r="AG384" s="93"/>
      <c r="AH384" s="81"/>
      <c r="AI384" s="94"/>
      <c r="AJ384" s="81"/>
      <c r="AK384" s="93"/>
      <c r="AL384" s="81"/>
      <c r="AM384" s="94"/>
      <c r="AN384" s="81"/>
      <c r="AO384" s="93"/>
      <c r="AP384" s="81"/>
      <c r="AQ384" s="94"/>
      <c r="AR384" s="81"/>
      <c r="AS384" s="94"/>
      <c r="AT384" s="306"/>
      <c r="AU384" s="94"/>
      <c r="AV384" s="306"/>
      <c r="AW384" s="94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">
        <v>1368</v>
      </c>
      <c r="B385" t="s">
        <v>198</v>
      </c>
      <c r="C385" s="52" t="s">
        <v>1365</v>
      </c>
      <c r="D385" s="52" t="s">
        <v>1365</v>
      </c>
      <c r="E385">
        <v>55</v>
      </c>
      <c r="F385">
        <v>50</v>
      </c>
      <c r="G385" s="64">
        <v>44999</v>
      </c>
      <c r="H385">
        <v>300</v>
      </c>
      <c r="I385">
        <v>300</v>
      </c>
      <c r="J385">
        <v>6</v>
      </c>
      <c r="K385">
        <v>0</v>
      </c>
      <c r="L385">
        <v>1</v>
      </c>
      <c r="M385">
        <v>22</v>
      </c>
      <c r="N385">
        <v>11</v>
      </c>
      <c r="O385">
        <v>1</v>
      </c>
      <c r="P385" s="69">
        <f t="shared" si="60"/>
        <v>20.833333333333332</v>
      </c>
      <c r="Q385" s="109" t="s">
        <v>1369</v>
      </c>
      <c r="R385" s="261">
        <v>1</v>
      </c>
      <c r="S385" s="94"/>
      <c r="T385" s="81"/>
      <c r="U385" s="93"/>
      <c r="V385" s="81"/>
      <c r="W385" s="94"/>
      <c r="X385" s="81"/>
      <c r="Y385" s="93"/>
      <c r="Z385" s="81"/>
      <c r="AA385" s="94"/>
      <c r="AB385" s="81"/>
      <c r="AC385" s="93"/>
      <c r="AD385" s="81"/>
      <c r="AE385" s="94"/>
      <c r="AF385" s="81"/>
      <c r="AG385" s="93"/>
      <c r="AH385" s="81"/>
      <c r="AI385" s="94"/>
      <c r="AJ385" s="81"/>
      <c r="AK385" s="93"/>
      <c r="AL385" s="81"/>
      <c r="AM385" s="94"/>
      <c r="AN385" s="81"/>
      <c r="AO385" s="93"/>
      <c r="AP385" s="81"/>
      <c r="AQ385" s="94"/>
      <c r="AR385" s="81"/>
      <c r="AS385" s="94"/>
      <c r="AT385" s="306"/>
      <c r="AU385" s="94"/>
      <c r="AV385" s="306"/>
      <c r="AW385" s="94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">
        <v>1370</v>
      </c>
      <c r="B386" t="s">
        <v>195</v>
      </c>
      <c r="C386" s="52" t="s">
        <v>1371</v>
      </c>
      <c r="D386" s="52" t="s">
        <v>1371</v>
      </c>
      <c r="E386">
        <v>60</v>
      </c>
      <c r="F386">
        <v>45</v>
      </c>
      <c r="G386" s="64">
        <v>45070</v>
      </c>
      <c r="H386">
        <v>300</v>
      </c>
      <c r="I386">
        <v>300</v>
      </c>
      <c r="J386">
        <v>4</v>
      </c>
      <c r="K386">
        <v>2</v>
      </c>
      <c r="L386">
        <v>0</v>
      </c>
      <c r="M386">
        <v>20</v>
      </c>
      <c r="N386">
        <v>8</v>
      </c>
      <c r="O386">
        <v>0</v>
      </c>
      <c r="P386" s="69">
        <f t="shared" si="60"/>
        <v>83.333333333333329</v>
      </c>
      <c r="Q386" s="82" t="s">
        <v>655</v>
      </c>
      <c r="R386" s="83">
        <v>2</v>
      </c>
      <c r="S386" s="102" t="s">
        <v>656</v>
      </c>
      <c r="T386" s="103">
        <v>2</v>
      </c>
      <c r="U386" s="93"/>
      <c r="V386" s="81"/>
      <c r="W386" s="94"/>
      <c r="X386" s="81"/>
      <c r="Y386" s="93"/>
      <c r="Z386" s="81"/>
      <c r="AA386" s="94"/>
      <c r="AB386" s="81"/>
      <c r="AC386" s="93"/>
      <c r="AD386" s="81"/>
      <c r="AE386" s="94"/>
      <c r="AF386" s="81"/>
      <c r="AG386" s="93"/>
      <c r="AH386" s="81"/>
      <c r="AI386" s="94"/>
      <c r="AJ386" s="81"/>
      <c r="AK386" s="93"/>
      <c r="AL386" s="81"/>
      <c r="AM386" s="94"/>
      <c r="AN386" s="81"/>
      <c r="AO386" s="93"/>
      <c r="AP386" s="81"/>
      <c r="AQ386" s="94"/>
      <c r="AR386" s="81"/>
      <c r="AS386" s="94"/>
      <c r="AT386" s="306"/>
      <c r="AU386" s="94"/>
      <c r="AV386" s="306"/>
      <c r="AW386" s="94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">
        <v>1372</v>
      </c>
      <c r="B387" t="s">
        <v>194</v>
      </c>
      <c r="C387" s="52" t="s">
        <v>1371</v>
      </c>
      <c r="D387" s="52" t="s">
        <v>1371</v>
      </c>
      <c r="E387">
        <v>10</v>
      </c>
      <c r="F387">
        <v>20</v>
      </c>
      <c r="G387" s="64">
        <v>45070</v>
      </c>
      <c r="H387">
        <v>300</v>
      </c>
      <c r="I387">
        <v>300</v>
      </c>
      <c r="J387">
        <v>0</v>
      </c>
      <c r="K387">
        <v>5</v>
      </c>
      <c r="L387">
        <v>0</v>
      </c>
      <c r="M387">
        <v>0</v>
      </c>
      <c r="N387">
        <v>6</v>
      </c>
      <c r="O387">
        <v>0</v>
      </c>
      <c r="P387" s="69">
        <f t="shared" si="60"/>
        <v>0</v>
      </c>
      <c r="Q387" s="93"/>
      <c r="R387" s="81"/>
      <c r="S387" s="94"/>
      <c r="T387" s="81"/>
      <c r="U387" s="93"/>
      <c r="V387" s="81"/>
      <c r="W387" s="94"/>
      <c r="X387" s="81"/>
      <c r="Y387" s="93"/>
      <c r="Z387" s="81"/>
      <c r="AA387" s="94"/>
      <c r="AB387" s="81"/>
      <c r="AC387" s="93"/>
      <c r="AD387" s="81"/>
      <c r="AE387" s="94"/>
      <c r="AF387" s="81"/>
      <c r="AG387" s="93"/>
      <c r="AH387" s="81"/>
      <c r="AI387" s="94"/>
      <c r="AJ387" s="81"/>
      <c r="AK387" s="93"/>
      <c r="AL387" s="81"/>
      <c r="AM387" s="94"/>
      <c r="AN387" s="81"/>
      <c r="AO387" s="93"/>
      <c r="AP387" s="81"/>
      <c r="AQ387" s="94"/>
      <c r="AR387" s="81"/>
      <c r="AS387" s="94"/>
      <c r="AT387" s="306"/>
      <c r="AU387" s="94"/>
      <c r="AV387" s="306"/>
      <c r="AW387" s="94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">
        <v>1373</v>
      </c>
      <c r="B388" t="s">
        <v>195</v>
      </c>
      <c r="C388" s="52" t="s">
        <v>1371</v>
      </c>
      <c r="D388" s="52" t="s">
        <v>1371</v>
      </c>
      <c r="E388">
        <v>15</v>
      </c>
      <c r="F388">
        <v>0</v>
      </c>
      <c r="G388" s="64">
        <v>45070</v>
      </c>
      <c r="H388">
        <v>600</v>
      </c>
      <c r="I388">
        <v>0</v>
      </c>
      <c r="J388">
        <v>0</v>
      </c>
      <c r="K388">
        <v>15</v>
      </c>
      <c r="L388">
        <v>0</v>
      </c>
      <c r="M388">
        <v>0</v>
      </c>
      <c r="N388">
        <v>3</v>
      </c>
      <c r="O388">
        <v>0</v>
      </c>
      <c r="P388" s="69">
        <f t="shared" si="60"/>
        <v>0</v>
      </c>
      <c r="Q388" s="93"/>
      <c r="R388" s="81"/>
      <c r="S388" s="94"/>
      <c r="T388" s="81"/>
      <c r="U388" s="93"/>
      <c r="V388" s="81"/>
      <c r="W388" s="94"/>
      <c r="X388" s="81"/>
      <c r="Y388" s="93"/>
      <c r="Z388" s="81"/>
      <c r="AA388" s="94"/>
      <c r="AB388" s="81"/>
      <c r="AC388" s="93"/>
      <c r="AD388" s="81"/>
      <c r="AE388" s="94"/>
      <c r="AF388" s="81"/>
      <c r="AG388" s="93"/>
      <c r="AH388" s="81"/>
      <c r="AI388" s="94"/>
      <c r="AJ388" s="81"/>
      <c r="AK388" s="93"/>
      <c r="AL388" s="81"/>
      <c r="AM388" s="94"/>
      <c r="AN388" s="81"/>
      <c r="AO388" s="93"/>
      <c r="AP388" s="81"/>
      <c r="AQ388" s="94"/>
      <c r="AR388" s="81"/>
      <c r="AS388" s="94"/>
      <c r="AT388" s="306"/>
      <c r="AU388" s="94"/>
      <c r="AV388" s="306"/>
      <c r="AW388" s="94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">
        <v>1374</v>
      </c>
      <c r="B389" t="s">
        <v>195</v>
      </c>
      <c r="C389" s="52" t="s">
        <v>1371</v>
      </c>
      <c r="D389" s="52" t="s">
        <v>1371</v>
      </c>
      <c r="E389">
        <v>25</v>
      </c>
      <c r="F389">
        <v>0</v>
      </c>
      <c r="G389" s="64">
        <v>45070</v>
      </c>
      <c r="H389">
        <v>600</v>
      </c>
      <c r="I389">
        <v>0</v>
      </c>
      <c r="J389">
        <v>0</v>
      </c>
      <c r="K389">
        <v>14</v>
      </c>
      <c r="L389">
        <v>0</v>
      </c>
      <c r="M389">
        <v>0</v>
      </c>
      <c r="N389">
        <v>3</v>
      </c>
      <c r="O389">
        <v>0</v>
      </c>
      <c r="P389" s="69">
        <f t="shared" si="60"/>
        <v>0</v>
      </c>
      <c r="Q389" s="93"/>
      <c r="R389" s="81"/>
      <c r="S389" s="94"/>
      <c r="T389" s="81"/>
      <c r="U389" s="93"/>
      <c r="V389" s="81"/>
      <c r="W389" s="94"/>
      <c r="X389" s="81"/>
      <c r="Y389" s="93"/>
      <c r="Z389" s="81"/>
      <c r="AA389" s="94"/>
      <c r="AB389" s="81"/>
      <c r="AC389" s="93"/>
      <c r="AD389" s="81"/>
      <c r="AE389" s="94"/>
      <c r="AF389" s="81"/>
      <c r="AG389" s="93"/>
      <c r="AH389" s="81"/>
      <c r="AI389" s="94"/>
      <c r="AJ389" s="81"/>
      <c r="AK389" s="93"/>
      <c r="AL389" s="81"/>
      <c r="AM389" s="94"/>
      <c r="AN389" s="81"/>
      <c r="AO389" s="93"/>
      <c r="AP389" s="81"/>
      <c r="AQ389" s="94"/>
      <c r="AR389" s="81"/>
      <c r="AS389" s="94"/>
      <c r="AT389" s="306"/>
      <c r="AU389" s="94"/>
      <c r="AV389" s="306"/>
      <c r="AW389" s="94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">
        <v>1375</v>
      </c>
      <c r="B390" t="s">
        <v>195</v>
      </c>
      <c r="C390" s="52" t="s">
        <v>1371</v>
      </c>
      <c r="D390" s="52" t="s">
        <v>1376</v>
      </c>
      <c r="E390">
        <v>10</v>
      </c>
      <c r="F390">
        <v>0</v>
      </c>
      <c r="G390" s="64">
        <v>45070</v>
      </c>
      <c r="H390">
        <v>600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9</v>
      </c>
      <c r="O390">
        <v>0</v>
      </c>
      <c r="P390" s="69">
        <f t="shared" si="60"/>
        <v>0</v>
      </c>
      <c r="Q390" s="93"/>
      <c r="R390" s="81"/>
      <c r="S390" s="94"/>
      <c r="T390" s="81"/>
      <c r="U390" s="93"/>
      <c r="V390" s="81"/>
      <c r="W390" s="94"/>
      <c r="X390" s="81"/>
      <c r="Y390" s="93"/>
      <c r="Z390" s="81"/>
      <c r="AA390" s="94"/>
      <c r="AB390" s="81"/>
      <c r="AC390" s="93"/>
      <c r="AD390" s="81"/>
      <c r="AE390" s="94"/>
      <c r="AF390" s="81"/>
      <c r="AG390" s="93"/>
      <c r="AH390" s="81"/>
      <c r="AI390" s="94"/>
      <c r="AJ390" s="81"/>
      <c r="AK390" s="93"/>
      <c r="AL390" s="81"/>
      <c r="AM390" s="94"/>
      <c r="AN390" s="81"/>
      <c r="AO390" s="93"/>
      <c r="AP390" s="81"/>
      <c r="AQ390" s="94"/>
      <c r="AR390" s="81"/>
      <c r="AS390" s="94"/>
      <c r="AT390" s="306"/>
      <c r="AU390" s="94"/>
      <c r="AV390" s="306"/>
      <c r="AW390" s="94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">
        <v>1377</v>
      </c>
      <c r="B391" t="s">
        <v>195</v>
      </c>
      <c r="C391" s="52" t="s">
        <v>1371</v>
      </c>
      <c r="D391" s="52" t="s">
        <v>1378</v>
      </c>
      <c r="E391">
        <v>0</v>
      </c>
      <c r="F391">
        <v>0</v>
      </c>
      <c r="G391" s="64">
        <v>45070</v>
      </c>
      <c r="H391">
        <v>600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12</v>
      </c>
      <c r="O391">
        <v>0</v>
      </c>
      <c r="P391" s="69">
        <f t="shared" si="60"/>
        <v>0</v>
      </c>
      <c r="Q391" s="93"/>
      <c r="R391" s="81"/>
      <c r="S391" s="94"/>
      <c r="T391" s="81"/>
      <c r="U391" s="93"/>
      <c r="V391" s="81"/>
      <c r="W391" s="94"/>
      <c r="X391" s="81"/>
      <c r="Y391" s="93"/>
      <c r="Z391" s="81"/>
      <c r="AA391" s="94"/>
      <c r="AB391" s="81"/>
      <c r="AC391" s="93"/>
      <c r="AD391" s="81"/>
      <c r="AE391" s="94"/>
      <c r="AF391" s="81"/>
      <c r="AG391" s="93"/>
      <c r="AH391" s="81"/>
      <c r="AI391" s="94"/>
      <c r="AJ391" s="81"/>
      <c r="AK391" s="93"/>
      <c r="AL391" s="81"/>
      <c r="AM391" s="94"/>
      <c r="AN391" s="81"/>
      <c r="AO391" s="93"/>
      <c r="AP391" s="81"/>
      <c r="AQ391" s="94"/>
      <c r="AR391" s="81"/>
      <c r="AS391" s="94"/>
      <c r="AT391" s="306"/>
      <c r="AU391" s="94"/>
      <c r="AV391" s="306"/>
      <c r="AW391" s="94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">
        <v>1379</v>
      </c>
      <c r="B392" t="s">
        <v>194</v>
      </c>
      <c r="C392" s="52" t="s">
        <v>1371</v>
      </c>
      <c r="D392" s="52" t="s">
        <v>1380</v>
      </c>
      <c r="E392">
        <v>80</v>
      </c>
      <c r="F392">
        <v>80</v>
      </c>
      <c r="G392" s="64">
        <v>45070</v>
      </c>
      <c r="H392">
        <v>300</v>
      </c>
      <c r="I392">
        <v>300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 s="69">
        <f t="shared" si="60"/>
        <v>0</v>
      </c>
      <c r="Q392" s="93"/>
      <c r="R392" s="81"/>
      <c r="S392" s="94"/>
      <c r="T392" s="81"/>
      <c r="U392" s="93"/>
      <c r="V392" s="81"/>
      <c r="W392" s="94"/>
      <c r="X392" s="81"/>
      <c r="Y392" s="93"/>
      <c r="Z392" s="81"/>
      <c r="AA392" s="94"/>
      <c r="AB392" s="81"/>
      <c r="AC392" s="93"/>
      <c r="AD392" s="81"/>
      <c r="AE392" s="94"/>
      <c r="AF392" s="81"/>
      <c r="AG392" s="93"/>
      <c r="AH392" s="81"/>
      <c r="AI392" s="94"/>
      <c r="AJ392" s="81"/>
      <c r="AK392" s="93"/>
      <c r="AL392" s="81"/>
      <c r="AM392" s="94"/>
      <c r="AN392" s="81"/>
      <c r="AO392" s="93"/>
      <c r="AP392" s="81"/>
      <c r="AQ392" s="94"/>
      <c r="AR392" s="81"/>
      <c r="AS392" s="94"/>
      <c r="AT392" s="306"/>
      <c r="AU392" s="94"/>
      <c r="AV392" s="306"/>
      <c r="AW392" s="94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">
        <v>1381</v>
      </c>
      <c r="B393" t="s">
        <v>218</v>
      </c>
      <c r="C393" s="52" t="s">
        <v>1382</v>
      </c>
      <c r="D393" s="52" t="s">
        <v>1382</v>
      </c>
      <c r="E393">
        <v>152.5</v>
      </c>
      <c r="F393">
        <v>138.30000000000001</v>
      </c>
      <c r="G393" s="64">
        <v>45273</v>
      </c>
      <c r="H393">
        <v>360</v>
      </c>
      <c r="I393">
        <v>360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69">
        <f t="shared" si="60"/>
        <v>362.5</v>
      </c>
      <c r="Q393" s="82" t="s">
        <v>685</v>
      </c>
      <c r="R393" s="83">
        <v>2.4</v>
      </c>
      <c r="S393" s="82" t="s">
        <v>686</v>
      </c>
      <c r="T393" s="83">
        <v>0.9</v>
      </c>
      <c r="U393" s="82" t="s">
        <v>687</v>
      </c>
      <c r="V393" s="83">
        <v>2.2000000000000002</v>
      </c>
      <c r="W393" s="82" t="s">
        <v>688</v>
      </c>
      <c r="X393" s="83">
        <v>3.2</v>
      </c>
      <c r="Y393" s="82" t="s">
        <v>689</v>
      </c>
      <c r="Z393" s="83">
        <v>1.3</v>
      </c>
      <c r="AA393" s="82" t="s">
        <v>690</v>
      </c>
      <c r="AB393" s="287">
        <v>3.4</v>
      </c>
      <c r="AC393" s="82" t="s">
        <v>679</v>
      </c>
      <c r="AD393" s="287">
        <v>4</v>
      </c>
      <c r="AE393" s="94"/>
      <c r="AF393" s="81"/>
      <c r="AG393" s="93"/>
      <c r="AH393" s="81"/>
      <c r="AI393" s="94"/>
      <c r="AJ393" s="81"/>
      <c r="AK393" s="93"/>
      <c r="AL393" s="81"/>
      <c r="AM393" s="94"/>
      <c r="AN393" s="81"/>
      <c r="AO393" s="93"/>
      <c r="AP393" s="81"/>
      <c r="AQ393" s="94"/>
      <c r="AR393" s="81"/>
      <c r="AS393" s="94"/>
      <c r="AT393" s="306"/>
      <c r="AU393" s="94"/>
      <c r="AV393" s="306"/>
      <c r="AW393" s="94"/>
      <c r="AX393" s="66">
        <f t="shared" si="56"/>
        <v>17.399999999999999</v>
      </c>
      <c r="AY393" s="78">
        <f t="shared" si="57"/>
        <v>362.5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333.75</v>
      </c>
      <c r="BC393" s="53">
        <f t="shared" si="59"/>
        <v>319.55</v>
      </c>
    </row>
    <row r="394" spans="1:55" ht="13.15">
      <c r="A394" t="s">
        <v>1383</v>
      </c>
      <c r="B394" t="s">
        <v>217</v>
      </c>
      <c r="C394" s="52" t="s">
        <v>1382</v>
      </c>
      <c r="D394" s="52" t="s">
        <v>1382</v>
      </c>
      <c r="E394">
        <v>200</v>
      </c>
      <c r="F394">
        <v>200</v>
      </c>
      <c r="G394" s="64">
        <v>45014</v>
      </c>
      <c r="H394">
        <v>300</v>
      </c>
      <c r="I394">
        <v>300</v>
      </c>
      <c r="J394">
        <v>3</v>
      </c>
      <c r="K394">
        <v>1</v>
      </c>
      <c r="L394">
        <v>7</v>
      </c>
      <c r="M394">
        <v>3</v>
      </c>
      <c r="N394">
        <v>0</v>
      </c>
      <c r="O394">
        <v>4</v>
      </c>
      <c r="P394" s="69">
        <f t="shared" si="60"/>
        <v>312.5</v>
      </c>
      <c r="Q394" s="262" t="s">
        <v>681</v>
      </c>
      <c r="R394" s="276">
        <v>6</v>
      </c>
      <c r="S394" s="109" t="s">
        <v>682</v>
      </c>
      <c r="T394" s="261">
        <v>3</v>
      </c>
      <c r="U394" s="86" t="s">
        <v>683</v>
      </c>
      <c r="V394" s="87">
        <v>3</v>
      </c>
      <c r="W394" s="86" t="s">
        <v>684</v>
      </c>
      <c r="X394" s="87">
        <v>3</v>
      </c>
      <c r="Y394" s="93"/>
      <c r="Z394" s="81"/>
      <c r="AA394" s="94"/>
      <c r="AB394" s="81"/>
      <c r="AC394" s="93"/>
      <c r="AD394" s="81"/>
      <c r="AE394" s="94"/>
      <c r="AF394" s="81"/>
      <c r="AG394" s="93"/>
      <c r="AH394" s="81"/>
      <c r="AI394" s="94"/>
      <c r="AJ394" s="81"/>
      <c r="AK394" s="93"/>
      <c r="AL394" s="81"/>
      <c r="AM394" s="94"/>
      <c r="AN394" s="81"/>
      <c r="AO394" s="93"/>
      <c r="AP394" s="81"/>
      <c r="AQ394" s="94"/>
      <c r="AR394" s="81"/>
      <c r="AS394" s="94"/>
      <c r="AT394" s="306"/>
      <c r="AU394" s="94"/>
      <c r="AV394" s="306"/>
      <c r="AW394" s="94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">
        <v>1384</v>
      </c>
      <c r="B395" t="s">
        <v>218</v>
      </c>
      <c r="C395" s="52" t="s">
        <v>1382</v>
      </c>
      <c r="D395" s="52" t="s">
        <v>1382</v>
      </c>
      <c r="E395">
        <v>245</v>
      </c>
      <c r="F395">
        <v>245</v>
      </c>
      <c r="G395" s="64">
        <v>45009</v>
      </c>
      <c r="H395">
        <v>300</v>
      </c>
      <c r="I395">
        <v>300</v>
      </c>
      <c r="J395">
        <v>0</v>
      </c>
      <c r="K395">
        <v>0</v>
      </c>
      <c r="L395">
        <v>0</v>
      </c>
      <c r="M395">
        <v>2</v>
      </c>
      <c r="N395">
        <v>1</v>
      </c>
      <c r="O395">
        <v>0</v>
      </c>
      <c r="P395" s="69">
        <f t="shared" si="60"/>
        <v>0</v>
      </c>
      <c r="Q395" s="104"/>
      <c r="R395" s="103"/>
      <c r="S395" s="94"/>
      <c r="T395" s="81"/>
      <c r="U395" s="93"/>
      <c r="V395" s="81"/>
      <c r="W395" s="94"/>
      <c r="X395" s="81"/>
      <c r="Y395" s="93"/>
      <c r="Z395" s="81"/>
      <c r="AA395" s="94"/>
      <c r="AB395" s="81"/>
      <c r="AC395" s="93"/>
      <c r="AD395" s="81"/>
      <c r="AE395" s="94"/>
      <c r="AF395" s="81"/>
      <c r="AG395" s="93"/>
      <c r="AH395" s="81"/>
      <c r="AI395" s="94"/>
      <c r="AJ395" s="81"/>
      <c r="AK395" s="93"/>
      <c r="AL395" s="81"/>
      <c r="AM395" s="94"/>
      <c r="AN395" s="81"/>
      <c r="AO395" s="93"/>
      <c r="AP395" s="81"/>
      <c r="AQ395" s="94"/>
      <c r="AR395" s="81"/>
      <c r="AS395" s="94"/>
      <c r="AT395" s="306"/>
      <c r="AU395" s="94"/>
      <c r="AV395" s="306"/>
      <c r="AW395" s="94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">
        <v>1385</v>
      </c>
      <c r="B396" t="s">
        <v>217</v>
      </c>
      <c r="C396" s="52" t="s">
        <v>1382</v>
      </c>
      <c r="D396" s="52" t="s">
        <v>1382</v>
      </c>
      <c r="E396">
        <v>160</v>
      </c>
      <c r="F396">
        <v>160</v>
      </c>
      <c r="G396" s="64">
        <v>44844</v>
      </c>
      <c r="H396">
        <v>300</v>
      </c>
      <c r="I396">
        <v>300</v>
      </c>
      <c r="J396">
        <v>4</v>
      </c>
      <c r="K396">
        <v>4</v>
      </c>
      <c r="L396">
        <v>0</v>
      </c>
      <c r="M396">
        <v>9</v>
      </c>
      <c r="N396">
        <v>8</v>
      </c>
      <c r="O396">
        <v>0</v>
      </c>
      <c r="P396" s="69">
        <f t="shared" si="60"/>
        <v>239.58333333333334</v>
      </c>
      <c r="Q396" s="309" t="s">
        <v>1386</v>
      </c>
      <c r="R396" s="310">
        <v>2</v>
      </c>
      <c r="S396" s="311" t="s">
        <v>680</v>
      </c>
      <c r="T396" s="310">
        <v>2</v>
      </c>
      <c r="U396" s="109" t="s">
        <v>1387</v>
      </c>
      <c r="V396" s="261">
        <v>7.5</v>
      </c>
      <c r="W396" s="102"/>
      <c r="X396" s="261"/>
      <c r="Y396" s="104"/>
      <c r="Z396" s="103"/>
      <c r="AA396" s="94"/>
      <c r="AB396" s="81"/>
      <c r="AC396" s="93"/>
      <c r="AD396" s="81"/>
      <c r="AE396" s="94"/>
      <c r="AF396" s="81"/>
      <c r="AG396" s="93"/>
      <c r="AH396" s="81"/>
      <c r="AI396" s="94"/>
      <c r="AJ396" s="81"/>
      <c r="AK396" s="93"/>
      <c r="AL396" s="81"/>
      <c r="AM396" s="94"/>
      <c r="AN396" s="81"/>
      <c r="AO396" s="93"/>
      <c r="AP396" s="81"/>
      <c r="AQ396" s="94"/>
      <c r="AR396" s="81"/>
      <c r="AS396" s="94"/>
      <c r="AT396" s="306"/>
      <c r="AU396" s="94"/>
      <c r="AV396" s="306"/>
      <c r="AW396" s="94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">
        <v>1388</v>
      </c>
      <c r="B397" t="s">
        <v>217</v>
      </c>
      <c r="C397" s="52" t="s">
        <v>1382</v>
      </c>
      <c r="D397" s="52" t="s">
        <v>1382</v>
      </c>
      <c r="E397">
        <v>20</v>
      </c>
      <c r="F397">
        <v>20</v>
      </c>
      <c r="G397" s="64">
        <v>44844</v>
      </c>
      <c r="H397">
        <v>300</v>
      </c>
      <c r="I397">
        <v>300</v>
      </c>
      <c r="J397">
        <v>6</v>
      </c>
      <c r="K397">
        <v>4</v>
      </c>
      <c r="L397">
        <v>0</v>
      </c>
      <c r="M397">
        <v>24</v>
      </c>
      <c r="N397">
        <v>11</v>
      </c>
      <c r="O397">
        <v>0</v>
      </c>
      <c r="P397" s="69">
        <f t="shared" si="60"/>
        <v>104.16666666666667</v>
      </c>
      <c r="Q397" s="93" t="s">
        <v>1389</v>
      </c>
      <c r="R397" s="81">
        <v>5</v>
      </c>
      <c r="S397" s="94"/>
      <c r="T397" s="81"/>
      <c r="U397" s="93"/>
      <c r="V397" s="81"/>
      <c r="W397" s="94"/>
      <c r="X397" s="81"/>
      <c r="Y397" s="93"/>
      <c r="Z397" s="81"/>
      <c r="AA397" s="94"/>
      <c r="AB397" s="81"/>
      <c r="AC397" s="93"/>
      <c r="AD397" s="81"/>
      <c r="AE397" s="94"/>
      <c r="AF397" s="81"/>
      <c r="AG397" s="93"/>
      <c r="AH397" s="81"/>
      <c r="AI397" s="94"/>
      <c r="AJ397" s="81"/>
      <c r="AK397" s="93"/>
      <c r="AL397" s="81"/>
      <c r="AM397" s="94"/>
      <c r="AN397" s="81"/>
      <c r="AO397" s="93"/>
      <c r="AP397" s="81"/>
      <c r="AQ397" s="94"/>
      <c r="AR397" s="81"/>
      <c r="AS397" s="94"/>
      <c r="AT397" s="306"/>
      <c r="AU397" s="94"/>
      <c r="AV397" s="306"/>
      <c r="AW397" s="94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">
        <v>1390</v>
      </c>
      <c r="B398" t="s">
        <v>217</v>
      </c>
      <c r="C398" s="52" t="s">
        <v>1382</v>
      </c>
      <c r="D398" s="52" t="s">
        <v>1382</v>
      </c>
      <c r="E398">
        <v>160</v>
      </c>
      <c r="F398" t="s">
        <v>1391</v>
      </c>
      <c r="G398" s="64">
        <v>44844</v>
      </c>
      <c r="H398">
        <v>300</v>
      </c>
      <c r="I398">
        <v>300</v>
      </c>
      <c r="J398">
        <v>1</v>
      </c>
      <c r="K398">
        <v>2</v>
      </c>
      <c r="L398">
        <v>0</v>
      </c>
      <c r="M398">
        <v>9</v>
      </c>
      <c r="N398">
        <v>6</v>
      </c>
      <c r="O398">
        <v>0</v>
      </c>
      <c r="P398" s="69">
        <f t="shared" si="60"/>
        <v>10.416666666666666</v>
      </c>
      <c r="Q398" s="93" t="s">
        <v>678</v>
      </c>
      <c r="R398" s="81">
        <v>0.5</v>
      </c>
      <c r="S398" s="94"/>
      <c r="T398" s="81"/>
      <c r="U398" s="93"/>
      <c r="V398" s="81"/>
      <c r="W398" s="94"/>
      <c r="X398" s="81"/>
      <c r="Y398" s="93"/>
      <c r="Z398" s="81"/>
      <c r="AA398" s="94"/>
      <c r="AB398" s="81"/>
      <c r="AC398" s="93"/>
      <c r="AD398" s="81"/>
      <c r="AE398" s="94"/>
      <c r="AF398" s="81"/>
      <c r="AG398" s="93"/>
      <c r="AH398" s="81"/>
      <c r="AI398" s="94"/>
      <c r="AJ398" s="81"/>
      <c r="AK398" s="93"/>
      <c r="AL398" s="81"/>
      <c r="AM398" s="94"/>
      <c r="AN398" s="81"/>
      <c r="AO398" s="93"/>
      <c r="AP398" s="81"/>
      <c r="AQ398" s="94"/>
      <c r="AR398" s="81"/>
      <c r="AS398" s="94"/>
      <c r="AT398" s="306"/>
      <c r="AU398" s="94"/>
      <c r="AV398" s="306"/>
      <c r="AW398" s="94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">
        <v>1392</v>
      </c>
      <c r="B399" t="s">
        <v>217</v>
      </c>
      <c r="C399" s="52" t="s">
        <v>1382</v>
      </c>
      <c r="D399" s="52" t="s">
        <v>1382</v>
      </c>
      <c r="E399">
        <v>30</v>
      </c>
      <c r="F399" t="s">
        <v>1391</v>
      </c>
      <c r="G399" s="64">
        <v>44844</v>
      </c>
      <c r="H399">
        <v>300</v>
      </c>
      <c r="I399">
        <v>300</v>
      </c>
      <c r="J399">
        <v>6</v>
      </c>
      <c r="K399">
        <v>6</v>
      </c>
      <c r="L399">
        <v>0</v>
      </c>
      <c r="M399">
        <v>10</v>
      </c>
      <c r="N399">
        <v>9</v>
      </c>
      <c r="O399">
        <v>0</v>
      </c>
      <c r="P399" s="69">
        <f t="shared" si="60"/>
        <v>250</v>
      </c>
      <c r="Q399" s="82" t="s">
        <v>1393</v>
      </c>
      <c r="R399" s="83">
        <v>12</v>
      </c>
      <c r="S399" s="94"/>
      <c r="T399" s="81"/>
      <c r="U399" s="93"/>
      <c r="V399" s="81"/>
      <c r="W399" s="94">
        <v>0</v>
      </c>
      <c r="X399" s="81"/>
      <c r="Y399" s="93"/>
      <c r="Z399" s="81"/>
      <c r="AA399" s="94"/>
      <c r="AB399" s="81"/>
      <c r="AC399" s="93"/>
      <c r="AD399" s="81"/>
      <c r="AE399" s="94"/>
      <c r="AF399" s="81"/>
      <c r="AG399" s="93"/>
      <c r="AH399" s="81"/>
      <c r="AI399" s="94"/>
      <c r="AJ399" s="81"/>
      <c r="AK399" s="93"/>
      <c r="AL399" s="81"/>
      <c r="AM399" s="94"/>
      <c r="AN399" s="81"/>
      <c r="AO399" s="93"/>
      <c r="AP399" s="81"/>
      <c r="AQ399" s="94"/>
      <c r="AR399" s="81"/>
      <c r="AS399" s="94"/>
      <c r="AT399" s="306"/>
      <c r="AU399" s="94"/>
      <c r="AV399" s="306"/>
      <c r="AW399" s="94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">
        <v>1394</v>
      </c>
      <c r="B400" t="s">
        <v>217</v>
      </c>
      <c r="C400" s="52" t="s">
        <v>1382</v>
      </c>
      <c r="D400" s="52" t="s">
        <v>1382</v>
      </c>
      <c r="E400">
        <v>100</v>
      </c>
      <c r="F400">
        <v>100</v>
      </c>
      <c r="G400" s="64">
        <v>44844</v>
      </c>
      <c r="H400">
        <v>300</v>
      </c>
      <c r="I400">
        <v>300</v>
      </c>
      <c r="J400">
        <v>3</v>
      </c>
      <c r="K400">
        <v>2</v>
      </c>
      <c r="L400">
        <v>0</v>
      </c>
      <c r="M400">
        <v>16</v>
      </c>
      <c r="N400">
        <v>12</v>
      </c>
      <c r="O400">
        <v>0</v>
      </c>
      <c r="P400" s="69">
        <f t="shared" si="60"/>
        <v>0</v>
      </c>
      <c r="Q400" s="93"/>
      <c r="R400" s="81"/>
      <c r="S400" s="94"/>
      <c r="T400" s="81"/>
      <c r="U400" s="93"/>
      <c r="V400" s="81"/>
      <c r="W400" s="94"/>
      <c r="X400" s="81"/>
      <c r="Y400" s="93"/>
      <c r="Z400" s="81"/>
      <c r="AA400" s="94"/>
      <c r="AB400" s="81"/>
      <c r="AC400" s="93"/>
      <c r="AD400" s="81"/>
      <c r="AE400" s="94"/>
      <c r="AF400" s="81"/>
      <c r="AG400" s="93"/>
      <c r="AH400" s="81"/>
      <c r="AI400" s="94"/>
      <c r="AJ400" s="81"/>
      <c r="AK400" s="93"/>
      <c r="AL400" s="81"/>
      <c r="AM400" s="94"/>
      <c r="AN400" s="81"/>
      <c r="AO400" s="93"/>
      <c r="AP400" s="81"/>
      <c r="AQ400" s="94"/>
      <c r="AR400" s="81"/>
      <c r="AS400" s="94"/>
      <c r="AT400" s="306"/>
      <c r="AU400" s="94"/>
      <c r="AV400" s="306"/>
      <c r="AW400" s="94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">
        <v>1395</v>
      </c>
      <c r="B401" t="s">
        <v>216</v>
      </c>
      <c r="C401" s="52" t="s">
        <v>1396</v>
      </c>
      <c r="D401" s="52" t="s">
        <v>1396</v>
      </c>
      <c r="E401">
        <v>110</v>
      </c>
      <c r="F401">
        <v>100</v>
      </c>
      <c r="G401" s="64">
        <v>44362</v>
      </c>
      <c r="H401">
        <v>300</v>
      </c>
      <c r="I401">
        <v>300</v>
      </c>
      <c r="J401">
        <v>6</v>
      </c>
      <c r="K401">
        <v>4</v>
      </c>
      <c r="L401">
        <v>0</v>
      </c>
      <c r="M401">
        <v>9</v>
      </c>
      <c r="N401">
        <v>11</v>
      </c>
      <c r="O401">
        <v>30</v>
      </c>
      <c r="P401" s="69">
        <f t="shared" si="60"/>
        <v>0</v>
      </c>
      <c r="Q401" s="93"/>
      <c r="R401" s="81"/>
      <c r="S401" s="94"/>
      <c r="T401" s="81"/>
      <c r="U401" s="93"/>
      <c r="V401" s="81"/>
      <c r="W401" s="94"/>
      <c r="X401" s="81"/>
      <c r="Y401" s="93"/>
      <c r="Z401" s="81"/>
      <c r="AA401" s="94"/>
      <c r="AB401" s="81"/>
      <c r="AC401" s="93"/>
      <c r="AD401" s="81"/>
      <c r="AE401" s="94"/>
      <c r="AF401" s="81"/>
      <c r="AG401" s="93"/>
      <c r="AH401" s="81"/>
      <c r="AI401" s="94"/>
      <c r="AJ401" s="81"/>
      <c r="AK401" s="93"/>
      <c r="AL401" s="81"/>
      <c r="AM401" s="94"/>
      <c r="AN401" s="81"/>
      <c r="AO401" s="93"/>
      <c r="AP401" s="81"/>
      <c r="AQ401" s="94"/>
      <c r="AR401" s="81"/>
      <c r="AS401" s="94"/>
      <c r="AT401" s="306"/>
      <c r="AU401" s="94"/>
      <c r="AV401" s="306"/>
      <c r="AW401" s="94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">
        <v>1397</v>
      </c>
      <c r="B402" t="s">
        <v>216</v>
      </c>
      <c r="C402" s="52" t="s">
        <v>1396</v>
      </c>
      <c r="D402" s="52" t="s">
        <v>1396</v>
      </c>
      <c r="E402">
        <v>0</v>
      </c>
      <c r="F402">
        <v>0</v>
      </c>
      <c r="G402" s="64">
        <v>44362</v>
      </c>
      <c r="H402">
        <v>300</v>
      </c>
      <c r="I402">
        <v>300</v>
      </c>
      <c r="J402">
        <v>6</v>
      </c>
      <c r="K402">
        <v>10</v>
      </c>
      <c r="L402">
        <v>0</v>
      </c>
      <c r="M402">
        <v>18</v>
      </c>
      <c r="N402">
        <v>11</v>
      </c>
      <c r="O402">
        <v>45</v>
      </c>
      <c r="P402" s="69">
        <f t="shared" si="60"/>
        <v>0</v>
      </c>
      <c r="Q402" s="93"/>
      <c r="R402" s="81"/>
      <c r="S402" s="94"/>
      <c r="T402" s="81"/>
      <c r="U402" s="93"/>
      <c r="V402" s="81"/>
      <c r="W402" s="94"/>
      <c r="X402" s="81"/>
      <c r="Y402" s="93"/>
      <c r="Z402" s="81"/>
      <c r="AA402" s="94"/>
      <c r="AB402" s="81"/>
      <c r="AC402" s="93"/>
      <c r="AD402" s="81"/>
      <c r="AE402" s="94"/>
      <c r="AF402" s="81"/>
      <c r="AG402" s="93"/>
      <c r="AH402" s="81"/>
      <c r="AI402" s="94"/>
      <c r="AJ402" s="81"/>
      <c r="AK402" s="93"/>
      <c r="AL402" s="81"/>
      <c r="AM402" s="94"/>
      <c r="AN402" s="81"/>
      <c r="AO402" s="93"/>
      <c r="AP402" s="81"/>
      <c r="AQ402" s="94"/>
      <c r="AR402" s="81"/>
      <c r="AS402" s="94"/>
      <c r="AT402" s="306"/>
      <c r="AU402" s="94"/>
      <c r="AV402" s="306"/>
      <c r="AW402" s="94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">
        <v>1398</v>
      </c>
      <c r="B403" t="s">
        <v>219</v>
      </c>
      <c r="C403" s="52" t="s">
        <v>1399</v>
      </c>
      <c r="D403" s="52" t="s">
        <v>1399</v>
      </c>
      <c r="E403">
        <v>0</v>
      </c>
      <c r="F403">
        <v>0</v>
      </c>
      <c r="G403" s="64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69">
        <f t="shared" si="60"/>
        <v>0</v>
      </c>
      <c r="Q403" s="93"/>
      <c r="R403" s="81"/>
      <c r="S403" s="94"/>
      <c r="T403" s="81"/>
      <c r="U403" s="93"/>
      <c r="V403" s="81"/>
      <c r="W403" s="94"/>
      <c r="X403" s="81"/>
      <c r="Y403" s="93"/>
      <c r="Z403" s="81"/>
      <c r="AA403" s="94"/>
      <c r="AB403" s="81"/>
      <c r="AC403" s="93"/>
      <c r="AD403" s="81"/>
      <c r="AE403" s="94"/>
      <c r="AF403" s="81"/>
      <c r="AG403" s="93"/>
      <c r="AH403" s="81"/>
      <c r="AI403" s="94"/>
      <c r="AJ403" s="81"/>
      <c r="AK403" s="93"/>
      <c r="AL403" s="81"/>
      <c r="AM403" s="94"/>
      <c r="AN403" s="81"/>
      <c r="AO403" s="93"/>
      <c r="AP403" s="81"/>
      <c r="AQ403" s="94"/>
      <c r="AR403" s="81"/>
      <c r="AS403" s="94"/>
      <c r="AT403" s="306"/>
      <c r="AU403" s="94"/>
      <c r="AV403" s="306"/>
      <c r="AW403" s="94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">
        <v>1400</v>
      </c>
      <c r="B404" t="s">
        <v>220</v>
      </c>
      <c r="C404" s="52" t="s">
        <v>1401</v>
      </c>
      <c r="D404" s="52" t="s">
        <v>1401</v>
      </c>
      <c r="E404">
        <v>0</v>
      </c>
      <c r="F404">
        <v>0</v>
      </c>
      <c r="G404" s="64">
        <v>0</v>
      </c>
      <c r="H404">
        <v>300</v>
      </c>
      <c r="I404">
        <v>300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29</v>
      </c>
      <c r="P404" s="69">
        <f t="shared" si="60"/>
        <v>97.916666666666671</v>
      </c>
      <c r="Q404" s="90" t="s">
        <v>415</v>
      </c>
      <c r="R404" s="91">
        <v>1.8</v>
      </c>
      <c r="S404" s="90" t="s">
        <v>521</v>
      </c>
      <c r="T404" s="91">
        <v>2.9</v>
      </c>
      <c r="U404" s="93"/>
      <c r="V404" s="81"/>
      <c r="W404" s="94"/>
      <c r="X404" s="81"/>
      <c r="Y404" s="93"/>
      <c r="Z404" s="81"/>
      <c r="AA404" s="94"/>
      <c r="AB404" s="81"/>
      <c r="AC404" s="93"/>
      <c r="AD404" s="81"/>
      <c r="AE404" s="94"/>
      <c r="AF404" s="81"/>
      <c r="AG404" s="93"/>
      <c r="AH404" s="81"/>
      <c r="AI404" s="94"/>
      <c r="AJ404" s="81"/>
      <c r="AK404" s="93"/>
      <c r="AL404" s="81"/>
      <c r="AM404" s="94"/>
      <c r="AN404" s="81"/>
      <c r="AO404" s="93"/>
      <c r="AP404" s="81"/>
      <c r="AQ404" s="94"/>
      <c r="AR404" s="81"/>
      <c r="AS404" s="94"/>
      <c r="AT404" s="306"/>
      <c r="AU404" s="94"/>
      <c r="AV404" s="306"/>
      <c r="AW404" s="94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">
        <v>1402</v>
      </c>
      <c r="B405" t="s">
        <v>1403</v>
      </c>
      <c r="C405" s="52" t="s">
        <v>1404</v>
      </c>
      <c r="D405" s="52" t="s">
        <v>1404</v>
      </c>
      <c r="E405">
        <v>9.9</v>
      </c>
      <c r="F405">
        <v>5.5</v>
      </c>
      <c r="G405" s="64">
        <v>45273</v>
      </c>
      <c r="H405">
        <v>360</v>
      </c>
      <c r="I405">
        <v>360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69">
        <f t="shared" si="60"/>
        <v>314.58333333333331</v>
      </c>
      <c r="Q405" s="82" t="s">
        <v>729</v>
      </c>
      <c r="R405" s="83">
        <v>11.7</v>
      </c>
      <c r="S405" s="262" t="s">
        <v>730</v>
      </c>
      <c r="T405" s="261">
        <v>3.4</v>
      </c>
      <c r="U405" s="93"/>
      <c r="V405" s="81"/>
      <c r="W405" s="94"/>
      <c r="X405" s="81"/>
      <c r="Y405" s="93"/>
      <c r="Z405" s="81"/>
      <c r="AA405" s="94"/>
      <c r="AB405" s="81"/>
      <c r="AC405" s="93"/>
      <c r="AD405" s="81"/>
      <c r="AE405" s="94"/>
      <c r="AF405" s="81"/>
      <c r="AG405" s="93"/>
      <c r="AH405" s="81"/>
      <c r="AI405" s="94"/>
      <c r="AJ405" s="81"/>
      <c r="AK405" s="93"/>
      <c r="AL405" s="81"/>
      <c r="AM405" s="94"/>
      <c r="AN405" s="81"/>
      <c r="AO405" s="93"/>
      <c r="AP405" s="81"/>
      <c r="AQ405" s="94"/>
      <c r="AR405" s="81"/>
      <c r="AS405" s="94"/>
      <c r="AT405" s="306"/>
      <c r="AU405" s="94"/>
      <c r="AV405" s="306"/>
      <c r="AW405" s="94"/>
      <c r="AX405" s="66">
        <f t="shared" si="56"/>
        <v>15.1</v>
      </c>
      <c r="AY405" s="78">
        <f t="shared" si="57"/>
        <v>314.58333333333331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167.19166666666666</v>
      </c>
      <c r="BC405" s="53">
        <f t="shared" si="59"/>
        <v>162.79166666666666</v>
      </c>
    </row>
    <row r="406" spans="1:55" ht="13.15">
      <c r="A406" t="s">
        <v>1405</v>
      </c>
      <c r="B406" t="s">
        <v>1403</v>
      </c>
      <c r="C406" s="52" t="s">
        <v>1404</v>
      </c>
      <c r="D406" s="52" t="s">
        <v>1404</v>
      </c>
      <c r="E406">
        <v>55</v>
      </c>
      <c r="F406">
        <v>55</v>
      </c>
      <c r="G406" s="64">
        <v>45000</v>
      </c>
      <c r="H406">
        <v>300</v>
      </c>
      <c r="I406">
        <v>300</v>
      </c>
      <c r="J406">
        <v>5</v>
      </c>
      <c r="K406">
        <v>4</v>
      </c>
      <c r="L406">
        <v>0</v>
      </c>
      <c r="M406">
        <v>13</v>
      </c>
      <c r="N406">
        <v>0</v>
      </c>
      <c r="O406">
        <v>18</v>
      </c>
      <c r="P406" s="69">
        <f t="shared" si="60"/>
        <v>0</v>
      </c>
      <c r="Q406" s="93"/>
      <c r="R406" s="81"/>
      <c r="S406" s="94"/>
      <c r="T406" s="81"/>
      <c r="U406" s="93"/>
      <c r="V406" s="81"/>
      <c r="W406" s="94"/>
      <c r="X406" s="81"/>
      <c r="Y406" s="93"/>
      <c r="Z406" s="81"/>
      <c r="AA406" s="94"/>
      <c r="AB406" s="81"/>
      <c r="AC406" s="93"/>
      <c r="AD406" s="81"/>
      <c r="AE406" s="94"/>
      <c r="AF406" s="81"/>
      <c r="AG406" s="93"/>
      <c r="AH406" s="81"/>
      <c r="AI406" s="94"/>
      <c r="AJ406" s="81"/>
      <c r="AK406" s="93"/>
      <c r="AL406" s="81"/>
      <c r="AM406" s="94"/>
      <c r="AN406" s="81"/>
      <c r="AO406" s="93"/>
      <c r="AP406" s="81"/>
      <c r="AQ406" s="94"/>
      <c r="AR406" s="81"/>
      <c r="AS406" s="94"/>
      <c r="AT406" s="306"/>
      <c r="AU406" s="94"/>
      <c r="AV406" s="306"/>
      <c r="AW406" s="94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">
        <v>1406</v>
      </c>
      <c r="B407" t="s">
        <v>251</v>
      </c>
      <c r="C407" s="52" t="s">
        <v>1407</v>
      </c>
      <c r="D407" s="52" t="s">
        <v>1407</v>
      </c>
      <c r="E407">
        <v>15</v>
      </c>
      <c r="F407">
        <v>15</v>
      </c>
      <c r="G407" s="64">
        <v>44399</v>
      </c>
      <c r="H407">
        <v>300</v>
      </c>
      <c r="I407">
        <v>300</v>
      </c>
      <c r="J407">
        <v>6</v>
      </c>
      <c r="K407">
        <v>8</v>
      </c>
      <c r="L407">
        <v>0</v>
      </c>
      <c r="M407">
        <v>22</v>
      </c>
      <c r="N407">
        <v>5</v>
      </c>
      <c r="O407">
        <v>0</v>
      </c>
      <c r="P407" s="69">
        <f t="shared" si="60"/>
        <v>0</v>
      </c>
      <c r="Q407" s="82"/>
      <c r="R407" s="83"/>
      <c r="S407" s="94"/>
      <c r="T407" s="81"/>
      <c r="U407" s="93"/>
      <c r="V407" s="81"/>
      <c r="W407" s="94"/>
      <c r="X407" s="81"/>
      <c r="Y407" s="93"/>
      <c r="Z407" s="81"/>
      <c r="AA407" s="94"/>
      <c r="AB407" s="81"/>
      <c r="AC407" s="93"/>
      <c r="AD407" s="81"/>
      <c r="AE407" s="94"/>
      <c r="AF407" s="81"/>
      <c r="AG407" s="93"/>
      <c r="AH407" s="81"/>
      <c r="AI407" s="94"/>
      <c r="AJ407" s="81"/>
      <c r="AK407" s="93"/>
      <c r="AL407" s="81"/>
      <c r="AM407" s="94"/>
      <c r="AN407" s="81"/>
      <c r="AO407" s="93"/>
      <c r="AP407" s="81"/>
      <c r="AQ407" s="94"/>
      <c r="AR407" s="81"/>
      <c r="AS407" s="94"/>
      <c r="AT407" s="306"/>
      <c r="AU407" s="94"/>
      <c r="AV407" s="306"/>
      <c r="AW407" s="94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">
        <v>1408</v>
      </c>
      <c r="B408" t="s">
        <v>62</v>
      </c>
      <c r="C408" s="52" t="s">
        <v>1409</v>
      </c>
      <c r="D408" s="52" t="s">
        <v>1409</v>
      </c>
      <c r="E408">
        <v>100</v>
      </c>
      <c r="F408">
        <v>100</v>
      </c>
      <c r="G408" s="64">
        <v>45068</v>
      </c>
      <c r="H408">
        <v>300</v>
      </c>
      <c r="I408">
        <v>300</v>
      </c>
      <c r="J408">
        <v>4</v>
      </c>
      <c r="K408">
        <v>0</v>
      </c>
      <c r="L408">
        <v>1</v>
      </c>
      <c r="M408">
        <v>7</v>
      </c>
      <c r="N408">
        <v>9</v>
      </c>
      <c r="O408">
        <v>0</v>
      </c>
      <c r="P408" s="69">
        <f t="shared" si="60"/>
        <v>0</v>
      </c>
      <c r="Q408" s="93"/>
      <c r="R408" s="81"/>
      <c r="S408" s="94"/>
      <c r="T408" s="81"/>
      <c r="U408" s="93"/>
      <c r="V408" s="81"/>
      <c r="W408" s="94"/>
      <c r="X408" s="81"/>
      <c r="Y408" s="93"/>
      <c r="Z408" s="81"/>
      <c r="AA408" s="94"/>
      <c r="AB408" s="81"/>
      <c r="AC408" s="93"/>
      <c r="AD408" s="81"/>
      <c r="AE408" s="94"/>
      <c r="AF408" s="81"/>
      <c r="AG408" s="93"/>
      <c r="AH408" s="81"/>
      <c r="AI408" s="94"/>
      <c r="AJ408" s="81"/>
      <c r="AK408" s="93"/>
      <c r="AL408" s="81"/>
      <c r="AM408" s="94"/>
      <c r="AN408" s="81"/>
      <c r="AO408" s="93"/>
      <c r="AP408" s="81"/>
      <c r="AQ408" s="94"/>
      <c r="AR408" s="81"/>
      <c r="AS408" s="94"/>
      <c r="AT408" s="306"/>
      <c r="AU408" s="94"/>
      <c r="AV408" s="306"/>
      <c r="AW408" s="94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">
        <v>1410</v>
      </c>
      <c r="B409" t="s">
        <v>62</v>
      </c>
      <c r="C409" s="52" t="s">
        <v>1409</v>
      </c>
      <c r="D409" s="52" t="s">
        <v>1409</v>
      </c>
      <c r="E409">
        <v>45</v>
      </c>
      <c r="F409">
        <v>45</v>
      </c>
      <c r="G409" s="64">
        <v>45068</v>
      </c>
      <c r="H409">
        <v>300</v>
      </c>
      <c r="I409">
        <v>300</v>
      </c>
      <c r="J409">
        <v>6</v>
      </c>
      <c r="K409">
        <v>0</v>
      </c>
      <c r="L409">
        <v>4</v>
      </c>
      <c r="M409">
        <v>20</v>
      </c>
      <c r="N409">
        <v>10</v>
      </c>
      <c r="O409">
        <v>0</v>
      </c>
      <c r="P409" s="69">
        <f t="shared" si="60"/>
        <v>83.333333333333329</v>
      </c>
      <c r="Q409" s="109" t="s">
        <v>395</v>
      </c>
      <c r="R409" s="261">
        <v>3</v>
      </c>
      <c r="S409" s="84" t="s">
        <v>396</v>
      </c>
      <c r="T409" s="85">
        <v>1</v>
      </c>
      <c r="U409" s="93"/>
      <c r="V409" s="81"/>
      <c r="W409" s="94"/>
      <c r="X409" s="81"/>
      <c r="Y409" s="93"/>
      <c r="Z409" s="81"/>
      <c r="AA409" s="94"/>
      <c r="AB409" s="81"/>
      <c r="AC409" s="93"/>
      <c r="AD409" s="81"/>
      <c r="AE409" s="94"/>
      <c r="AF409" s="81"/>
      <c r="AG409" s="93"/>
      <c r="AH409" s="81"/>
      <c r="AI409" s="94"/>
      <c r="AJ409" s="81"/>
      <c r="AK409" s="93"/>
      <c r="AL409" s="81"/>
      <c r="AM409" s="94"/>
      <c r="AN409" s="81"/>
      <c r="AO409" s="93"/>
      <c r="AP409" s="81"/>
      <c r="AQ409" s="94"/>
      <c r="AR409" s="81"/>
      <c r="AS409" s="94"/>
      <c r="AT409" s="306"/>
      <c r="AU409" s="94"/>
      <c r="AV409" s="306"/>
      <c r="AW409" s="94"/>
      <c r="AX409" s="66">
        <f t="shared" si="56"/>
        <v>4</v>
      </c>
      <c r="AY409" s="78">
        <f t="shared" si="57"/>
        <v>83.333333333333329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86.666666666666657</v>
      </c>
      <c r="BC409" s="53">
        <f t="shared" si="59"/>
        <v>86.666666666666657</v>
      </c>
    </row>
    <row r="410" spans="1:55" ht="13.15">
      <c r="A410" t="s">
        <v>1411</v>
      </c>
      <c r="B410" t="s">
        <v>73</v>
      </c>
      <c r="C410" s="52" t="s">
        <v>1412</v>
      </c>
      <c r="D410" s="52" t="s">
        <v>1412</v>
      </c>
      <c r="E410">
        <v>120</v>
      </c>
      <c r="F410">
        <v>110</v>
      </c>
      <c r="G410" s="64">
        <v>44992</v>
      </c>
      <c r="H410">
        <v>300</v>
      </c>
      <c r="I410">
        <v>300</v>
      </c>
      <c r="J410">
        <v>2</v>
      </c>
      <c r="K410">
        <v>0</v>
      </c>
      <c r="L410">
        <v>0</v>
      </c>
      <c r="M410">
        <v>9</v>
      </c>
      <c r="N410">
        <v>8</v>
      </c>
      <c r="O410">
        <v>0</v>
      </c>
      <c r="P410" s="69">
        <f t="shared" si="60"/>
        <v>0</v>
      </c>
      <c r="Q410" s="93"/>
      <c r="R410" s="81"/>
      <c r="S410" s="94"/>
      <c r="T410" s="81"/>
      <c r="U410" s="93"/>
      <c r="V410" s="81"/>
      <c r="W410" s="94"/>
      <c r="X410" s="81"/>
      <c r="Y410" s="93"/>
      <c r="Z410" s="81"/>
      <c r="AA410" s="94"/>
      <c r="AB410" s="81"/>
      <c r="AC410" s="93"/>
      <c r="AD410" s="81"/>
      <c r="AE410" s="94"/>
      <c r="AF410" s="81"/>
      <c r="AG410" s="93"/>
      <c r="AH410" s="81"/>
      <c r="AI410" s="94"/>
      <c r="AJ410" s="81"/>
      <c r="AK410" s="93"/>
      <c r="AL410" s="81"/>
      <c r="AM410" s="94"/>
      <c r="AN410" s="81"/>
      <c r="AO410" s="93"/>
      <c r="AP410" s="81"/>
      <c r="AQ410" s="94"/>
      <c r="AR410" s="81"/>
      <c r="AS410" s="94"/>
      <c r="AT410" s="306"/>
      <c r="AU410" s="94"/>
      <c r="AV410" s="306"/>
      <c r="AW410" s="94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">
        <v>1413</v>
      </c>
      <c r="B411" t="s">
        <v>73</v>
      </c>
      <c r="C411" s="52" t="s">
        <v>1412</v>
      </c>
      <c r="D411" s="52" t="s">
        <v>1412</v>
      </c>
      <c r="E411">
        <v>65</v>
      </c>
      <c r="F411">
        <v>45</v>
      </c>
      <c r="G411" s="64">
        <v>44992</v>
      </c>
      <c r="H411">
        <v>300</v>
      </c>
      <c r="I411">
        <v>300</v>
      </c>
      <c r="J411">
        <v>2</v>
      </c>
      <c r="K411">
        <v>0</v>
      </c>
      <c r="L411">
        <v>5</v>
      </c>
      <c r="M411">
        <v>23</v>
      </c>
      <c r="N411">
        <v>12</v>
      </c>
      <c r="O411">
        <v>0</v>
      </c>
      <c r="P411" s="69">
        <f t="shared" si="60"/>
        <v>125</v>
      </c>
      <c r="Q411" s="82" t="s">
        <v>454</v>
      </c>
      <c r="R411" s="83">
        <v>5</v>
      </c>
      <c r="S411" s="102" t="s">
        <v>455</v>
      </c>
      <c r="T411" s="103">
        <v>1</v>
      </c>
      <c r="U411" s="93"/>
      <c r="V411" s="81"/>
      <c r="W411" s="94"/>
      <c r="X411" s="81"/>
      <c r="Y411" s="93"/>
      <c r="Z411" s="81"/>
      <c r="AA411" s="94"/>
      <c r="AB411" s="81"/>
      <c r="AC411" s="93"/>
      <c r="AD411" s="81"/>
      <c r="AE411" s="94"/>
      <c r="AF411" s="81"/>
      <c r="AG411" s="93"/>
      <c r="AH411" s="81"/>
      <c r="AI411" s="94"/>
      <c r="AJ411" s="81"/>
      <c r="AK411" s="93"/>
      <c r="AL411" s="81"/>
      <c r="AM411" s="94"/>
      <c r="AN411" s="81"/>
      <c r="AO411" s="93"/>
      <c r="AP411" s="81"/>
      <c r="AQ411" s="94"/>
      <c r="AR411" s="81"/>
      <c r="AS411" s="94"/>
      <c r="AT411" s="306"/>
      <c r="AU411" s="94"/>
      <c r="AV411" s="306"/>
      <c r="AW411" s="94"/>
      <c r="AX411" s="66">
        <f t="shared" si="56"/>
        <v>6</v>
      </c>
      <c r="AY411" s="78">
        <f t="shared" si="57"/>
        <v>125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127.5</v>
      </c>
      <c r="BC411" s="53">
        <f t="shared" si="59"/>
        <v>107.5</v>
      </c>
    </row>
    <row r="412" spans="1:55" ht="13.15">
      <c r="A412" t="s">
        <v>1414</v>
      </c>
      <c r="B412" t="s">
        <v>132</v>
      </c>
      <c r="C412" s="52" t="s">
        <v>1415</v>
      </c>
      <c r="D412" s="52" t="s">
        <v>1415</v>
      </c>
      <c r="E412">
        <v>75</v>
      </c>
      <c r="F412">
        <v>100</v>
      </c>
      <c r="G412" s="64">
        <v>45068</v>
      </c>
      <c r="H412">
        <v>200</v>
      </c>
      <c r="I412">
        <v>200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30</v>
      </c>
      <c r="P412" s="69">
        <f t="shared" si="60"/>
        <v>293.75</v>
      </c>
      <c r="Q412" s="82" t="s">
        <v>534</v>
      </c>
      <c r="R412" s="83">
        <v>4.3</v>
      </c>
      <c r="S412" s="82" t="s">
        <v>535</v>
      </c>
      <c r="T412" s="83">
        <v>4.7</v>
      </c>
      <c r="U412" s="82" t="s">
        <v>536</v>
      </c>
      <c r="V412" s="83">
        <v>2.7</v>
      </c>
      <c r="W412" s="262" t="s">
        <v>537</v>
      </c>
      <c r="X412" s="261">
        <v>1.6</v>
      </c>
      <c r="Y412" s="317" t="s">
        <v>538</v>
      </c>
      <c r="Z412" s="325">
        <v>0.8</v>
      </c>
      <c r="AA412" s="94"/>
      <c r="AB412" s="81"/>
      <c r="AC412" s="93"/>
      <c r="AD412" s="81"/>
      <c r="AE412" s="94"/>
      <c r="AF412" s="81"/>
      <c r="AG412" s="93"/>
      <c r="AH412" s="81"/>
      <c r="AI412" s="94"/>
      <c r="AJ412" s="81"/>
      <c r="AK412" s="93"/>
      <c r="AL412" s="81"/>
      <c r="AM412" s="94"/>
      <c r="AN412" s="81"/>
      <c r="AO412" s="93"/>
      <c r="AP412" s="81"/>
      <c r="AQ412" s="94"/>
      <c r="AR412" s="81"/>
      <c r="AS412" s="94"/>
      <c r="AT412" s="306"/>
      <c r="AU412" s="94"/>
      <c r="AV412" s="306"/>
      <c r="AW412" s="94"/>
      <c r="AX412" s="66">
        <f t="shared" si="56"/>
        <v>14.1</v>
      </c>
      <c r="AY412" s="78">
        <f t="shared" si="57"/>
        <v>293.75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221.875</v>
      </c>
      <c r="BC412" s="53">
        <f t="shared" si="59"/>
        <v>246.875</v>
      </c>
    </row>
    <row r="413" spans="1:55" ht="13.15">
      <c r="A413" t="s">
        <v>1416</v>
      </c>
      <c r="B413" t="s">
        <v>132</v>
      </c>
      <c r="C413" s="52" t="s">
        <v>1415</v>
      </c>
      <c r="D413" s="52" t="s">
        <v>1415</v>
      </c>
      <c r="E413">
        <v>140</v>
      </c>
      <c r="F413">
        <v>170</v>
      </c>
      <c r="G413" s="64">
        <v>45068</v>
      </c>
      <c r="H413">
        <v>300</v>
      </c>
      <c r="I413">
        <v>300</v>
      </c>
      <c r="J413">
        <v>3</v>
      </c>
      <c r="K413">
        <v>0</v>
      </c>
      <c r="L413">
        <v>1</v>
      </c>
      <c r="M413">
        <v>0</v>
      </c>
      <c r="N413">
        <v>8</v>
      </c>
      <c r="O413">
        <v>0</v>
      </c>
      <c r="P413" s="69">
        <f t="shared" si="60"/>
        <v>0</v>
      </c>
      <c r="Q413" s="102"/>
      <c r="R413" s="103"/>
      <c r="S413" s="94"/>
      <c r="T413" s="81"/>
      <c r="U413" s="93"/>
      <c r="V413" s="81"/>
      <c r="W413" s="94"/>
      <c r="X413" s="81"/>
      <c r="Y413" s="93"/>
      <c r="Z413" s="81"/>
      <c r="AA413" s="94"/>
      <c r="AB413" s="81"/>
      <c r="AC413" s="93"/>
      <c r="AD413" s="81"/>
      <c r="AE413" s="94"/>
      <c r="AF413" s="81"/>
      <c r="AG413" s="93"/>
      <c r="AH413" s="81"/>
      <c r="AI413" s="94"/>
      <c r="AJ413" s="81"/>
      <c r="AK413" s="93"/>
      <c r="AL413" s="81"/>
      <c r="AM413" s="94"/>
      <c r="AN413" s="81"/>
      <c r="AO413" s="93"/>
      <c r="AP413" s="81"/>
      <c r="AQ413" s="94"/>
      <c r="AR413" s="81"/>
      <c r="AS413" s="94"/>
      <c r="AT413" s="306"/>
      <c r="AU413" s="94"/>
      <c r="AV413" s="306"/>
      <c r="AW413" s="94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">
        <v>1417</v>
      </c>
      <c r="B414" t="s">
        <v>208</v>
      </c>
      <c r="C414" s="52" t="s">
        <v>1418</v>
      </c>
      <c r="D414" s="52" t="s">
        <v>1418</v>
      </c>
      <c r="E414">
        <v>30</v>
      </c>
      <c r="F414">
        <v>0</v>
      </c>
      <c r="G414" s="64">
        <v>44169</v>
      </c>
      <c r="H414">
        <v>300</v>
      </c>
      <c r="I414">
        <v>300</v>
      </c>
      <c r="J414">
        <v>6</v>
      </c>
      <c r="K414">
        <v>12</v>
      </c>
      <c r="L414">
        <v>0</v>
      </c>
      <c r="M414">
        <v>24</v>
      </c>
      <c r="N414">
        <v>7</v>
      </c>
      <c r="O414">
        <v>0</v>
      </c>
      <c r="P414" s="69">
        <f t="shared" si="60"/>
        <v>0</v>
      </c>
      <c r="Q414" s="93"/>
      <c r="R414" s="81"/>
      <c r="S414" s="94"/>
      <c r="T414" s="81"/>
      <c r="U414" s="93"/>
      <c r="V414" s="81"/>
      <c r="W414" s="94"/>
      <c r="X414" s="81"/>
      <c r="Y414" s="93"/>
      <c r="Z414" s="81"/>
      <c r="AA414" s="94"/>
      <c r="AB414" s="81"/>
      <c r="AC414" s="93"/>
      <c r="AD414" s="81"/>
      <c r="AE414" s="94"/>
      <c r="AF414" s="81"/>
      <c r="AG414" s="93"/>
      <c r="AH414" s="81"/>
      <c r="AI414" s="94"/>
      <c r="AJ414" s="81"/>
      <c r="AK414" s="93"/>
      <c r="AL414" s="81"/>
      <c r="AM414" s="94"/>
      <c r="AN414" s="81"/>
      <c r="AO414" s="93"/>
      <c r="AP414" s="81"/>
      <c r="AQ414" s="94"/>
      <c r="AR414" s="81"/>
      <c r="AS414" s="94"/>
      <c r="AT414" s="306"/>
      <c r="AU414" s="94"/>
      <c r="AV414" s="306"/>
      <c r="AW414" s="94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">
        <v>1419</v>
      </c>
      <c r="B415" t="s">
        <v>208</v>
      </c>
      <c r="C415" s="52" t="s">
        <v>1418</v>
      </c>
      <c r="D415" s="52" t="s">
        <v>1418</v>
      </c>
      <c r="E415">
        <v>40</v>
      </c>
      <c r="F415">
        <v>40</v>
      </c>
      <c r="G415" s="64">
        <v>44169</v>
      </c>
      <c r="H415">
        <v>300</v>
      </c>
      <c r="I415">
        <v>300</v>
      </c>
      <c r="J415">
        <v>6</v>
      </c>
      <c r="K415">
        <v>10</v>
      </c>
      <c r="L415">
        <v>0</v>
      </c>
      <c r="M415">
        <v>18</v>
      </c>
      <c r="N415">
        <v>10</v>
      </c>
      <c r="O415">
        <v>0</v>
      </c>
      <c r="P415" s="69">
        <f t="shared" si="60"/>
        <v>0</v>
      </c>
      <c r="Q415" s="93"/>
      <c r="R415" s="81"/>
      <c r="S415" s="94"/>
      <c r="T415" s="81"/>
      <c r="U415" s="93"/>
      <c r="V415" s="81"/>
      <c r="W415" s="94"/>
      <c r="X415" s="81"/>
      <c r="Y415" s="93"/>
      <c r="Z415" s="81"/>
      <c r="AA415" s="94"/>
      <c r="AB415" s="81"/>
      <c r="AC415" s="93"/>
      <c r="AD415" s="81"/>
      <c r="AE415" s="94"/>
      <c r="AF415" s="81"/>
      <c r="AG415" s="93"/>
      <c r="AH415" s="81"/>
      <c r="AI415" s="94"/>
      <c r="AJ415" s="81"/>
      <c r="AK415" s="93"/>
      <c r="AL415" s="81"/>
      <c r="AM415" s="94"/>
      <c r="AN415" s="81"/>
      <c r="AO415" s="93"/>
      <c r="AP415" s="81"/>
      <c r="AQ415" s="94"/>
      <c r="AR415" s="81"/>
      <c r="AS415" s="94"/>
      <c r="AT415" s="306"/>
      <c r="AU415" s="94"/>
      <c r="AV415" s="306"/>
      <c r="AW415" s="94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">
        <v>1420</v>
      </c>
      <c r="B416" t="s">
        <v>208</v>
      </c>
      <c r="C416" s="52" t="s">
        <v>1418</v>
      </c>
      <c r="D416" s="52" t="s">
        <v>1418</v>
      </c>
      <c r="E416">
        <v>60</v>
      </c>
      <c r="F416">
        <v>60</v>
      </c>
      <c r="G416" s="64">
        <v>44169</v>
      </c>
      <c r="H416">
        <v>300</v>
      </c>
      <c r="I416">
        <v>300</v>
      </c>
      <c r="J416">
        <v>6</v>
      </c>
      <c r="K416">
        <v>11</v>
      </c>
      <c r="L416">
        <v>0</v>
      </c>
      <c r="M416">
        <v>7</v>
      </c>
      <c r="N416">
        <v>1</v>
      </c>
      <c r="O416">
        <v>0</v>
      </c>
      <c r="P416" s="69">
        <f t="shared" si="60"/>
        <v>0</v>
      </c>
      <c r="Q416" s="93"/>
      <c r="R416" s="81"/>
      <c r="S416" s="94"/>
      <c r="T416" s="81"/>
      <c r="U416" s="93"/>
      <c r="V416" s="81"/>
      <c r="W416" s="94"/>
      <c r="X416" s="81"/>
      <c r="Y416" s="93"/>
      <c r="Z416" s="81"/>
      <c r="AA416" s="94"/>
      <c r="AB416" s="81"/>
      <c r="AC416" s="93"/>
      <c r="AD416" s="81"/>
      <c r="AE416" s="94"/>
      <c r="AF416" s="81"/>
      <c r="AG416" s="93"/>
      <c r="AH416" s="81"/>
      <c r="AI416" s="94"/>
      <c r="AJ416" s="81"/>
      <c r="AK416" s="93"/>
      <c r="AL416" s="81"/>
      <c r="AM416" s="94"/>
      <c r="AN416" s="81"/>
      <c r="AO416" s="93"/>
      <c r="AP416" s="81"/>
      <c r="AQ416" s="94"/>
      <c r="AR416" s="81"/>
      <c r="AS416" s="94"/>
      <c r="AT416" s="306"/>
      <c r="AU416" s="94"/>
      <c r="AV416" s="306"/>
      <c r="AW416" s="94"/>
      <c r="AX416" s="66">
        <f t="shared" si="56"/>
        <v>0</v>
      </c>
      <c r="AY416" s="78">
        <f t="shared" si="57"/>
        <v>0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60</v>
      </c>
      <c r="BC416" s="53">
        <f t="shared" si="59"/>
        <v>60</v>
      </c>
    </row>
    <row r="417" spans="1:55" ht="13.15">
      <c r="A417" t="s">
        <v>1421</v>
      </c>
      <c r="B417" t="s">
        <v>208</v>
      </c>
      <c r="C417" s="52" t="s">
        <v>1418</v>
      </c>
      <c r="D417" s="52" t="s">
        <v>1418</v>
      </c>
      <c r="E417">
        <v>50</v>
      </c>
      <c r="F417">
        <v>50</v>
      </c>
      <c r="G417" s="64">
        <v>44169</v>
      </c>
      <c r="H417">
        <v>300</v>
      </c>
      <c r="I417">
        <v>300</v>
      </c>
      <c r="J417">
        <v>6</v>
      </c>
      <c r="K417">
        <v>0</v>
      </c>
      <c r="L417">
        <v>0</v>
      </c>
      <c r="M417">
        <v>23</v>
      </c>
      <c r="N417">
        <v>11</v>
      </c>
      <c r="O417">
        <v>0</v>
      </c>
      <c r="P417" s="69">
        <f t="shared" si="60"/>
        <v>0</v>
      </c>
      <c r="Q417" s="93"/>
      <c r="R417" s="81"/>
      <c r="S417" s="94"/>
      <c r="T417" s="81"/>
      <c r="U417" s="93"/>
      <c r="V417" s="81"/>
      <c r="W417" s="94"/>
      <c r="X417" s="81"/>
      <c r="Y417" s="93"/>
      <c r="Z417" s="81"/>
      <c r="AA417" s="94"/>
      <c r="AB417" s="81"/>
      <c r="AC417" s="93"/>
      <c r="AD417" s="81"/>
      <c r="AE417" s="94"/>
      <c r="AF417" s="81"/>
      <c r="AG417" s="93"/>
      <c r="AH417" s="81"/>
      <c r="AI417" s="94"/>
      <c r="AJ417" s="81"/>
      <c r="AK417" s="93"/>
      <c r="AL417" s="81"/>
      <c r="AM417" s="94"/>
      <c r="AN417" s="81"/>
      <c r="AO417" s="93"/>
      <c r="AP417" s="81"/>
      <c r="AQ417" s="94"/>
      <c r="AR417" s="81"/>
      <c r="AS417" s="94"/>
      <c r="AT417" s="306"/>
      <c r="AU417" s="94"/>
      <c r="AV417" s="306"/>
      <c r="AW417" s="94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">
        <v>1422</v>
      </c>
      <c r="B418" t="s">
        <v>208</v>
      </c>
      <c r="C418" s="52" t="s">
        <v>1418</v>
      </c>
      <c r="D418" s="52" t="s">
        <v>1418</v>
      </c>
      <c r="E418">
        <v>20</v>
      </c>
      <c r="F418">
        <v>20</v>
      </c>
      <c r="G418" s="64">
        <v>44169</v>
      </c>
      <c r="H418">
        <v>300</v>
      </c>
      <c r="I418">
        <v>300</v>
      </c>
      <c r="J418">
        <v>6</v>
      </c>
      <c r="K418">
        <v>8</v>
      </c>
      <c r="L418">
        <v>0</v>
      </c>
      <c r="M418">
        <v>23</v>
      </c>
      <c r="N418">
        <v>12</v>
      </c>
      <c r="O418">
        <v>0</v>
      </c>
      <c r="P418" s="69">
        <f t="shared" si="60"/>
        <v>125</v>
      </c>
      <c r="Q418" s="82" t="s">
        <v>671</v>
      </c>
      <c r="R418" s="83">
        <v>5</v>
      </c>
      <c r="S418" s="311" t="s">
        <v>672</v>
      </c>
      <c r="T418" s="310">
        <v>1</v>
      </c>
      <c r="U418" s="93"/>
      <c r="V418" s="81"/>
      <c r="W418" s="94"/>
      <c r="X418" s="81"/>
      <c r="Y418" s="93"/>
      <c r="Z418" s="81"/>
      <c r="AA418" s="94"/>
      <c r="AB418" s="81"/>
      <c r="AC418" s="93"/>
      <c r="AD418" s="81"/>
      <c r="AE418" s="94"/>
      <c r="AF418" s="81"/>
      <c r="AG418" s="93"/>
      <c r="AH418" s="81"/>
      <c r="AI418" s="94"/>
      <c r="AJ418" s="81"/>
      <c r="AK418" s="93"/>
      <c r="AL418" s="81"/>
      <c r="AM418" s="94"/>
      <c r="AN418" s="81"/>
      <c r="AO418" s="93"/>
      <c r="AP418" s="81"/>
      <c r="AQ418" s="94"/>
      <c r="AR418" s="81"/>
      <c r="AS418" s="94"/>
      <c r="AT418" s="306"/>
      <c r="AU418" s="94"/>
      <c r="AV418" s="306"/>
      <c r="AW418" s="94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">
        <v>1423</v>
      </c>
      <c r="B419" t="s">
        <v>223</v>
      </c>
      <c r="C419" s="52" t="s">
        <v>1424</v>
      </c>
      <c r="D419" s="52" t="s">
        <v>1424</v>
      </c>
      <c r="E419">
        <v>189</v>
      </c>
      <c r="F419">
        <v>183</v>
      </c>
      <c r="G419" s="64">
        <v>44937</v>
      </c>
      <c r="H419">
        <v>250</v>
      </c>
      <c r="I419">
        <v>250</v>
      </c>
      <c r="J419">
        <v>1</v>
      </c>
      <c r="K419">
        <v>1</v>
      </c>
      <c r="L419">
        <v>0</v>
      </c>
      <c r="M419">
        <v>0</v>
      </c>
      <c r="N419">
        <v>5</v>
      </c>
      <c r="O419">
        <v>0</v>
      </c>
      <c r="P419" s="69">
        <f t="shared" si="60"/>
        <v>0</v>
      </c>
      <c r="Q419" s="93"/>
      <c r="R419" s="81"/>
      <c r="S419" s="94"/>
      <c r="T419" s="81"/>
      <c r="U419" s="93"/>
      <c r="V419" s="81"/>
      <c r="W419" s="94"/>
      <c r="X419" s="81"/>
      <c r="Y419" s="93"/>
      <c r="Z419" s="81"/>
      <c r="AA419" s="94"/>
      <c r="AB419" s="81"/>
      <c r="AC419" s="93"/>
      <c r="AD419" s="81"/>
      <c r="AE419" s="94"/>
      <c r="AF419" s="81"/>
      <c r="AG419" s="93"/>
      <c r="AH419" s="81"/>
      <c r="AI419" s="94"/>
      <c r="AJ419" s="81"/>
      <c r="AK419" s="93"/>
      <c r="AL419" s="81"/>
      <c r="AM419" s="94"/>
      <c r="AN419" s="81"/>
      <c r="AO419" s="93"/>
      <c r="AP419" s="81"/>
      <c r="AQ419" s="94"/>
      <c r="AR419" s="81"/>
      <c r="AS419" s="94"/>
      <c r="AT419" s="306"/>
      <c r="AU419" s="94"/>
      <c r="AV419" s="306"/>
      <c r="AW419" s="94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189</v>
      </c>
      <c r="BC419" s="53">
        <f t="shared" si="59"/>
        <v>183</v>
      </c>
    </row>
    <row r="420" spans="1:55" ht="13.15">
      <c r="A420" t="s">
        <v>1425</v>
      </c>
      <c r="B420" t="s">
        <v>223</v>
      </c>
      <c r="C420" s="52" t="s">
        <v>1424</v>
      </c>
      <c r="D420" s="52" t="s">
        <v>1424</v>
      </c>
      <c r="E420">
        <v>30</v>
      </c>
      <c r="F420">
        <v>27</v>
      </c>
      <c r="G420" s="64">
        <v>44937</v>
      </c>
      <c r="H420">
        <v>300</v>
      </c>
      <c r="I420">
        <v>300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57</v>
      </c>
      <c r="P420" s="69">
        <f t="shared" si="60"/>
        <v>145.83333333333334</v>
      </c>
      <c r="Q420" s="82" t="s">
        <v>694</v>
      </c>
      <c r="R420" s="83">
        <v>5</v>
      </c>
      <c r="S420" s="82" t="s">
        <v>695</v>
      </c>
      <c r="T420" s="83">
        <v>1</v>
      </c>
      <c r="U420" s="104" t="s">
        <v>696</v>
      </c>
      <c r="V420" s="103">
        <v>1</v>
      </c>
      <c r="W420" s="94"/>
      <c r="X420" s="81"/>
      <c r="Y420" s="93"/>
      <c r="Z420" s="81"/>
      <c r="AA420" s="94"/>
      <c r="AB420" s="81"/>
      <c r="AC420" s="93"/>
      <c r="AD420" s="81"/>
      <c r="AE420" s="94"/>
      <c r="AF420" s="81"/>
      <c r="AG420" s="93"/>
      <c r="AH420" s="81"/>
      <c r="AI420" s="94"/>
      <c r="AJ420" s="81"/>
      <c r="AK420" s="93"/>
      <c r="AL420" s="81"/>
      <c r="AM420" s="94"/>
      <c r="AN420" s="81"/>
      <c r="AO420" s="93"/>
      <c r="AP420" s="81"/>
      <c r="AQ420" s="94"/>
      <c r="AR420" s="81"/>
      <c r="AS420" s="94"/>
      <c r="AT420" s="306"/>
      <c r="AU420" s="94"/>
      <c r="AV420" s="306"/>
      <c r="AW420" s="94"/>
      <c r="AX420" s="66">
        <f t="shared" si="56"/>
        <v>7</v>
      </c>
      <c r="AY420" s="78">
        <f t="shared" si="57"/>
        <v>145.83333333333334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102.91666666666667</v>
      </c>
      <c r="BC420" s="53">
        <f t="shared" si="59"/>
        <v>99.916666666666671</v>
      </c>
    </row>
    <row r="421" spans="1:55" ht="13.15">
      <c r="A421" t="s">
        <v>1426</v>
      </c>
      <c r="B421" t="s">
        <v>262</v>
      </c>
      <c r="C421" s="52" t="s">
        <v>1427</v>
      </c>
      <c r="D421" s="52" t="s">
        <v>1427</v>
      </c>
      <c r="E421">
        <v>25</v>
      </c>
      <c r="F421">
        <v>25</v>
      </c>
      <c r="G421" s="64">
        <v>44092</v>
      </c>
      <c r="H421">
        <v>300</v>
      </c>
      <c r="I421">
        <v>300</v>
      </c>
      <c r="J421">
        <v>6</v>
      </c>
      <c r="K421">
        <v>5</v>
      </c>
      <c r="L421">
        <v>12</v>
      </c>
      <c r="M421">
        <v>15</v>
      </c>
      <c r="N421">
        <v>12</v>
      </c>
      <c r="O421">
        <v>0</v>
      </c>
      <c r="P421" s="69">
        <f t="shared" si="60"/>
        <v>0</v>
      </c>
      <c r="Q421" s="93"/>
      <c r="R421" s="81"/>
      <c r="S421" s="94"/>
      <c r="T421" s="81"/>
      <c r="U421" s="93"/>
      <c r="V421" s="81"/>
      <c r="W421" s="94"/>
      <c r="X421" s="81"/>
      <c r="Y421" s="93"/>
      <c r="Z421" s="81"/>
      <c r="AA421" s="94"/>
      <c r="AB421" s="81"/>
      <c r="AC421" s="93"/>
      <c r="AD421" s="81"/>
      <c r="AE421" s="94"/>
      <c r="AF421" s="81"/>
      <c r="AG421" s="93"/>
      <c r="AH421" s="81"/>
      <c r="AI421" s="94"/>
      <c r="AJ421" s="81"/>
      <c r="AK421" s="93"/>
      <c r="AL421" s="81"/>
      <c r="AM421" s="94"/>
      <c r="AN421" s="81"/>
      <c r="AO421" s="93"/>
      <c r="AP421" s="81"/>
      <c r="AQ421" s="94"/>
      <c r="AR421" s="81"/>
      <c r="AS421" s="94"/>
      <c r="AT421" s="306"/>
      <c r="AU421" s="94"/>
      <c r="AV421" s="306"/>
      <c r="AW421" s="94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">
        <v>1428</v>
      </c>
      <c r="B422" t="s">
        <v>262</v>
      </c>
      <c r="C422" s="52" t="s">
        <v>1427</v>
      </c>
      <c r="D422" s="52" t="s">
        <v>1427</v>
      </c>
      <c r="E422">
        <v>20</v>
      </c>
      <c r="F422">
        <v>20</v>
      </c>
      <c r="G422" s="64">
        <v>0</v>
      </c>
      <c r="H422">
        <v>300</v>
      </c>
      <c r="I422">
        <v>300</v>
      </c>
      <c r="J422">
        <v>6</v>
      </c>
      <c r="K422">
        <v>2</v>
      </c>
      <c r="L422">
        <v>7</v>
      </c>
      <c r="M422">
        <v>23</v>
      </c>
      <c r="N422">
        <v>11</v>
      </c>
      <c r="O422">
        <v>0</v>
      </c>
      <c r="P422" s="69">
        <f t="shared" si="60"/>
        <v>104.16666666666667</v>
      </c>
      <c r="Q422" s="82" t="s">
        <v>750</v>
      </c>
      <c r="R422" s="83">
        <v>5</v>
      </c>
      <c r="S422" s="94"/>
      <c r="T422" s="81"/>
      <c r="U422" s="93"/>
      <c r="V422" s="81"/>
      <c r="W422" s="94"/>
      <c r="X422" s="81"/>
      <c r="Y422" s="93"/>
      <c r="Z422" s="81"/>
      <c r="AA422" s="94"/>
      <c r="AB422" s="81"/>
      <c r="AC422" s="93"/>
      <c r="AD422" s="81"/>
      <c r="AE422" s="94"/>
      <c r="AF422" s="81"/>
      <c r="AG422" s="93"/>
      <c r="AH422" s="81"/>
      <c r="AI422" s="94"/>
      <c r="AJ422" s="81"/>
      <c r="AK422" s="93"/>
      <c r="AL422" s="81"/>
      <c r="AM422" s="94"/>
      <c r="AN422" s="81"/>
      <c r="AO422" s="93"/>
      <c r="AP422" s="81"/>
      <c r="AQ422" s="94"/>
      <c r="AR422" s="81"/>
      <c r="AS422" s="94"/>
      <c r="AT422" s="306"/>
      <c r="AU422" s="94"/>
      <c r="AV422" s="306"/>
      <c r="AW422" s="94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">
        <v>1429</v>
      </c>
      <c r="B423" t="s">
        <v>31</v>
      </c>
      <c r="C423" s="52" t="s">
        <v>1430</v>
      </c>
      <c r="D423" s="52" t="s">
        <v>1430</v>
      </c>
      <c r="E423">
        <v>20</v>
      </c>
      <c r="F423">
        <v>20</v>
      </c>
      <c r="G423" s="64">
        <v>44119</v>
      </c>
      <c r="H423">
        <v>300</v>
      </c>
      <c r="I423">
        <v>300</v>
      </c>
      <c r="J423">
        <v>6</v>
      </c>
      <c r="K423">
        <v>5</v>
      </c>
      <c r="L423">
        <v>7</v>
      </c>
      <c r="M423">
        <v>23</v>
      </c>
      <c r="N423">
        <v>12</v>
      </c>
      <c r="O423">
        <v>0</v>
      </c>
      <c r="P423" s="69">
        <f t="shared" si="60"/>
        <v>0</v>
      </c>
      <c r="Q423" s="93"/>
      <c r="R423" s="81"/>
      <c r="S423" s="94"/>
      <c r="T423" s="81"/>
      <c r="U423" s="93"/>
      <c r="V423" s="81"/>
      <c r="W423" s="94"/>
      <c r="X423" s="81"/>
      <c r="Y423" s="93"/>
      <c r="Z423" s="81"/>
      <c r="AA423" s="94"/>
      <c r="AB423" s="81"/>
      <c r="AC423" s="93"/>
      <c r="AD423" s="81"/>
      <c r="AE423" s="94"/>
      <c r="AF423" s="81"/>
      <c r="AG423" s="93"/>
      <c r="AH423" s="81"/>
      <c r="AI423" s="94"/>
      <c r="AJ423" s="81"/>
      <c r="AK423" s="93"/>
      <c r="AL423" s="81"/>
      <c r="AM423" s="94"/>
      <c r="AN423" s="81"/>
      <c r="AO423" s="93"/>
      <c r="AP423" s="81"/>
      <c r="AQ423" s="94"/>
      <c r="AR423" s="81"/>
      <c r="AS423" s="94"/>
      <c r="AT423" s="306"/>
      <c r="AU423" s="94"/>
      <c r="AV423" s="306"/>
      <c r="AW423" s="94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">
        <v>1431</v>
      </c>
      <c r="B424" t="s">
        <v>31</v>
      </c>
      <c r="C424" s="52" t="s">
        <v>1430</v>
      </c>
      <c r="D424" s="52" t="s">
        <v>1430</v>
      </c>
      <c r="E424">
        <v>0</v>
      </c>
      <c r="F424">
        <v>0</v>
      </c>
      <c r="G424" s="64">
        <v>44119</v>
      </c>
      <c r="H424">
        <v>0</v>
      </c>
      <c r="I424">
        <v>0</v>
      </c>
      <c r="J424">
        <v>0</v>
      </c>
      <c r="K424">
        <v>6</v>
      </c>
      <c r="L424">
        <v>0</v>
      </c>
      <c r="M424">
        <v>24</v>
      </c>
      <c r="N424">
        <v>12</v>
      </c>
      <c r="O424">
        <v>6</v>
      </c>
      <c r="P424" s="69">
        <f t="shared" si="60"/>
        <v>0</v>
      </c>
      <c r="Q424" s="93"/>
      <c r="R424" s="81"/>
      <c r="S424" s="94"/>
      <c r="T424" s="81"/>
      <c r="U424" s="93"/>
      <c r="V424" s="81"/>
      <c r="W424" s="94"/>
      <c r="X424" s="81"/>
      <c r="Y424" s="93"/>
      <c r="Z424" s="81"/>
      <c r="AA424" s="94"/>
      <c r="AB424" s="81"/>
      <c r="AC424" s="93"/>
      <c r="AD424" s="81"/>
      <c r="AE424" s="94"/>
      <c r="AF424" s="81"/>
      <c r="AG424" s="93"/>
      <c r="AH424" s="81"/>
      <c r="AI424" s="94"/>
      <c r="AJ424" s="81"/>
      <c r="AK424" s="93"/>
      <c r="AL424" s="81"/>
      <c r="AM424" s="94"/>
      <c r="AN424" s="81"/>
      <c r="AO424" s="93"/>
      <c r="AP424" s="81"/>
      <c r="AQ424" s="94"/>
      <c r="AR424" s="81"/>
      <c r="AS424" s="94"/>
      <c r="AT424" s="306"/>
      <c r="AU424" s="94"/>
      <c r="AV424" s="306"/>
      <c r="AW424" s="94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">
        <v>1432</v>
      </c>
      <c r="B425" t="s">
        <v>53</v>
      </c>
      <c r="C425" s="52" t="s">
        <v>1433</v>
      </c>
      <c r="D425" s="52" t="s">
        <v>1433</v>
      </c>
      <c r="E425">
        <v>295</v>
      </c>
      <c r="F425">
        <v>295</v>
      </c>
      <c r="G425" s="64">
        <v>44470</v>
      </c>
      <c r="H425">
        <v>300</v>
      </c>
      <c r="I425">
        <v>300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20</v>
      </c>
      <c r="P425" s="69">
        <f t="shared" si="60"/>
        <v>0</v>
      </c>
      <c r="Q425" s="93"/>
      <c r="R425" s="81"/>
      <c r="S425" s="94"/>
      <c r="T425" s="81"/>
      <c r="U425" s="93"/>
      <c r="V425" s="81"/>
      <c r="W425" s="94"/>
      <c r="X425" s="81"/>
      <c r="Y425" s="93"/>
      <c r="Z425" s="81"/>
      <c r="AA425" s="94"/>
      <c r="AB425" s="81"/>
      <c r="AC425" s="93"/>
      <c r="AD425" s="81"/>
      <c r="AE425" s="94"/>
      <c r="AF425" s="81"/>
      <c r="AG425" s="93"/>
      <c r="AH425" s="81"/>
      <c r="AI425" s="94"/>
      <c r="AJ425" s="81"/>
      <c r="AK425" s="93"/>
      <c r="AL425" s="81"/>
      <c r="AM425" s="94"/>
      <c r="AN425" s="81"/>
      <c r="AO425" s="93"/>
      <c r="AP425" s="81"/>
      <c r="AQ425" s="94"/>
      <c r="AR425" s="81"/>
      <c r="AS425" s="94"/>
      <c r="AT425" s="306"/>
      <c r="AU425" s="94"/>
      <c r="AV425" s="306"/>
      <c r="AW425" s="94"/>
      <c r="AX425" s="66">
        <f t="shared" si="56"/>
        <v>0</v>
      </c>
      <c r="AY425" s="78">
        <f t="shared" si="57"/>
        <v>0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295</v>
      </c>
      <c r="BC425" s="53">
        <f t="shared" si="59"/>
        <v>295</v>
      </c>
    </row>
    <row r="426" spans="1:55" ht="13.15">
      <c r="A426" t="s">
        <v>1434</v>
      </c>
      <c r="B426" t="s">
        <v>52</v>
      </c>
      <c r="C426" s="52" t="s">
        <v>1433</v>
      </c>
      <c r="D426" s="52" t="s">
        <v>1433</v>
      </c>
      <c r="E426">
        <v>100</v>
      </c>
      <c r="F426">
        <v>110</v>
      </c>
      <c r="G426" s="64">
        <v>44470</v>
      </c>
      <c r="H426">
        <v>300</v>
      </c>
      <c r="I426">
        <v>300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48</v>
      </c>
      <c r="P426" s="69">
        <f t="shared" si="60"/>
        <v>183.33333333333334</v>
      </c>
      <c r="Q426" s="90" t="s">
        <v>371</v>
      </c>
      <c r="R426" s="91">
        <v>2</v>
      </c>
      <c r="S426" s="90" t="s">
        <v>372</v>
      </c>
      <c r="T426" s="91">
        <v>2.9</v>
      </c>
      <c r="U426" s="90" t="s">
        <v>373</v>
      </c>
      <c r="V426" s="91">
        <v>3.9</v>
      </c>
      <c r="W426" s="94"/>
      <c r="X426" s="81"/>
      <c r="Y426" s="93"/>
      <c r="Z426" s="81"/>
      <c r="AA426" s="94"/>
      <c r="AB426" s="81"/>
      <c r="AC426" s="93"/>
      <c r="AD426" s="81"/>
      <c r="AE426" s="94"/>
      <c r="AF426" s="81"/>
      <c r="AG426" s="93"/>
      <c r="AH426" s="81"/>
      <c r="AI426" s="94"/>
      <c r="AJ426" s="81"/>
      <c r="AK426" s="93"/>
      <c r="AL426" s="81"/>
      <c r="AM426" s="94"/>
      <c r="AN426" s="81"/>
      <c r="AO426" s="93"/>
      <c r="AP426" s="81"/>
      <c r="AQ426" s="94"/>
      <c r="AR426" s="81"/>
      <c r="AS426" s="94"/>
      <c r="AT426" s="306"/>
      <c r="AU426" s="94"/>
      <c r="AV426" s="306"/>
      <c r="AW426" s="94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">
        <v>1435</v>
      </c>
      <c r="B427" t="s">
        <v>52</v>
      </c>
      <c r="C427" s="52" t="s">
        <v>1433</v>
      </c>
      <c r="D427" s="52" t="s">
        <v>1433</v>
      </c>
      <c r="E427">
        <v>120</v>
      </c>
      <c r="F427">
        <v>120</v>
      </c>
      <c r="G427" s="64">
        <v>44484</v>
      </c>
      <c r="H427">
        <v>300</v>
      </c>
      <c r="I427">
        <v>300</v>
      </c>
      <c r="J427">
        <v>3</v>
      </c>
      <c r="K427">
        <v>6</v>
      </c>
      <c r="L427">
        <v>0</v>
      </c>
      <c r="M427">
        <v>13</v>
      </c>
      <c r="N427">
        <v>10</v>
      </c>
      <c r="O427">
        <v>7</v>
      </c>
      <c r="P427" s="69">
        <f t="shared" si="60"/>
        <v>125</v>
      </c>
      <c r="Q427" s="259" t="s">
        <v>386</v>
      </c>
      <c r="R427" s="260">
        <v>2</v>
      </c>
      <c r="S427" s="115" t="s">
        <v>387</v>
      </c>
      <c r="T427" s="117">
        <v>2</v>
      </c>
      <c r="U427" s="314" t="s">
        <v>388</v>
      </c>
      <c r="V427" s="315">
        <v>2</v>
      </c>
      <c r="W427" s="94"/>
      <c r="X427" s="81"/>
      <c r="Y427" s="93"/>
      <c r="Z427" s="81"/>
      <c r="AA427" s="94"/>
      <c r="AB427" s="81"/>
      <c r="AC427" s="93"/>
      <c r="AD427" s="81"/>
      <c r="AE427" s="94"/>
      <c r="AF427" s="81"/>
      <c r="AG427" s="93"/>
      <c r="AH427" s="81"/>
      <c r="AI427" s="94"/>
      <c r="AJ427" s="81"/>
      <c r="AK427" s="93"/>
      <c r="AL427" s="81"/>
      <c r="AM427" s="94"/>
      <c r="AN427" s="81"/>
      <c r="AO427" s="93"/>
      <c r="AP427" s="81"/>
      <c r="AQ427" s="94"/>
      <c r="AR427" s="81"/>
      <c r="AS427" s="94"/>
      <c r="AT427" s="306"/>
      <c r="AU427" s="94"/>
      <c r="AV427" s="306"/>
      <c r="AW427" s="94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">
        <v>1436</v>
      </c>
      <c r="B428" t="s">
        <v>53</v>
      </c>
      <c r="C428" s="52" t="s">
        <v>1433</v>
      </c>
      <c r="D428" s="52" t="s">
        <v>1433</v>
      </c>
      <c r="E428">
        <v>90</v>
      </c>
      <c r="F428">
        <v>85</v>
      </c>
      <c r="G428" s="64">
        <v>44470</v>
      </c>
      <c r="H428">
        <v>300</v>
      </c>
      <c r="I428">
        <v>300</v>
      </c>
      <c r="J428">
        <v>5</v>
      </c>
      <c r="K428">
        <v>5</v>
      </c>
      <c r="L428">
        <v>0</v>
      </c>
      <c r="M428">
        <v>3</v>
      </c>
      <c r="N428">
        <v>12</v>
      </c>
      <c r="O428">
        <v>0</v>
      </c>
      <c r="P428" s="69">
        <f t="shared" si="60"/>
        <v>0</v>
      </c>
      <c r="Q428" s="84"/>
      <c r="R428" s="85"/>
      <c r="S428" s="94"/>
      <c r="T428" s="81"/>
      <c r="U428" s="93"/>
      <c r="V428" s="81"/>
      <c r="W428" s="94"/>
      <c r="X428" s="81"/>
      <c r="Y428" s="93"/>
      <c r="Z428" s="81"/>
      <c r="AA428" s="94"/>
      <c r="AB428" s="81"/>
      <c r="AC428" s="93"/>
      <c r="AD428" s="81"/>
      <c r="AE428" s="94"/>
      <c r="AF428" s="81"/>
      <c r="AG428" s="93"/>
      <c r="AH428" s="81"/>
      <c r="AI428" s="94"/>
      <c r="AJ428" s="81"/>
      <c r="AK428" s="93"/>
      <c r="AL428" s="81"/>
      <c r="AM428" s="94"/>
      <c r="AN428" s="81"/>
      <c r="AO428" s="93"/>
      <c r="AP428" s="81"/>
      <c r="AQ428" s="94"/>
      <c r="AR428" s="81"/>
      <c r="AS428" s="94"/>
      <c r="AT428" s="306"/>
      <c r="AU428" s="94"/>
      <c r="AV428" s="306"/>
      <c r="AW428" s="94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">
        <v>1437</v>
      </c>
      <c r="B429" t="s">
        <v>1438</v>
      </c>
      <c r="C429" s="52" t="s">
        <v>1433</v>
      </c>
      <c r="D429" s="52" t="s">
        <v>1433</v>
      </c>
      <c r="E429">
        <v>190</v>
      </c>
      <c r="F429">
        <v>195</v>
      </c>
      <c r="G429" s="64">
        <v>44470</v>
      </c>
      <c r="H429">
        <v>300</v>
      </c>
      <c r="I429">
        <v>300</v>
      </c>
      <c r="J429">
        <v>2</v>
      </c>
      <c r="K429">
        <v>3</v>
      </c>
      <c r="L429">
        <v>0</v>
      </c>
      <c r="M429">
        <v>10</v>
      </c>
      <c r="N429">
        <v>12</v>
      </c>
      <c r="O429">
        <v>0</v>
      </c>
      <c r="P429" s="69">
        <f t="shared" si="60"/>
        <v>93.75</v>
      </c>
      <c r="Q429" s="109" t="s">
        <v>1439</v>
      </c>
      <c r="R429" s="261">
        <v>4.5</v>
      </c>
      <c r="S429" s="94"/>
      <c r="T429" s="81"/>
      <c r="U429" s="93"/>
      <c r="V429" s="81"/>
      <c r="W429" s="94"/>
      <c r="X429" s="81"/>
      <c r="Y429" s="93"/>
      <c r="Z429" s="81"/>
      <c r="AA429" s="94"/>
      <c r="AB429" s="81"/>
      <c r="AC429" s="93"/>
      <c r="AD429" s="81"/>
      <c r="AE429" s="94"/>
      <c r="AF429" s="81"/>
      <c r="AG429" s="93"/>
      <c r="AH429" s="81"/>
      <c r="AI429" s="94"/>
      <c r="AJ429" s="81"/>
      <c r="AK429" s="93"/>
      <c r="AL429" s="81"/>
      <c r="AM429" s="94"/>
      <c r="AN429" s="81"/>
      <c r="AO429" s="93"/>
      <c r="AP429" s="81"/>
      <c r="AQ429" s="94"/>
      <c r="AR429" s="81"/>
      <c r="AS429" s="94"/>
      <c r="AT429" s="306"/>
      <c r="AU429" s="94"/>
      <c r="AV429" s="306"/>
      <c r="AW429" s="94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">
        <v>1440</v>
      </c>
      <c r="B430" t="s">
        <v>1438</v>
      </c>
      <c r="C430" s="52" t="s">
        <v>1433</v>
      </c>
      <c r="D430" s="52" t="s">
        <v>1433</v>
      </c>
      <c r="E430">
        <v>115</v>
      </c>
      <c r="F430">
        <v>100</v>
      </c>
      <c r="G430" s="64">
        <v>44470</v>
      </c>
      <c r="H430">
        <v>300</v>
      </c>
      <c r="I430">
        <v>300</v>
      </c>
      <c r="J430">
        <v>0</v>
      </c>
      <c r="K430">
        <v>0</v>
      </c>
      <c r="L430">
        <v>0</v>
      </c>
      <c r="M430">
        <v>17</v>
      </c>
      <c r="N430">
        <v>6</v>
      </c>
      <c r="O430">
        <v>0</v>
      </c>
      <c r="P430" s="69">
        <f t="shared" si="60"/>
        <v>20.833333333333332</v>
      </c>
      <c r="Q430" s="84" t="s">
        <v>1441</v>
      </c>
      <c r="R430" s="85">
        <v>1</v>
      </c>
      <c r="S430" s="94"/>
      <c r="T430" s="81"/>
      <c r="U430" s="93"/>
      <c r="V430" s="81"/>
      <c r="W430" s="94"/>
      <c r="X430" s="81"/>
      <c r="Y430" s="93"/>
      <c r="Z430" s="81"/>
      <c r="AA430" s="94"/>
      <c r="AB430" s="81"/>
      <c r="AC430" s="93"/>
      <c r="AD430" s="81"/>
      <c r="AE430" s="94"/>
      <c r="AF430" s="81"/>
      <c r="AG430" s="93"/>
      <c r="AH430" s="81"/>
      <c r="AI430" s="94"/>
      <c r="AJ430" s="81"/>
      <c r="AK430" s="93"/>
      <c r="AL430" s="81"/>
      <c r="AM430" s="94"/>
      <c r="AN430" s="81"/>
      <c r="AO430" s="93"/>
      <c r="AP430" s="81"/>
      <c r="AQ430" s="94"/>
      <c r="AR430" s="81"/>
      <c r="AS430" s="94"/>
      <c r="AT430" s="306"/>
      <c r="AU430" s="94"/>
      <c r="AV430" s="306"/>
      <c r="AW430" s="94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">
        <v>1442</v>
      </c>
      <c r="B431" t="s">
        <v>53</v>
      </c>
      <c r="C431" s="52" t="s">
        <v>1433</v>
      </c>
      <c r="D431" s="52" t="s">
        <v>1433</v>
      </c>
      <c r="E431">
        <v>135</v>
      </c>
      <c r="F431">
        <v>140</v>
      </c>
      <c r="G431" s="64">
        <v>44470</v>
      </c>
      <c r="H431">
        <v>300</v>
      </c>
      <c r="I431">
        <v>300</v>
      </c>
      <c r="J431">
        <v>0</v>
      </c>
      <c r="K431">
        <v>0</v>
      </c>
      <c r="L431">
        <v>0</v>
      </c>
      <c r="M431">
        <v>20</v>
      </c>
      <c r="N431">
        <v>8</v>
      </c>
      <c r="O431">
        <v>0</v>
      </c>
      <c r="P431" s="69">
        <f t="shared" si="60"/>
        <v>0</v>
      </c>
      <c r="Q431" s="93"/>
      <c r="R431" s="81"/>
      <c r="S431" s="94"/>
      <c r="T431" s="81"/>
      <c r="U431" s="93"/>
      <c r="V431" s="81"/>
      <c r="W431" s="94"/>
      <c r="X431" s="81"/>
      <c r="Y431" s="93"/>
      <c r="Z431" s="81"/>
      <c r="AA431" s="94"/>
      <c r="AB431" s="81"/>
      <c r="AC431" s="93"/>
      <c r="AD431" s="81"/>
      <c r="AE431" s="94"/>
      <c r="AF431" s="81"/>
      <c r="AG431" s="93"/>
      <c r="AH431" s="81"/>
      <c r="AI431" s="94"/>
      <c r="AJ431" s="81"/>
      <c r="AK431" s="93"/>
      <c r="AL431" s="81"/>
      <c r="AM431" s="94"/>
      <c r="AN431" s="81"/>
      <c r="AO431" s="93"/>
      <c r="AP431" s="81"/>
      <c r="AQ431" s="94"/>
      <c r="AR431" s="81"/>
      <c r="AS431" s="94"/>
      <c r="AT431" s="306"/>
      <c r="AU431" s="94"/>
      <c r="AV431" s="306"/>
      <c r="AW431" s="94"/>
      <c r="AX431" s="66">
        <f t="shared" si="56"/>
        <v>0</v>
      </c>
      <c r="AY431" s="78">
        <f t="shared" si="57"/>
        <v>0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135</v>
      </c>
      <c r="BC431" s="53">
        <f t="shared" si="59"/>
        <v>140</v>
      </c>
    </row>
    <row r="432" spans="1:55" ht="13.15">
      <c r="A432" t="s">
        <v>1443</v>
      </c>
      <c r="B432" t="s">
        <v>53</v>
      </c>
      <c r="C432" s="52" t="s">
        <v>1433</v>
      </c>
      <c r="D432" s="52" t="s">
        <v>1433</v>
      </c>
      <c r="E432">
        <v>105</v>
      </c>
      <c r="F432">
        <v>110</v>
      </c>
      <c r="G432" s="64">
        <v>44473</v>
      </c>
      <c r="H432">
        <v>300</v>
      </c>
      <c r="I432">
        <v>300</v>
      </c>
      <c r="J432">
        <v>4</v>
      </c>
      <c r="K432">
        <v>6</v>
      </c>
      <c r="L432">
        <v>0</v>
      </c>
      <c r="M432">
        <v>11</v>
      </c>
      <c r="N432">
        <v>10</v>
      </c>
      <c r="O432">
        <v>0</v>
      </c>
      <c r="P432" s="69">
        <f t="shared" si="60"/>
        <v>0</v>
      </c>
      <c r="Q432" s="93"/>
      <c r="R432" s="81"/>
      <c r="S432" s="94"/>
      <c r="T432" s="81"/>
      <c r="U432" s="93"/>
      <c r="V432" s="81"/>
      <c r="W432" s="94"/>
      <c r="X432" s="81"/>
      <c r="Y432" s="93"/>
      <c r="Z432" s="81"/>
      <c r="AA432" s="94"/>
      <c r="AB432" s="81"/>
      <c r="AC432" s="93"/>
      <c r="AD432" s="81"/>
      <c r="AE432" s="94"/>
      <c r="AF432" s="81"/>
      <c r="AG432" s="93"/>
      <c r="AH432" s="81"/>
      <c r="AI432" s="94"/>
      <c r="AJ432" s="81"/>
      <c r="AK432" s="93"/>
      <c r="AL432" s="81"/>
      <c r="AM432" s="94"/>
      <c r="AN432" s="81"/>
      <c r="AO432" s="93"/>
      <c r="AP432" s="81"/>
      <c r="AQ432" s="94"/>
      <c r="AR432" s="81"/>
      <c r="AS432" s="94"/>
      <c r="AT432" s="306"/>
      <c r="AU432" s="94"/>
      <c r="AV432" s="306"/>
      <c r="AW432" s="94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">
        <v>1444</v>
      </c>
      <c r="B433" t="s">
        <v>1438</v>
      </c>
      <c r="C433" s="52" t="s">
        <v>1433</v>
      </c>
      <c r="D433" s="52" t="s">
        <v>1433</v>
      </c>
      <c r="E433">
        <v>115</v>
      </c>
      <c r="F433">
        <v>140</v>
      </c>
      <c r="G433" s="64">
        <v>44470</v>
      </c>
      <c r="H433">
        <v>300</v>
      </c>
      <c r="I433">
        <v>300</v>
      </c>
      <c r="J433">
        <v>6</v>
      </c>
      <c r="K433">
        <v>2</v>
      </c>
      <c r="L433">
        <v>0</v>
      </c>
      <c r="M433">
        <v>11</v>
      </c>
      <c r="N433">
        <v>11</v>
      </c>
      <c r="O433">
        <v>0</v>
      </c>
      <c r="P433" s="69">
        <f t="shared" si="60"/>
        <v>0</v>
      </c>
      <c r="Q433" s="93"/>
      <c r="R433" s="81"/>
      <c r="S433" s="94"/>
      <c r="T433" s="81"/>
      <c r="U433" s="93"/>
      <c r="V433" s="81"/>
      <c r="W433" s="94"/>
      <c r="X433" s="81"/>
      <c r="Y433" s="93"/>
      <c r="Z433" s="81"/>
      <c r="AA433" s="94"/>
      <c r="AB433" s="81"/>
      <c r="AC433" s="93"/>
      <c r="AD433" s="81"/>
      <c r="AE433" s="94"/>
      <c r="AF433" s="81"/>
      <c r="AG433" s="93"/>
      <c r="AH433" s="81"/>
      <c r="AI433" s="94"/>
      <c r="AJ433" s="81"/>
      <c r="AK433" s="93"/>
      <c r="AL433" s="81"/>
      <c r="AM433" s="94"/>
      <c r="AN433" s="81"/>
      <c r="AO433" s="93"/>
      <c r="AP433" s="81"/>
      <c r="AQ433" s="94"/>
      <c r="AR433" s="81"/>
      <c r="AS433" s="94"/>
      <c r="AT433" s="306"/>
      <c r="AU433" s="94"/>
      <c r="AV433" s="306"/>
      <c r="AW433" s="94"/>
      <c r="AX433" s="66">
        <f t="shared" si="56"/>
        <v>0</v>
      </c>
      <c r="AY433" s="78">
        <f t="shared" si="57"/>
        <v>0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115</v>
      </c>
      <c r="BC433" s="53">
        <f t="shared" si="59"/>
        <v>140</v>
      </c>
    </row>
    <row r="434" spans="1:55" ht="13.15">
      <c r="A434" t="s">
        <v>1445</v>
      </c>
      <c r="B434" t="s">
        <v>53</v>
      </c>
      <c r="C434" s="52" t="s">
        <v>1433</v>
      </c>
      <c r="D434" s="52" t="s">
        <v>1433</v>
      </c>
      <c r="E434">
        <v>210</v>
      </c>
      <c r="F434">
        <v>200</v>
      </c>
      <c r="G434" s="64">
        <v>44470</v>
      </c>
      <c r="H434">
        <v>300</v>
      </c>
      <c r="I434">
        <v>300</v>
      </c>
      <c r="J434">
        <v>6</v>
      </c>
      <c r="K434">
        <v>1</v>
      </c>
      <c r="L434">
        <v>0</v>
      </c>
      <c r="M434">
        <v>10</v>
      </c>
      <c r="N434">
        <v>12</v>
      </c>
      <c r="O434">
        <v>0</v>
      </c>
      <c r="P434" s="69">
        <f t="shared" si="60"/>
        <v>0</v>
      </c>
      <c r="Q434" s="93"/>
      <c r="R434" s="81"/>
      <c r="S434" s="94"/>
      <c r="T434" s="81"/>
      <c r="U434" s="93"/>
      <c r="V434" s="81"/>
      <c r="W434" s="94"/>
      <c r="X434" s="81"/>
      <c r="Y434" s="93"/>
      <c r="Z434" s="81"/>
      <c r="AA434" s="94"/>
      <c r="AB434" s="81"/>
      <c r="AC434" s="93"/>
      <c r="AD434" s="81"/>
      <c r="AE434" s="94"/>
      <c r="AF434" s="81"/>
      <c r="AG434" s="93"/>
      <c r="AH434" s="81"/>
      <c r="AI434" s="94"/>
      <c r="AJ434" s="81"/>
      <c r="AK434" s="93"/>
      <c r="AL434" s="81"/>
      <c r="AM434" s="94"/>
      <c r="AN434" s="81"/>
      <c r="AO434" s="93"/>
      <c r="AP434" s="81"/>
      <c r="AQ434" s="94"/>
      <c r="AR434" s="81"/>
      <c r="AS434" s="94"/>
      <c r="AT434" s="306"/>
      <c r="AU434" s="94"/>
      <c r="AV434" s="306"/>
      <c r="AW434" s="94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">
        <v>1446</v>
      </c>
      <c r="B435" t="s">
        <v>1438</v>
      </c>
      <c r="C435" s="52" t="s">
        <v>1433</v>
      </c>
      <c r="D435" s="52" t="s">
        <v>1433</v>
      </c>
      <c r="E435">
        <v>135</v>
      </c>
      <c r="F435">
        <v>140</v>
      </c>
      <c r="G435" s="64">
        <v>44470</v>
      </c>
      <c r="H435">
        <v>300</v>
      </c>
      <c r="I435">
        <v>300</v>
      </c>
      <c r="J435">
        <v>4</v>
      </c>
      <c r="K435">
        <v>0</v>
      </c>
      <c r="L435">
        <v>0</v>
      </c>
      <c r="M435">
        <v>11</v>
      </c>
      <c r="N435">
        <v>8</v>
      </c>
      <c r="O435">
        <v>0</v>
      </c>
      <c r="P435" s="69">
        <f t="shared" si="60"/>
        <v>0</v>
      </c>
      <c r="Q435" s="93"/>
      <c r="R435" s="81"/>
      <c r="S435" s="94"/>
      <c r="T435" s="81"/>
      <c r="U435" s="93"/>
      <c r="V435" s="81"/>
      <c r="W435" s="94"/>
      <c r="X435" s="81"/>
      <c r="Y435" s="93"/>
      <c r="Z435" s="81"/>
      <c r="AA435" s="94"/>
      <c r="AB435" s="81"/>
      <c r="AC435" s="93"/>
      <c r="AD435" s="81"/>
      <c r="AE435" s="94"/>
      <c r="AF435" s="81"/>
      <c r="AG435" s="93"/>
      <c r="AH435" s="81"/>
      <c r="AI435" s="94"/>
      <c r="AJ435" s="81"/>
      <c r="AK435" s="93"/>
      <c r="AL435" s="81"/>
      <c r="AM435" s="94"/>
      <c r="AN435" s="81"/>
      <c r="AO435" s="93"/>
      <c r="AP435" s="81"/>
      <c r="AQ435" s="94"/>
      <c r="AR435" s="81"/>
      <c r="AS435" s="94"/>
      <c r="AT435" s="306"/>
      <c r="AU435" s="94"/>
      <c r="AV435" s="306"/>
      <c r="AW435" s="94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">
        <v>1447</v>
      </c>
      <c r="B436" t="s">
        <v>1438</v>
      </c>
      <c r="C436" s="52" t="s">
        <v>1433</v>
      </c>
      <c r="D436" s="52" t="s">
        <v>1433</v>
      </c>
      <c r="E436">
        <v>10.6</v>
      </c>
      <c r="F436" t="s">
        <v>1166</v>
      </c>
      <c r="G436" s="64">
        <v>44824</v>
      </c>
      <c r="H436">
        <v>300</v>
      </c>
      <c r="I436">
        <v>300</v>
      </c>
      <c r="J436">
        <v>3</v>
      </c>
      <c r="K436">
        <v>0</v>
      </c>
      <c r="L436">
        <v>0</v>
      </c>
      <c r="M436">
        <v>3</v>
      </c>
      <c r="N436">
        <v>4</v>
      </c>
      <c r="O436">
        <v>0</v>
      </c>
      <c r="P436" s="69">
        <f t="shared" si="60"/>
        <v>93.75</v>
      </c>
      <c r="Q436" s="104" t="s">
        <v>391</v>
      </c>
      <c r="R436" s="120">
        <v>4.5</v>
      </c>
      <c r="S436" s="94"/>
      <c r="T436" s="81"/>
      <c r="U436" s="93"/>
      <c r="V436" s="81"/>
      <c r="W436" s="94"/>
      <c r="X436" s="81"/>
      <c r="Y436" s="93"/>
      <c r="Z436" s="81"/>
      <c r="AA436" s="94"/>
      <c r="AB436" s="81"/>
      <c r="AC436" s="93"/>
      <c r="AD436" s="81"/>
      <c r="AE436" s="94"/>
      <c r="AF436" s="81"/>
      <c r="AG436" s="93"/>
      <c r="AH436" s="81"/>
      <c r="AI436" s="94"/>
      <c r="AJ436" s="81"/>
      <c r="AK436" s="93"/>
      <c r="AL436" s="81"/>
      <c r="AM436" s="94"/>
      <c r="AN436" s="81"/>
      <c r="AO436" s="93"/>
      <c r="AP436" s="81"/>
      <c r="AQ436" s="94"/>
      <c r="AR436" s="81"/>
      <c r="AS436" s="94"/>
      <c r="AT436" s="306"/>
      <c r="AU436" s="94"/>
      <c r="AV436" s="306"/>
      <c r="AW436" s="94"/>
      <c r="AX436" s="66">
        <f t="shared" si="56"/>
        <v>4.5</v>
      </c>
      <c r="AY436" s="78">
        <f t="shared" si="57"/>
        <v>93.75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57.475000000000001</v>
      </c>
      <c r="BC436" s="53" t="e">
        <f t="shared" si="59"/>
        <v>#VALUE!</v>
      </c>
    </row>
    <row r="437" spans="1:55" ht="13.15">
      <c r="A437" t="s">
        <v>1448</v>
      </c>
      <c r="B437" t="s">
        <v>52</v>
      </c>
      <c r="C437" s="52" t="s">
        <v>1433</v>
      </c>
      <c r="D437" s="52" t="s">
        <v>1433</v>
      </c>
      <c r="E437">
        <v>160</v>
      </c>
      <c r="F437">
        <v>165</v>
      </c>
      <c r="G437" s="64">
        <v>44470</v>
      </c>
      <c r="H437">
        <v>300</v>
      </c>
      <c r="I437">
        <v>300</v>
      </c>
      <c r="J437">
        <v>0</v>
      </c>
      <c r="K437">
        <v>1</v>
      </c>
      <c r="L437">
        <v>0</v>
      </c>
      <c r="M437">
        <v>19</v>
      </c>
      <c r="N437">
        <v>12</v>
      </c>
      <c r="O437">
        <v>0</v>
      </c>
      <c r="P437" s="69">
        <f t="shared" si="60"/>
        <v>0</v>
      </c>
      <c r="Q437" s="93"/>
      <c r="R437" s="81"/>
      <c r="S437" s="94"/>
      <c r="T437" s="81"/>
      <c r="U437" s="93"/>
      <c r="V437" s="81"/>
      <c r="W437" s="94"/>
      <c r="X437" s="81"/>
      <c r="Y437" s="93"/>
      <c r="Z437" s="81"/>
      <c r="AA437" s="94"/>
      <c r="AB437" s="81"/>
      <c r="AC437" s="93"/>
      <c r="AD437" s="81"/>
      <c r="AE437" s="94"/>
      <c r="AF437" s="81"/>
      <c r="AG437" s="93"/>
      <c r="AH437" s="81"/>
      <c r="AI437" s="94"/>
      <c r="AJ437" s="81"/>
      <c r="AK437" s="93"/>
      <c r="AL437" s="81"/>
      <c r="AM437" s="94"/>
      <c r="AN437" s="81"/>
      <c r="AO437" s="93"/>
      <c r="AP437" s="81"/>
      <c r="AQ437" s="94"/>
      <c r="AR437" s="81"/>
      <c r="AS437" s="94"/>
      <c r="AT437" s="306"/>
      <c r="AU437" s="94"/>
      <c r="AV437" s="306"/>
      <c r="AW437" s="94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">
        <v>1449</v>
      </c>
      <c r="B438" t="s">
        <v>52</v>
      </c>
      <c r="C438" s="52" t="s">
        <v>1433</v>
      </c>
      <c r="D438" s="52" t="s">
        <v>1433</v>
      </c>
      <c r="E438">
        <v>85</v>
      </c>
      <c r="F438">
        <v>80</v>
      </c>
      <c r="G438" s="64">
        <v>44441</v>
      </c>
      <c r="H438">
        <v>300</v>
      </c>
      <c r="I438">
        <v>300</v>
      </c>
      <c r="J438">
        <v>5</v>
      </c>
      <c r="K438">
        <v>10</v>
      </c>
      <c r="L438">
        <v>0</v>
      </c>
      <c r="M438">
        <v>16</v>
      </c>
      <c r="N438">
        <v>3</v>
      </c>
      <c r="O438">
        <v>0</v>
      </c>
      <c r="P438" s="69">
        <f t="shared" si="60"/>
        <v>0</v>
      </c>
      <c r="Q438" s="93"/>
      <c r="R438" s="81"/>
      <c r="S438" s="94"/>
      <c r="T438" s="81"/>
      <c r="U438" s="93"/>
      <c r="V438" s="81"/>
      <c r="W438" s="94"/>
      <c r="X438" s="81"/>
      <c r="Y438" s="93"/>
      <c r="Z438" s="81"/>
      <c r="AA438" s="94"/>
      <c r="AB438" s="81"/>
      <c r="AC438" s="93"/>
      <c r="AD438" s="81"/>
      <c r="AE438" s="94"/>
      <c r="AF438" s="81"/>
      <c r="AG438" s="93"/>
      <c r="AH438" s="81"/>
      <c r="AI438" s="94"/>
      <c r="AJ438" s="81"/>
      <c r="AK438" s="93"/>
      <c r="AL438" s="81"/>
      <c r="AM438" s="94"/>
      <c r="AN438" s="81"/>
      <c r="AO438" s="93"/>
      <c r="AP438" s="81"/>
      <c r="AQ438" s="94"/>
      <c r="AR438" s="81"/>
      <c r="AS438" s="94"/>
      <c r="AT438" s="306"/>
      <c r="AU438" s="94"/>
      <c r="AV438" s="306"/>
      <c r="AW438" s="94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">
        <v>1450</v>
      </c>
      <c r="B439" t="s">
        <v>1451</v>
      </c>
      <c r="C439" s="52" t="s">
        <v>1452</v>
      </c>
      <c r="D439" s="52" t="s">
        <v>1452</v>
      </c>
      <c r="E439">
        <v>356.2</v>
      </c>
      <c r="F439">
        <v>107.1</v>
      </c>
      <c r="G439" s="64">
        <v>45268</v>
      </c>
      <c r="H439">
        <v>1200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69">
        <f t="shared" ref="P439:P471" si="71">SUM(AY439+BA439)</f>
        <v>1206.25</v>
      </c>
      <c r="Q439" s="115"/>
      <c r="R439" s="117"/>
      <c r="S439" s="90" t="s">
        <v>384</v>
      </c>
      <c r="T439" s="290">
        <v>1</v>
      </c>
      <c r="U439" s="88" t="s">
        <v>378</v>
      </c>
      <c r="V439" s="289">
        <v>1</v>
      </c>
      <c r="W439" s="88" t="s">
        <v>379</v>
      </c>
      <c r="X439" s="289">
        <v>1.6</v>
      </c>
      <c r="Y439" s="82" t="s">
        <v>380</v>
      </c>
      <c r="Z439" s="287">
        <v>1.3</v>
      </c>
      <c r="AA439" s="82" t="s">
        <v>375</v>
      </c>
      <c r="AB439" s="287">
        <v>53</v>
      </c>
      <c r="AC439" s="93"/>
      <c r="AD439" s="81"/>
      <c r="AE439" s="94"/>
      <c r="AF439" s="81"/>
      <c r="AG439" s="93"/>
      <c r="AH439" s="81"/>
      <c r="AI439" s="94"/>
      <c r="AJ439" s="81"/>
      <c r="AK439" s="93"/>
      <c r="AL439" s="81"/>
      <c r="AM439" s="94"/>
      <c r="AN439" s="81"/>
      <c r="AO439" s="93"/>
      <c r="AP439" s="81"/>
      <c r="AQ439" s="94"/>
      <c r="AR439" s="81"/>
      <c r="AS439" s="94"/>
      <c r="AT439" s="306"/>
      <c r="AU439" s="94"/>
      <c r="AV439" s="306"/>
      <c r="AW439" s="94"/>
      <c r="AX439" s="66">
        <f t="shared" si="67"/>
        <v>57.9</v>
      </c>
      <c r="AY439" s="78">
        <f t="shared" si="68"/>
        <v>1206.25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959.32500000000005</v>
      </c>
      <c r="BC439" s="53">
        <f t="shared" si="70"/>
        <v>710.22500000000002</v>
      </c>
    </row>
    <row r="440" spans="1:55" ht="13.15">
      <c r="A440" t="s">
        <v>1453</v>
      </c>
      <c r="B440" t="s">
        <v>1451</v>
      </c>
      <c r="C440" s="52" t="s">
        <v>1452</v>
      </c>
      <c r="D440" s="52" t="s">
        <v>1452</v>
      </c>
      <c r="E440">
        <v>199.70000000000002</v>
      </c>
      <c r="F440">
        <v>14.6</v>
      </c>
      <c r="G440" s="64">
        <v>45270</v>
      </c>
      <c r="H440">
        <v>1200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69">
        <f t="shared" si="71"/>
        <v>56.25</v>
      </c>
      <c r="Q440" s="82" t="s">
        <v>376</v>
      </c>
      <c r="R440" s="287">
        <v>2</v>
      </c>
      <c r="S440" s="82" t="s">
        <v>377</v>
      </c>
      <c r="T440" s="287">
        <v>0.7</v>
      </c>
      <c r="U440" s="93"/>
      <c r="V440" s="81"/>
      <c r="W440" s="94"/>
      <c r="X440" s="81"/>
      <c r="Y440" s="93"/>
      <c r="Z440" s="81"/>
      <c r="AA440" s="94"/>
      <c r="AB440" s="81"/>
      <c r="AC440" s="93"/>
      <c r="AD440" s="81"/>
      <c r="AE440" s="94"/>
      <c r="AF440" s="81"/>
      <c r="AG440" s="93"/>
      <c r="AH440" s="81"/>
      <c r="AI440" s="94"/>
      <c r="AJ440" s="81"/>
      <c r="AK440" s="93"/>
      <c r="AL440" s="81"/>
      <c r="AM440" s="94"/>
      <c r="AN440" s="81"/>
      <c r="AO440" s="93"/>
      <c r="AP440" s="81"/>
      <c r="AQ440" s="94"/>
      <c r="AR440" s="81"/>
      <c r="AS440" s="94"/>
      <c r="AT440" s="306"/>
      <c r="AU440" s="94"/>
      <c r="AV440" s="306"/>
      <c r="AW440" s="94"/>
      <c r="AX440" s="66">
        <f t="shared" si="67"/>
        <v>2.7</v>
      </c>
      <c r="AY440" s="78">
        <f t="shared" si="68"/>
        <v>56.25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227.82500000000002</v>
      </c>
      <c r="BC440" s="53">
        <f t="shared" si="70"/>
        <v>42.725000000000001</v>
      </c>
    </row>
    <row r="441" spans="1:55" ht="13.15">
      <c r="A441" t="s">
        <v>1454</v>
      </c>
      <c r="B441" t="s">
        <v>1451</v>
      </c>
      <c r="C441" s="52" t="s">
        <v>1452</v>
      </c>
      <c r="D441" s="52" t="s">
        <v>1452</v>
      </c>
      <c r="E441">
        <v>274.8</v>
      </c>
      <c r="F441">
        <v>52.3</v>
      </c>
      <c r="G441" s="64">
        <v>45271</v>
      </c>
      <c r="H441">
        <v>1200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69">
        <f t="shared" si="71"/>
        <v>1122.9166666666667</v>
      </c>
      <c r="Q441" s="82" t="s">
        <v>374</v>
      </c>
      <c r="R441" s="287">
        <v>36.200000000000003</v>
      </c>
      <c r="S441" s="90" t="s">
        <v>383</v>
      </c>
      <c r="T441" s="290">
        <v>1.8</v>
      </c>
      <c r="U441" s="82" t="s">
        <v>385</v>
      </c>
      <c r="V441" s="287">
        <v>2.8</v>
      </c>
      <c r="W441" s="82" t="s">
        <v>381</v>
      </c>
      <c r="X441" s="287">
        <v>0.5</v>
      </c>
      <c r="Y441" s="82" t="s">
        <v>382</v>
      </c>
      <c r="Z441" s="287">
        <v>0.5</v>
      </c>
      <c r="AA441" s="259" t="s">
        <v>389</v>
      </c>
      <c r="AB441" s="308">
        <v>12.1</v>
      </c>
      <c r="AC441" s="93"/>
      <c r="AD441" s="81"/>
      <c r="AE441" s="94"/>
      <c r="AF441" s="81"/>
      <c r="AG441" s="93"/>
      <c r="AH441" s="81"/>
      <c r="AI441" s="94"/>
      <c r="AJ441" s="81"/>
      <c r="AK441" s="93"/>
      <c r="AL441" s="81"/>
      <c r="AM441" s="94"/>
      <c r="AN441" s="81"/>
      <c r="AO441" s="93"/>
      <c r="AP441" s="81"/>
      <c r="AQ441" s="94"/>
      <c r="AR441" s="81"/>
      <c r="AS441" s="94"/>
      <c r="AT441" s="306"/>
      <c r="AU441" s="94"/>
      <c r="AV441" s="306"/>
      <c r="AW441" s="94"/>
      <c r="AX441" s="66">
        <f t="shared" si="67"/>
        <v>53.9</v>
      </c>
      <c r="AY441" s="78">
        <f t="shared" si="68"/>
        <v>1122.9166666666667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836.25833333333344</v>
      </c>
      <c r="BC441" s="53">
        <f t="shared" si="70"/>
        <v>613.75833333333333</v>
      </c>
    </row>
    <row r="442" spans="1:55" ht="13.15">
      <c r="A442" t="s">
        <v>1455</v>
      </c>
      <c r="B442" t="s">
        <v>101</v>
      </c>
      <c r="C442" s="52" t="s">
        <v>1456</v>
      </c>
      <c r="D442" s="52" t="s">
        <v>1456</v>
      </c>
      <c r="E442">
        <v>0</v>
      </c>
      <c r="F442">
        <v>0</v>
      </c>
      <c r="G442" s="64">
        <v>0</v>
      </c>
      <c r="H442">
        <v>300</v>
      </c>
      <c r="I442">
        <v>300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69">
        <f t="shared" si="71"/>
        <v>0</v>
      </c>
      <c r="Q442" s="93"/>
      <c r="R442" s="81"/>
      <c r="S442" s="94"/>
      <c r="T442" s="81"/>
      <c r="U442" s="93"/>
      <c r="V442" s="81"/>
      <c r="W442" s="94"/>
      <c r="X442" s="81"/>
      <c r="Y442" s="93"/>
      <c r="Z442" s="81"/>
      <c r="AA442" s="94"/>
      <c r="AB442" s="81"/>
      <c r="AC442" s="93"/>
      <c r="AD442" s="81"/>
      <c r="AE442" s="94"/>
      <c r="AF442" s="81"/>
      <c r="AG442" s="93"/>
      <c r="AH442" s="81"/>
      <c r="AI442" s="94"/>
      <c r="AJ442" s="81"/>
      <c r="AK442" s="93"/>
      <c r="AL442" s="81"/>
      <c r="AM442" s="94"/>
      <c r="AN442" s="81"/>
      <c r="AO442" s="93"/>
      <c r="AP442" s="81"/>
      <c r="AQ442" s="94"/>
      <c r="AR442" s="81"/>
      <c r="AS442" s="94"/>
      <c r="AT442" s="306"/>
      <c r="AU442" s="94"/>
      <c r="AV442" s="306"/>
      <c r="AW442" s="94"/>
      <c r="AX442" s="66">
        <f t="shared" si="67"/>
        <v>0</v>
      </c>
      <c r="AY442" s="78">
        <f t="shared" si="68"/>
        <v>0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0</v>
      </c>
      <c r="BC442" s="53">
        <f t="shared" si="70"/>
        <v>0</v>
      </c>
    </row>
    <row r="443" spans="1:55" ht="13.15">
      <c r="A443" t="s">
        <v>1457</v>
      </c>
      <c r="B443" t="s">
        <v>128</v>
      </c>
      <c r="C443" s="52" t="s">
        <v>1458</v>
      </c>
      <c r="D443" s="52" t="s">
        <v>1458</v>
      </c>
      <c r="E443" t="s">
        <v>1459</v>
      </c>
      <c r="F443" t="s">
        <v>1459</v>
      </c>
      <c r="G443" s="64">
        <v>44084</v>
      </c>
      <c r="H443">
        <v>250</v>
      </c>
      <c r="I443">
        <v>250</v>
      </c>
      <c r="J443">
        <v>10</v>
      </c>
      <c r="K443">
        <v>10</v>
      </c>
      <c r="L443">
        <v>2</v>
      </c>
      <c r="M443">
        <v>0</v>
      </c>
      <c r="N443">
        <v>0</v>
      </c>
      <c r="O443">
        <v>19</v>
      </c>
      <c r="P443" s="69">
        <f t="shared" si="71"/>
        <v>0</v>
      </c>
      <c r="Q443" s="93"/>
      <c r="R443" s="81"/>
      <c r="S443" s="94"/>
      <c r="T443" s="81"/>
      <c r="U443" s="93"/>
      <c r="V443" s="81"/>
      <c r="W443" s="94"/>
      <c r="X443" s="81"/>
      <c r="Y443" s="93"/>
      <c r="Z443" s="81"/>
      <c r="AA443" s="94"/>
      <c r="AB443" s="81"/>
      <c r="AC443" s="93"/>
      <c r="AD443" s="81"/>
      <c r="AE443" s="94"/>
      <c r="AF443" s="81"/>
      <c r="AG443" s="93"/>
      <c r="AH443" s="81"/>
      <c r="AI443" s="94"/>
      <c r="AJ443" s="81"/>
      <c r="AK443" s="93"/>
      <c r="AL443" s="81"/>
      <c r="AM443" s="94"/>
      <c r="AN443" s="81"/>
      <c r="AO443" s="93"/>
      <c r="AP443" s="81"/>
      <c r="AQ443" s="94"/>
      <c r="AR443" s="81"/>
      <c r="AS443" s="94"/>
      <c r="AT443" s="306"/>
      <c r="AU443" s="94"/>
      <c r="AV443" s="306"/>
      <c r="AW443" s="94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">
        <v>1460</v>
      </c>
      <c r="B444" t="s">
        <v>152</v>
      </c>
      <c r="C444" s="52" t="s">
        <v>1461</v>
      </c>
      <c r="D444" s="52" t="s">
        <v>1461</v>
      </c>
      <c r="E444">
        <v>42</v>
      </c>
      <c r="F444">
        <v>42</v>
      </c>
      <c r="G444" s="64">
        <v>44113</v>
      </c>
      <c r="H444" t="s">
        <v>1462</v>
      </c>
      <c r="I444" t="s">
        <v>1462</v>
      </c>
      <c r="J444">
        <v>0</v>
      </c>
      <c r="K444">
        <v>0</v>
      </c>
      <c r="L444">
        <v>3</v>
      </c>
      <c r="M444">
        <v>3</v>
      </c>
      <c r="N444">
        <v>3</v>
      </c>
      <c r="O444">
        <v>3</v>
      </c>
      <c r="P444" s="69">
        <f t="shared" si="71"/>
        <v>0</v>
      </c>
      <c r="Q444" s="93"/>
      <c r="R444" s="81"/>
      <c r="S444" s="94"/>
      <c r="T444" s="81"/>
      <c r="U444" s="93"/>
      <c r="V444" s="81"/>
      <c r="W444" s="94"/>
      <c r="X444" s="81"/>
      <c r="Y444" s="93"/>
      <c r="Z444" s="81"/>
      <c r="AA444" s="94"/>
      <c r="AB444" s="81"/>
      <c r="AC444" s="93"/>
      <c r="AD444" s="81"/>
      <c r="AE444" s="94"/>
      <c r="AF444" s="81"/>
      <c r="AG444" s="93"/>
      <c r="AH444" s="81"/>
      <c r="AI444" s="94"/>
      <c r="AJ444" s="81"/>
      <c r="AK444" s="93"/>
      <c r="AL444" s="81"/>
      <c r="AM444" s="94"/>
      <c r="AN444" s="81"/>
      <c r="AO444" s="93"/>
      <c r="AP444" s="81"/>
      <c r="AQ444" s="94"/>
      <c r="AR444" s="81"/>
      <c r="AS444" s="94"/>
      <c r="AT444" s="306"/>
      <c r="AU444" s="94"/>
      <c r="AV444" s="306"/>
      <c r="AW444" s="94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">
        <v>1463</v>
      </c>
      <c r="B445" t="s">
        <v>180</v>
      </c>
      <c r="C445" s="52" t="s">
        <v>1464</v>
      </c>
      <c r="D445" s="52" t="s">
        <v>1464</v>
      </c>
      <c r="E445">
        <v>60</v>
      </c>
      <c r="F445">
        <v>60</v>
      </c>
      <c r="G445" s="64">
        <v>44991</v>
      </c>
      <c r="H445">
        <v>300</v>
      </c>
      <c r="I445" t="s">
        <v>1465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38</v>
      </c>
      <c r="P445" s="69">
        <f t="shared" si="71"/>
        <v>0</v>
      </c>
      <c r="Q445" s="93"/>
      <c r="R445" s="81"/>
      <c r="S445" s="94"/>
      <c r="T445" s="81"/>
      <c r="U445" s="93"/>
      <c r="V445" s="81"/>
      <c r="W445" s="94"/>
      <c r="X445" s="81"/>
      <c r="Y445" s="93"/>
      <c r="Z445" s="81"/>
      <c r="AA445" s="94"/>
      <c r="AB445" s="81"/>
      <c r="AC445" s="93"/>
      <c r="AD445" s="81"/>
      <c r="AE445" s="94"/>
      <c r="AF445" s="81"/>
      <c r="AG445" s="93"/>
      <c r="AH445" s="81"/>
      <c r="AI445" s="94"/>
      <c r="AJ445" s="81"/>
      <c r="AK445" s="93"/>
      <c r="AL445" s="81"/>
      <c r="AM445" s="94"/>
      <c r="AN445" s="81"/>
      <c r="AO445" s="93"/>
      <c r="AP445" s="81"/>
      <c r="AQ445" s="94"/>
      <c r="AR445" s="81"/>
      <c r="AS445" s="94"/>
      <c r="AT445" s="306"/>
      <c r="AU445" s="94"/>
      <c r="AV445" s="306"/>
      <c r="AW445" s="94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">
        <v>1466</v>
      </c>
      <c r="B446" t="s">
        <v>180</v>
      </c>
      <c r="C446" s="52" t="s">
        <v>1464</v>
      </c>
      <c r="D446" s="52" t="s">
        <v>1464</v>
      </c>
      <c r="E446">
        <v>180</v>
      </c>
      <c r="F446">
        <v>0</v>
      </c>
      <c r="G446" s="64">
        <v>44991</v>
      </c>
      <c r="H446">
        <v>300</v>
      </c>
      <c r="I446">
        <v>300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 s="69">
        <f t="shared" si="71"/>
        <v>10.416666666666666</v>
      </c>
      <c r="Q446" s="93" t="s">
        <v>643</v>
      </c>
      <c r="R446" s="81">
        <v>0.5</v>
      </c>
      <c r="S446" s="82"/>
      <c r="T446" s="83"/>
      <c r="U446" s="82"/>
      <c r="V446" s="83"/>
      <c r="W446" s="84"/>
      <c r="X446" s="85"/>
      <c r="Y446" s="84"/>
      <c r="Z446" s="85"/>
      <c r="AA446" s="94"/>
      <c r="AB446" s="81"/>
      <c r="AC446" s="93"/>
      <c r="AD446" s="81"/>
      <c r="AE446" s="94"/>
      <c r="AF446" s="81"/>
      <c r="AG446" s="93"/>
      <c r="AH446" s="81"/>
      <c r="AI446" s="94"/>
      <c r="AJ446" s="81"/>
      <c r="AK446" s="93"/>
      <c r="AL446" s="81"/>
      <c r="AM446" s="94"/>
      <c r="AN446" s="81"/>
      <c r="AO446" s="93"/>
      <c r="AP446" s="81"/>
      <c r="AQ446" s="94"/>
      <c r="AR446" s="81"/>
      <c r="AS446" s="94"/>
      <c r="AT446" s="306"/>
      <c r="AU446" s="94"/>
      <c r="AV446" s="306"/>
      <c r="AW446" s="94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">
        <v>1467</v>
      </c>
      <c r="B447" t="s">
        <v>201</v>
      </c>
      <c r="C447" s="52" t="s">
        <v>1468</v>
      </c>
      <c r="D447" s="52" t="s">
        <v>1468</v>
      </c>
      <c r="E447">
        <v>53.8</v>
      </c>
      <c r="F447">
        <v>2.2999999999999998</v>
      </c>
      <c r="G447" s="64">
        <v>45273</v>
      </c>
      <c r="H447">
        <v>360</v>
      </c>
      <c r="I447">
        <v>360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69">
        <f t="shared" si="71"/>
        <v>481.25</v>
      </c>
      <c r="Q447" s="82" t="s">
        <v>1469</v>
      </c>
      <c r="R447" s="83">
        <v>5</v>
      </c>
      <c r="S447" s="82" t="s">
        <v>1362</v>
      </c>
      <c r="T447" s="83">
        <v>11.7</v>
      </c>
      <c r="U447" s="84" t="s">
        <v>665</v>
      </c>
      <c r="V447" s="85">
        <v>2</v>
      </c>
      <c r="W447" s="86" t="s">
        <v>665</v>
      </c>
      <c r="X447" s="87">
        <v>1.8</v>
      </c>
      <c r="Y447" s="93" t="s">
        <v>664</v>
      </c>
      <c r="Z447" s="81">
        <v>2.6</v>
      </c>
      <c r="AA447" s="94"/>
      <c r="AB447" s="81"/>
      <c r="AC447" s="93"/>
      <c r="AD447" s="81"/>
      <c r="AE447" s="94"/>
      <c r="AF447" s="81"/>
      <c r="AG447" s="93"/>
      <c r="AH447" s="81"/>
      <c r="AI447" s="94"/>
      <c r="AJ447" s="81"/>
      <c r="AK447" s="93"/>
      <c r="AL447" s="81"/>
      <c r="AM447" s="94"/>
      <c r="AN447" s="81"/>
      <c r="AO447" s="93"/>
      <c r="AP447" s="81"/>
      <c r="AQ447" s="94"/>
      <c r="AR447" s="81"/>
      <c r="AS447" s="94"/>
      <c r="AT447" s="306"/>
      <c r="AU447" s="94"/>
      <c r="AV447" s="306"/>
      <c r="AW447" s="94"/>
      <c r="AX447" s="66">
        <f t="shared" si="67"/>
        <v>23.1</v>
      </c>
      <c r="AY447" s="78">
        <f t="shared" si="68"/>
        <v>481.25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294.42500000000001</v>
      </c>
      <c r="BC447" s="53">
        <f t="shared" si="70"/>
        <v>242.92500000000001</v>
      </c>
    </row>
    <row r="448" spans="1:55" ht="13.15">
      <c r="A448" t="s">
        <v>1470</v>
      </c>
      <c r="B448" t="s">
        <v>201</v>
      </c>
      <c r="C448" s="52" t="s">
        <v>1468</v>
      </c>
      <c r="D448" s="52" t="s">
        <v>1468</v>
      </c>
      <c r="E448">
        <v>140</v>
      </c>
      <c r="F448">
        <v>40</v>
      </c>
      <c r="G448" s="64">
        <v>44991</v>
      </c>
      <c r="H448">
        <v>300</v>
      </c>
      <c r="I448">
        <v>300</v>
      </c>
      <c r="J448">
        <v>6</v>
      </c>
      <c r="K448">
        <v>2</v>
      </c>
      <c r="L448">
        <v>0</v>
      </c>
      <c r="M448">
        <v>14</v>
      </c>
      <c r="N448">
        <v>7</v>
      </c>
      <c r="O448">
        <v>0</v>
      </c>
      <c r="P448" s="69">
        <f t="shared" si="71"/>
        <v>0</v>
      </c>
      <c r="Q448" s="93"/>
      <c r="R448" s="81"/>
      <c r="S448" s="94"/>
      <c r="T448" s="81"/>
      <c r="U448" s="93"/>
      <c r="V448" s="81"/>
      <c r="W448" s="94"/>
      <c r="X448" s="81"/>
      <c r="Y448" s="93"/>
      <c r="Z448" s="81"/>
      <c r="AA448" s="94"/>
      <c r="AB448" s="81"/>
      <c r="AC448" s="93"/>
      <c r="AD448" s="81"/>
      <c r="AE448" s="94"/>
      <c r="AF448" s="81"/>
      <c r="AG448" s="93"/>
      <c r="AH448" s="81"/>
      <c r="AI448" s="94"/>
      <c r="AJ448" s="81"/>
      <c r="AK448" s="93"/>
      <c r="AL448" s="81"/>
      <c r="AM448" s="94"/>
      <c r="AN448" s="81"/>
      <c r="AO448" s="93"/>
      <c r="AP448" s="81"/>
      <c r="AQ448" s="94"/>
      <c r="AR448" s="81"/>
      <c r="AS448" s="94"/>
      <c r="AT448" s="306"/>
      <c r="AU448" s="94"/>
      <c r="AV448" s="306"/>
      <c r="AW448" s="94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">
        <v>1471</v>
      </c>
      <c r="B449" t="s">
        <v>201</v>
      </c>
      <c r="C449" s="52" t="s">
        <v>1468</v>
      </c>
      <c r="D449" s="52" t="s">
        <v>1468</v>
      </c>
      <c r="E449">
        <v>80</v>
      </c>
      <c r="F449">
        <v>15</v>
      </c>
      <c r="G449" s="64">
        <v>44991</v>
      </c>
      <c r="H449">
        <v>300</v>
      </c>
      <c r="I449">
        <v>300</v>
      </c>
      <c r="J449">
        <v>6</v>
      </c>
      <c r="K449">
        <v>1</v>
      </c>
      <c r="L449">
        <v>2</v>
      </c>
      <c r="M449">
        <v>24</v>
      </c>
      <c r="N449">
        <v>11</v>
      </c>
      <c r="O449">
        <v>0</v>
      </c>
      <c r="P449" s="69">
        <f t="shared" si="71"/>
        <v>31.25</v>
      </c>
      <c r="Q449" s="82" t="s">
        <v>662</v>
      </c>
      <c r="R449" s="83">
        <v>0.5</v>
      </c>
      <c r="S449" s="86" t="s">
        <v>1472</v>
      </c>
      <c r="T449" s="87">
        <v>1</v>
      </c>
      <c r="U449" s="93"/>
      <c r="V449" s="81"/>
      <c r="W449" s="94"/>
      <c r="X449" s="81"/>
      <c r="Y449" s="93"/>
      <c r="Z449" s="81"/>
      <c r="AA449" s="94"/>
      <c r="AB449" s="81"/>
      <c r="AC449" s="93"/>
      <c r="AD449" s="81"/>
      <c r="AE449" s="94"/>
      <c r="AF449" s="81"/>
      <c r="AG449" s="93"/>
      <c r="AH449" s="81"/>
      <c r="AI449" s="94"/>
      <c r="AJ449" s="81"/>
      <c r="AK449" s="93"/>
      <c r="AL449" s="81"/>
      <c r="AM449" s="94"/>
      <c r="AN449" s="81"/>
      <c r="AO449" s="93"/>
      <c r="AP449" s="81"/>
      <c r="AQ449" s="94"/>
      <c r="AR449" s="81"/>
      <c r="AS449" s="94"/>
      <c r="AT449" s="306"/>
      <c r="AU449" s="94"/>
      <c r="AV449" s="306"/>
      <c r="AW449" s="94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">
        <v>1473</v>
      </c>
      <c r="B450" t="s">
        <v>213</v>
      </c>
      <c r="C450" s="52" t="s">
        <v>1474</v>
      </c>
      <c r="D450" s="52" t="s">
        <v>1474</v>
      </c>
      <c r="E450">
        <v>125</v>
      </c>
      <c r="F450">
        <v>125</v>
      </c>
      <c r="G450" s="64">
        <v>44991</v>
      </c>
      <c r="H450">
        <v>300</v>
      </c>
      <c r="I450">
        <v>300</v>
      </c>
      <c r="J450">
        <v>5</v>
      </c>
      <c r="K450">
        <v>0</v>
      </c>
      <c r="L450">
        <v>0</v>
      </c>
      <c r="M450">
        <v>9</v>
      </c>
      <c r="N450">
        <v>9</v>
      </c>
      <c r="O450">
        <v>0</v>
      </c>
      <c r="P450" s="69">
        <f t="shared" si="71"/>
        <v>0</v>
      </c>
      <c r="Q450" s="93"/>
      <c r="R450" s="81"/>
      <c r="S450" s="94"/>
      <c r="T450" s="81"/>
      <c r="U450" s="93"/>
      <c r="V450" s="81"/>
      <c r="W450" s="94"/>
      <c r="X450" s="81"/>
      <c r="Y450" s="93"/>
      <c r="Z450" s="81"/>
      <c r="AA450" s="94"/>
      <c r="AB450" s="81"/>
      <c r="AC450" s="93"/>
      <c r="AD450" s="81"/>
      <c r="AE450" s="94"/>
      <c r="AF450" s="81"/>
      <c r="AG450" s="93"/>
      <c r="AH450" s="81"/>
      <c r="AI450" s="94"/>
      <c r="AJ450" s="81"/>
      <c r="AK450" s="93"/>
      <c r="AL450" s="81"/>
      <c r="AM450" s="94"/>
      <c r="AN450" s="81"/>
      <c r="AO450" s="93"/>
      <c r="AP450" s="81"/>
      <c r="AQ450" s="94"/>
      <c r="AR450" s="81"/>
      <c r="AS450" s="94"/>
      <c r="AT450" s="306"/>
      <c r="AU450" s="94"/>
      <c r="AV450" s="306"/>
      <c r="AW450" s="94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">
        <v>1475</v>
      </c>
      <c r="B451" t="s">
        <v>1476</v>
      </c>
      <c r="C451" s="52" t="s">
        <v>1477</v>
      </c>
      <c r="D451" s="52" t="s">
        <v>1477</v>
      </c>
      <c r="E451">
        <v>0</v>
      </c>
      <c r="F451">
        <v>0</v>
      </c>
      <c r="G451" s="64">
        <v>0</v>
      </c>
      <c r="H451">
        <v>300</v>
      </c>
      <c r="I451">
        <v>300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69">
        <f t="shared" si="71"/>
        <v>0</v>
      </c>
      <c r="Q451" s="93"/>
      <c r="R451" s="81"/>
      <c r="S451" s="94"/>
      <c r="T451" s="81"/>
      <c r="U451" s="93"/>
      <c r="V451" s="81"/>
      <c r="W451" s="94"/>
      <c r="X451" s="81"/>
      <c r="Y451" s="93"/>
      <c r="Z451" s="81"/>
      <c r="AA451" s="94"/>
      <c r="AB451" s="81"/>
      <c r="AC451" s="93"/>
      <c r="AD451" s="81"/>
      <c r="AE451" s="94"/>
      <c r="AF451" s="81"/>
      <c r="AG451" s="93"/>
      <c r="AH451" s="81"/>
      <c r="AI451" s="94"/>
      <c r="AJ451" s="81"/>
      <c r="AK451" s="93"/>
      <c r="AL451" s="81"/>
      <c r="AM451" s="94"/>
      <c r="AN451" s="81"/>
      <c r="AO451" s="93"/>
      <c r="AP451" s="81"/>
      <c r="AQ451" s="94"/>
      <c r="AR451" s="81"/>
      <c r="AS451" s="94"/>
      <c r="AT451" s="306"/>
      <c r="AU451" s="94"/>
      <c r="AV451" s="306"/>
      <c r="AW451" s="94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">
        <v>1478</v>
      </c>
      <c r="B452" t="s">
        <v>1476</v>
      </c>
      <c r="C452" s="52" t="s">
        <v>1479</v>
      </c>
      <c r="D452" s="52" t="s">
        <v>1479</v>
      </c>
      <c r="E452">
        <v>50</v>
      </c>
      <c r="F452">
        <v>50</v>
      </c>
      <c r="G452" s="64">
        <v>44162</v>
      </c>
      <c r="H452">
        <v>300</v>
      </c>
      <c r="I452">
        <v>300</v>
      </c>
      <c r="J452">
        <v>4</v>
      </c>
      <c r="K452">
        <v>0</v>
      </c>
      <c r="L452">
        <v>0</v>
      </c>
      <c r="M452">
        <v>3</v>
      </c>
      <c r="N452">
        <v>1</v>
      </c>
      <c r="O452">
        <v>26</v>
      </c>
      <c r="P452" s="69">
        <f t="shared" si="71"/>
        <v>0</v>
      </c>
      <c r="Q452" s="93"/>
      <c r="R452" s="81"/>
      <c r="S452" s="94"/>
      <c r="T452" s="81"/>
      <c r="U452" s="93"/>
      <c r="V452" s="81"/>
      <c r="W452" s="94"/>
      <c r="X452" s="81"/>
      <c r="Y452" s="93"/>
      <c r="Z452" s="81"/>
      <c r="AA452" s="94"/>
      <c r="AB452" s="81"/>
      <c r="AC452" s="93"/>
      <c r="AD452" s="81"/>
      <c r="AE452" s="94"/>
      <c r="AF452" s="81"/>
      <c r="AG452" s="93"/>
      <c r="AH452" s="81"/>
      <c r="AI452" s="94"/>
      <c r="AJ452" s="81"/>
      <c r="AK452" s="93"/>
      <c r="AL452" s="81"/>
      <c r="AM452" s="94"/>
      <c r="AN452" s="81"/>
      <c r="AO452" s="93"/>
      <c r="AP452" s="81"/>
      <c r="AQ452" s="94"/>
      <c r="AR452" s="81"/>
      <c r="AS452" s="94"/>
      <c r="AT452" s="306"/>
      <c r="AU452" s="94"/>
      <c r="AV452" s="306"/>
      <c r="AW452" s="94"/>
      <c r="AX452" s="66">
        <f t="shared" si="67"/>
        <v>0</v>
      </c>
      <c r="AY452" s="78">
        <f t="shared" si="68"/>
        <v>0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50</v>
      </c>
      <c r="BC452" s="53">
        <f t="shared" si="70"/>
        <v>50</v>
      </c>
    </row>
    <row r="453" spans="1:55" ht="13.15">
      <c r="A453" t="s">
        <v>1480</v>
      </c>
      <c r="B453" t="s">
        <v>224</v>
      </c>
      <c r="C453" s="52" t="s">
        <v>1481</v>
      </c>
      <c r="D453" s="52" t="s">
        <v>1481</v>
      </c>
      <c r="E453">
        <v>160</v>
      </c>
      <c r="F453">
        <v>160</v>
      </c>
      <c r="G453" s="64">
        <v>45068</v>
      </c>
      <c r="H453">
        <v>300</v>
      </c>
      <c r="I453">
        <v>300</v>
      </c>
      <c r="J453">
        <v>5</v>
      </c>
      <c r="K453">
        <v>1</v>
      </c>
      <c r="L453">
        <v>0</v>
      </c>
      <c r="M453">
        <v>2</v>
      </c>
      <c r="N453">
        <v>9</v>
      </c>
      <c r="O453">
        <v>0</v>
      </c>
      <c r="P453" s="69">
        <f t="shared" si="71"/>
        <v>62.5</v>
      </c>
      <c r="Q453" s="262" t="s">
        <v>559</v>
      </c>
      <c r="R453" s="261">
        <v>2</v>
      </c>
      <c r="S453" s="102" t="s">
        <v>695</v>
      </c>
      <c r="T453" s="103">
        <v>1</v>
      </c>
      <c r="U453" s="93"/>
      <c r="V453" s="81"/>
      <c r="W453" s="94"/>
      <c r="X453" s="81"/>
      <c r="Y453" s="93"/>
      <c r="Z453" s="81"/>
      <c r="AA453" s="94"/>
      <c r="AB453" s="81"/>
      <c r="AC453" s="93"/>
      <c r="AD453" s="81"/>
      <c r="AE453" s="94"/>
      <c r="AF453" s="81"/>
      <c r="AG453" s="93"/>
      <c r="AH453" s="81"/>
      <c r="AI453" s="94"/>
      <c r="AJ453" s="81"/>
      <c r="AK453" s="93"/>
      <c r="AL453" s="81"/>
      <c r="AM453" s="94"/>
      <c r="AN453" s="81"/>
      <c r="AO453" s="93"/>
      <c r="AP453" s="81"/>
      <c r="AQ453" s="94"/>
      <c r="AR453" s="81"/>
      <c r="AS453" s="94"/>
      <c r="AT453" s="306"/>
      <c r="AU453" s="94"/>
      <c r="AV453" s="306"/>
      <c r="AW453" s="94"/>
      <c r="AX453" s="66">
        <f t="shared" si="67"/>
        <v>3</v>
      </c>
      <c r="AY453" s="78">
        <f t="shared" si="68"/>
        <v>62.5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191.25</v>
      </c>
      <c r="BC453" s="53">
        <f t="shared" si="70"/>
        <v>191.25</v>
      </c>
    </row>
    <row r="454" spans="1:55" ht="13.15">
      <c r="A454" t="s">
        <v>1482</v>
      </c>
      <c r="B454" t="s">
        <v>224</v>
      </c>
      <c r="C454" s="52" t="s">
        <v>1481</v>
      </c>
      <c r="D454" s="52" t="s">
        <v>1481</v>
      </c>
      <c r="E454">
        <v>170</v>
      </c>
      <c r="F454">
        <v>170</v>
      </c>
      <c r="G454" s="64">
        <v>45068</v>
      </c>
      <c r="H454">
        <v>300</v>
      </c>
      <c r="I454">
        <v>300</v>
      </c>
      <c r="J454">
        <v>4</v>
      </c>
      <c r="K454">
        <v>0</v>
      </c>
      <c r="L454">
        <v>0</v>
      </c>
      <c r="M454">
        <v>4</v>
      </c>
      <c r="N454">
        <v>6</v>
      </c>
      <c r="O454">
        <v>0</v>
      </c>
      <c r="P454" s="69">
        <f t="shared" si="71"/>
        <v>10.416666666666666</v>
      </c>
      <c r="Q454" s="82" t="s">
        <v>697</v>
      </c>
      <c r="R454" s="83">
        <v>0.5</v>
      </c>
      <c r="S454" s="94"/>
      <c r="T454" s="81"/>
      <c r="U454" s="93"/>
      <c r="V454" s="81"/>
      <c r="W454" s="94"/>
      <c r="X454" s="81"/>
      <c r="Y454" s="93"/>
      <c r="Z454" s="81"/>
      <c r="AA454" s="94"/>
      <c r="AB454" s="81"/>
      <c r="AC454" s="93"/>
      <c r="AD454" s="81"/>
      <c r="AE454" s="94"/>
      <c r="AF454" s="81"/>
      <c r="AG454" s="93"/>
      <c r="AH454" s="81"/>
      <c r="AI454" s="94"/>
      <c r="AJ454" s="81"/>
      <c r="AK454" s="93"/>
      <c r="AL454" s="81"/>
      <c r="AM454" s="94"/>
      <c r="AN454" s="81"/>
      <c r="AO454" s="93"/>
      <c r="AP454" s="81"/>
      <c r="AQ454" s="94"/>
      <c r="AR454" s="81"/>
      <c r="AS454" s="94"/>
      <c r="AT454" s="306"/>
      <c r="AU454" s="94"/>
      <c r="AV454" s="306"/>
      <c r="AW454" s="94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">
        <v>1483</v>
      </c>
      <c r="B455" t="s">
        <v>261</v>
      </c>
      <c r="C455" s="52" t="s">
        <v>1484</v>
      </c>
      <c r="D455" s="52" t="s">
        <v>1484</v>
      </c>
      <c r="E455">
        <v>80</v>
      </c>
      <c r="F455">
        <v>90</v>
      </c>
      <c r="G455" s="64">
        <v>44042</v>
      </c>
      <c r="H455">
        <v>300</v>
      </c>
      <c r="I455">
        <v>300</v>
      </c>
      <c r="J455">
        <v>0</v>
      </c>
      <c r="K455">
        <v>8</v>
      </c>
      <c r="L455">
        <v>0</v>
      </c>
      <c r="M455">
        <v>17</v>
      </c>
      <c r="N455">
        <v>11</v>
      </c>
      <c r="O455">
        <v>0</v>
      </c>
      <c r="P455" s="69">
        <f t="shared" si="71"/>
        <v>0</v>
      </c>
      <c r="Q455" s="93"/>
      <c r="R455" s="81"/>
      <c r="S455" s="94"/>
      <c r="T455" s="81"/>
      <c r="U455" s="93"/>
      <c r="V455" s="81"/>
      <c r="W455" s="94"/>
      <c r="X455" s="81"/>
      <c r="Y455" s="93"/>
      <c r="Z455" s="81"/>
      <c r="AA455" s="94"/>
      <c r="AB455" s="81"/>
      <c r="AC455" s="93"/>
      <c r="AD455" s="81"/>
      <c r="AE455" s="94"/>
      <c r="AF455" s="81"/>
      <c r="AG455" s="93"/>
      <c r="AH455" s="81"/>
      <c r="AI455" s="94"/>
      <c r="AJ455" s="81"/>
      <c r="AK455" s="93"/>
      <c r="AL455" s="81"/>
      <c r="AM455" s="94"/>
      <c r="AN455" s="81"/>
      <c r="AO455" s="93"/>
      <c r="AP455" s="81"/>
      <c r="AQ455" s="94"/>
      <c r="AR455" s="81"/>
      <c r="AS455" s="94"/>
      <c r="AT455" s="306"/>
      <c r="AU455" s="94"/>
      <c r="AV455" s="306"/>
      <c r="AW455" s="94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">
        <v>1485</v>
      </c>
      <c r="B456" t="s">
        <v>261</v>
      </c>
      <c r="C456" s="52" t="s">
        <v>1484</v>
      </c>
      <c r="D456" s="52" t="s">
        <v>1484</v>
      </c>
      <c r="E456">
        <v>80</v>
      </c>
      <c r="F456">
        <v>70</v>
      </c>
      <c r="G456" s="64">
        <v>44042</v>
      </c>
      <c r="H456">
        <v>0</v>
      </c>
      <c r="I456">
        <v>0</v>
      </c>
      <c r="J456">
        <v>5</v>
      </c>
      <c r="K456">
        <v>10</v>
      </c>
      <c r="L456">
        <v>0</v>
      </c>
      <c r="M456">
        <v>6</v>
      </c>
      <c r="N456">
        <v>11</v>
      </c>
      <c r="O456">
        <v>0</v>
      </c>
      <c r="P456" s="69">
        <f t="shared" si="71"/>
        <v>0</v>
      </c>
      <c r="Q456" s="93"/>
      <c r="R456" s="81"/>
      <c r="S456" s="94"/>
      <c r="T456" s="81"/>
      <c r="U456" s="93"/>
      <c r="V456" s="81"/>
      <c r="W456" s="94"/>
      <c r="X456" s="81"/>
      <c r="Y456" s="93"/>
      <c r="Z456" s="81"/>
      <c r="AA456" s="94"/>
      <c r="AB456" s="81"/>
      <c r="AC456" s="93"/>
      <c r="AD456" s="81"/>
      <c r="AE456" s="94"/>
      <c r="AF456" s="81"/>
      <c r="AG456" s="93"/>
      <c r="AH456" s="81"/>
      <c r="AI456" s="94"/>
      <c r="AJ456" s="81"/>
      <c r="AK456" s="93"/>
      <c r="AL456" s="81"/>
      <c r="AM456" s="94"/>
      <c r="AN456" s="81"/>
      <c r="AO456" s="93"/>
      <c r="AP456" s="81"/>
      <c r="AQ456" s="94"/>
      <c r="AR456" s="81"/>
      <c r="AS456" s="94"/>
      <c r="AT456" s="306"/>
      <c r="AU456" s="94"/>
      <c r="AV456" s="306"/>
      <c r="AW456" s="94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">
        <v>1486</v>
      </c>
      <c r="B457" t="s">
        <v>261</v>
      </c>
      <c r="C457" s="52" t="s">
        <v>1484</v>
      </c>
      <c r="D457" s="52" t="s">
        <v>1484</v>
      </c>
      <c r="E457">
        <v>90</v>
      </c>
      <c r="F457">
        <v>90</v>
      </c>
      <c r="G457" s="64">
        <v>42983</v>
      </c>
      <c r="H457">
        <v>300</v>
      </c>
      <c r="I457">
        <v>300</v>
      </c>
      <c r="J457">
        <v>1</v>
      </c>
      <c r="K457">
        <v>0</v>
      </c>
      <c r="L457">
        <v>2</v>
      </c>
      <c r="M457">
        <v>1</v>
      </c>
      <c r="N457">
        <v>0</v>
      </c>
      <c r="O457">
        <v>12</v>
      </c>
      <c r="P457" s="69">
        <f t="shared" si="71"/>
        <v>20.833333333333332</v>
      </c>
      <c r="Q457" s="309" t="s">
        <v>749</v>
      </c>
      <c r="R457" s="310">
        <v>1</v>
      </c>
      <c r="S457" s="94"/>
      <c r="T457" s="81"/>
      <c r="U457" s="93"/>
      <c r="V457" s="81"/>
      <c r="W457" s="94"/>
      <c r="X457" s="81"/>
      <c r="Y457" s="93"/>
      <c r="Z457" s="81"/>
      <c r="AA457" s="94"/>
      <c r="AB457" s="81"/>
      <c r="AC457" s="93"/>
      <c r="AD457" s="81"/>
      <c r="AE457" s="94"/>
      <c r="AF457" s="81"/>
      <c r="AG457" s="93"/>
      <c r="AH457" s="81"/>
      <c r="AI457" s="94"/>
      <c r="AJ457" s="81"/>
      <c r="AK457" s="93"/>
      <c r="AL457" s="81"/>
      <c r="AM457" s="94"/>
      <c r="AN457" s="81"/>
      <c r="AO457" s="93"/>
      <c r="AP457" s="81"/>
      <c r="AQ457" s="94"/>
      <c r="AR457" s="81"/>
      <c r="AS457" s="94"/>
      <c r="AT457" s="306"/>
      <c r="AU457" s="94"/>
      <c r="AV457" s="306"/>
      <c r="AW457" s="94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">
        <v>1487</v>
      </c>
      <c r="B458" t="s">
        <v>191</v>
      </c>
      <c r="C458" s="52" t="s">
        <v>1488</v>
      </c>
      <c r="D458" s="52" t="s">
        <v>1488</v>
      </c>
      <c r="E458" t="s">
        <v>829</v>
      </c>
      <c r="F458" t="s">
        <v>829</v>
      </c>
      <c r="G458" s="64">
        <v>44998</v>
      </c>
      <c r="H458">
        <v>300</v>
      </c>
      <c r="I458">
        <v>300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69">
        <f t="shared" si="71"/>
        <v>0</v>
      </c>
      <c r="Q458" s="93"/>
      <c r="R458" s="81"/>
      <c r="S458" s="94"/>
      <c r="T458" s="81"/>
      <c r="U458" s="93"/>
      <c r="V458" s="81"/>
      <c r="W458" s="94"/>
      <c r="X458" s="81"/>
      <c r="Y458" s="93"/>
      <c r="Z458" s="81"/>
      <c r="AA458" s="94"/>
      <c r="AB458" s="81"/>
      <c r="AC458" s="93"/>
      <c r="AD458" s="81"/>
      <c r="AE458" s="94"/>
      <c r="AF458" s="81"/>
      <c r="AG458" s="93"/>
      <c r="AH458" s="81"/>
      <c r="AI458" s="94"/>
      <c r="AJ458" s="81"/>
      <c r="AK458" s="93"/>
      <c r="AL458" s="81"/>
      <c r="AM458" s="94"/>
      <c r="AN458" s="81"/>
      <c r="AO458" s="93"/>
      <c r="AP458" s="81"/>
      <c r="AQ458" s="94"/>
      <c r="AR458" s="81"/>
      <c r="AS458" s="94"/>
      <c r="AT458" s="306"/>
      <c r="AU458" s="94"/>
      <c r="AV458" s="306"/>
      <c r="AW458" s="94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">
        <v>1489</v>
      </c>
      <c r="B459" t="s">
        <v>191</v>
      </c>
      <c r="C459" s="52" t="s">
        <v>1488</v>
      </c>
      <c r="D459" s="52" t="s">
        <v>1488</v>
      </c>
      <c r="E459">
        <v>0</v>
      </c>
      <c r="F459">
        <v>50</v>
      </c>
      <c r="G459" s="64">
        <v>44998</v>
      </c>
      <c r="H459">
        <v>300</v>
      </c>
      <c r="I459">
        <v>300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69">
        <f t="shared" si="71"/>
        <v>41.666666666666664</v>
      </c>
      <c r="Q459" s="82" t="s">
        <v>653</v>
      </c>
      <c r="R459" s="83">
        <v>2</v>
      </c>
      <c r="S459" s="94"/>
      <c r="T459" s="81"/>
      <c r="U459" s="93"/>
      <c r="V459" s="81"/>
      <c r="W459" s="94"/>
      <c r="X459" s="81"/>
      <c r="Y459" s="93"/>
      <c r="Z459" s="81"/>
      <c r="AA459" s="94"/>
      <c r="AB459" s="81"/>
      <c r="AC459" s="93"/>
      <c r="AD459" s="81"/>
      <c r="AE459" s="94"/>
      <c r="AF459" s="81"/>
      <c r="AG459" s="93"/>
      <c r="AH459" s="81"/>
      <c r="AI459" s="94"/>
      <c r="AJ459" s="81"/>
      <c r="AK459" s="93"/>
      <c r="AL459" s="81"/>
      <c r="AM459" s="94"/>
      <c r="AN459" s="81"/>
      <c r="AO459" s="93"/>
      <c r="AP459" s="81"/>
      <c r="AQ459" s="94"/>
      <c r="AR459" s="81"/>
      <c r="AS459" s="94"/>
      <c r="AT459" s="306"/>
      <c r="AU459" s="94"/>
      <c r="AV459" s="306"/>
      <c r="AW459" s="94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">
        <v>1490</v>
      </c>
      <c r="B460" t="s">
        <v>190</v>
      </c>
      <c r="C460" s="52" t="s">
        <v>1488</v>
      </c>
      <c r="D460" s="52" t="s">
        <v>1488</v>
      </c>
      <c r="E460">
        <v>45</v>
      </c>
      <c r="F460">
        <v>0</v>
      </c>
      <c r="G460" s="64">
        <v>44998</v>
      </c>
      <c r="H460">
        <v>300</v>
      </c>
      <c r="I460">
        <v>300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 s="69">
        <f t="shared" si="71"/>
        <v>0</v>
      </c>
      <c r="Q460" s="93"/>
      <c r="R460" s="81"/>
      <c r="S460" s="94"/>
      <c r="T460" s="81"/>
      <c r="U460" s="93"/>
      <c r="V460" s="81"/>
      <c r="W460" s="94"/>
      <c r="X460" s="81"/>
      <c r="Y460" s="93"/>
      <c r="Z460" s="81"/>
      <c r="AA460" s="94"/>
      <c r="AB460" s="81"/>
      <c r="AC460" s="93"/>
      <c r="AD460" s="81"/>
      <c r="AE460" s="94"/>
      <c r="AF460" s="81"/>
      <c r="AG460" s="93"/>
      <c r="AH460" s="81"/>
      <c r="AI460" s="94"/>
      <c r="AJ460" s="81"/>
      <c r="AK460" s="93"/>
      <c r="AL460" s="81"/>
      <c r="AM460" s="94"/>
      <c r="AN460" s="81"/>
      <c r="AO460" s="93"/>
      <c r="AP460" s="81"/>
      <c r="AQ460" s="94"/>
      <c r="AR460" s="81"/>
      <c r="AS460" s="94"/>
      <c r="AT460" s="306"/>
      <c r="AU460" s="94"/>
      <c r="AV460" s="306"/>
      <c r="AW460" s="94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">
        <v>1491</v>
      </c>
      <c r="B461" t="s">
        <v>191</v>
      </c>
      <c r="C461" s="52" t="s">
        <v>1488</v>
      </c>
      <c r="D461" s="52" t="s">
        <v>1488</v>
      </c>
      <c r="E461">
        <v>0</v>
      </c>
      <c r="F461">
        <v>85</v>
      </c>
      <c r="G461" s="64">
        <v>44998</v>
      </c>
      <c r="H461">
        <v>300</v>
      </c>
      <c r="I461">
        <v>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69">
        <f t="shared" si="71"/>
        <v>0</v>
      </c>
      <c r="Q461" s="93"/>
      <c r="R461" s="81"/>
      <c r="S461" s="94"/>
      <c r="T461" s="81"/>
      <c r="U461" s="93"/>
      <c r="V461" s="81"/>
      <c r="W461" s="94"/>
      <c r="X461" s="81"/>
      <c r="Y461" s="93"/>
      <c r="Z461" s="81"/>
      <c r="AA461" s="94"/>
      <c r="AB461" s="81"/>
      <c r="AC461" s="93"/>
      <c r="AD461" s="81"/>
      <c r="AE461" s="94"/>
      <c r="AF461" s="81"/>
      <c r="AG461" s="93"/>
      <c r="AH461" s="81"/>
      <c r="AI461" s="94"/>
      <c r="AJ461" s="81"/>
      <c r="AK461" s="93"/>
      <c r="AL461" s="81"/>
      <c r="AM461" s="94"/>
      <c r="AN461" s="81"/>
      <c r="AO461" s="93"/>
      <c r="AP461" s="81"/>
      <c r="AQ461" s="94"/>
      <c r="AR461" s="81"/>
      <c r="AS461" s="94"/>
      <c r="AT461" s="306"/>
      <c r="AU461" s="94"/>
      <c r="AV461" s="306"/>
      <c r="AW461" s="94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">
        <v>1492</v>
      </c>
      <c r="B462" t="s">
        <v>190</v>
      </c>
      <c r="C462" s="52" t="s">
        <v>1488</v>
      </c>
      <c r="D462" s="52" t="s">
        <v>1488</v>
      </c>
      <c r="E462">
        <v>80</v>
      </c>
      <c r="F462">
        <v>7</v>
      </c>
      <c r="G462" s="64">
        <v>42914</v>
      </c>
      <c r="H462">
        <v>300</v>
      </c>
      <c r="I462">
        <v>300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0</v>
      </c>
      <c r="P462" s="69">
        <f t="shared" si="71"/>
        <v>0</v>
      </c>
      <c r="Q462" s="93"/>
      <c r="R462" s="81"/>
      <c r="S462" s="94"/>
      <c r="T462" s="81"/>
      <c r="U462" s="93"/>
      <c r="V462" s="81"/>
      <c r="W462" s="94"/>
      <c r="X462" s="81"/>
      <c r="Y462" s="93"/>
      <c r="Z462" s="81"/>
      <c r="AA462" s="94"/>
      <c r="AB462" s="81"/>
      <c r="AC462" s="93"/>
      <c r="AD462" s="81"/>
      <c r="AE462" s="94"/>
      <c r="AF462" s="81"/>
      <c r="AG462" s="93"/>
      <c r="AH462" s="81"/>
      <c r="AI462" s="94"/>
      <c r="AJ462" s="81"/>
      <c r="AK462" s="93"/>
      <c r="AL462" s="81"/>
      <c r="AM462" s="94"/>
      <c r="AN462" s="81"/>
      <c r="AO462" s="93"/>
      <c r="AP462" s="81"/>
      <c r="AQ462" s="94"/>
      <c r="AR462" s="81"/>
      <c r="AS462" s="94"/>
      <c r="AT462" s="306"/>
      <c r="AU462" s="94"/>
      <c r="AV462" s="306"/>
      <c r="AW462" s="94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">
        <v>1493</v>
      </c>
      <c r="B463" t="s">
        <v>239</v>
      </c>
      <c r="C463" s="52" t="s">
        <v>1494</v>
      </c>
      <c r="D463" s="52" t="s">
        <v>1494</v>
      </c>
      <c r="E463">
        <v>61</v>
      </c>
      <c r="F463">
        <v>93</v>
      </c>
      <c r="G463" s="64">
        <v>44999</v>
      </c>
      <c r="H463">
        <v>300</v>
      </c>
      <c r="I463">
        <v>300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29</v>
      </c>
      <c r="P463" s="69">
        <f t="shared" si="71"/>
        <v>125</v>
      </c>
      <c r="Q463" s="82" t="s">
        <v>719</v>
      </c>
      <c r="R463" s="83">
        <v>5</v>
      </c>
      <c r="S463" s="102" t="s">
        <v>720</v>
      </c>
      <c r="T463" s="103">
        <v>1</v>
      </c>
      <c r="U463" s="93"/>
      <c r="V463" s="81"/>
      <c r="W463" s="94"/>
      <c r="X463" s="81"/>
      <c r="Y463" s="93"/>
      <c r="Z463" s="81"/>
      <c r="AA463" s="94"/>
      <c r="AB463" s="81"/>
      <c r="AC463" s="93"/>
      <c r="AD463" s="81"/>
      <c r="AE463" s="94"/>
      <c r="AF463" s="81"/>
      <c r="AG463" s="93"/>
      <c r="AH463" s="81"/>
      <c r="AI463" s="94"/>
      <c r="AJ463" s="81"/>
      <c r="AK463" s="93"/>
      <c r="AL463" s="81"/>
      <c r="AM463" s="94"/>
      <c r="AN463" s="81"/>
      <c r="AO463" s="93"/>
      <c r="AP463" s="81"/>
      <c r="AQ463" s="94"/>
      <c r="AR463" s="81"/>
      <c r="AS463" s="94"/>
      <c r="AT463" s="306"/>
      <c r="AU463" s="94"/>
      <c r="AV463" s="306"/>
      <c r="AW463" s="94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">
        <v>1495</v>
      </c>
      <c r="B464" t="s">
        <v>239</v>
      </c>
      <c r="C464" s="52" t="s">
        <v>1494</v>
      </c>
      <c r="D464" s="52" t="s">
        <v>1494</v>
      </c>
      <c r="E464">
        <v>0</v>
      </c>
      <c r="F464">
        <v>0</v>
      </c>
      <c r="G464" s="64">
        <v>39873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69">
        <f t="shared" si="71"/>
        <v>0</v>
      </c>
      <c r="Q464" s="93"/>
      <c r="R464" s="81"/>
      <c r="S464" s="94"/>
      <c r="T464" s="81"/>
      <c r="U464" s="93"/>
      <c r="V464" s="81"/>
      <c r="W464" s="94"/>
      <c r="X464" s="81"/>
      <c r="Y464" s="93"/>
      <c r="Z464" s="81"/>
      <c r="AA464" s="94"/>
      <c r="AB464" s="81"/>
      <c r="AC464" s="93"/>
      <c r="AD464" s="81"/>
      <c r="AE464" s="94"/>
      <c r="AF464" s="81"/>
      <c r="AG464" s="93"/>
      <c r="AH464" s="81"/>
      <c r="AI464" s="94"/>
      <c r="AJ464" s="81"/>
      <c r="AK464" s="93"/>
      <c r="AL464" s="81"/>
      <c r="AM464" s="94"/>
      <c r="AN464" s="81"/>
      <c r="AO464" s="93"/>
      <c r="AP464" s="81"/>
      <c r="AQ464" s="94"/>
      <c r="AR464" s="81"/>
      <c r="AS464" s="94"/>
      <c r="AT464" s="306"/>
      <c r="AU464" s="94"/>
      <c r="AV464" s="306"/>
      <c r="AW464" s="94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">
        <v>1496</v>
      </c>
      <c r="B465" t="s">
        <v>236</v>
      </c>
      <c r="C465" s="52" t="s">
        <v>892</v>
      </c>
      <c r="D465" s="52" t="s">
        <v>892</v>
      </c>
      <c r="E465">
        <v>63</v>
      </c>
      <c r="F465">
        <v>59</v>
      </c>
      <c r="G465" s="64">
        <v>45034</v>
      </c>
      <c r="H465">
        <v>300</v>
      </c>
      <c r="I465">
        <v>300</v>
      </c>
      <c r="J465">
        <v>3</v>
      </c>
      <c r="K465">
        <v>0</v>
      </c>
      <c r="L465">
        <v>2</v>
      </c>
      <c r="M465">
        <v>0</v>
      </c>
      <c r="N465">
        <v>0</v>
      </c>
      <c r="O465">
        <v>40</v>
      </c>
      <c r="P465" s="69">
        <f t="shared" si="71"/>
        <v>104.16666666666667</v>
      </c>
      <c r="Q465" s="104" t="s">
        <v>716</v>
      </c>
      <c r="R465" s="274">
        <v>2.5</v>
      </c>
      <c r="S465" s="104" t="s">
        <v>717</v>
      </c>
      <c r="T465" s="274">
        <v>2.5</v>
      </c>
      <c r="U465" s="93"/>
      <c r="V465" s="81"/>
      <c r="W465" s="94"/>
      <c r="X465" s="81"/>
      <c r="Y465" s="93"/>
      <c r="Z465" s="81"/>
      <c r="AA465" s="94"/>
      <c r="AB465" s="81"/>
      <c r="AC465" s="93"/>
      <c r="AD465" s="81"/>
      <c r="AE465" s="94"/>
      <c r="AF465" s="81"/>
      <c r="AG465" s="93"/>
      <c r="AH465" s="81"/>
      <c r="AI465" s="94"/>
      <c r="AJ465" s="81"/>
      <c r="AK465" s="93"/>
      <c r="AL465" s="81"/>
      <c r="AM465" s="94"/>
      <c r="AN465" s="81"/>
      <c r="AO465" s="93"/>
      <c r="AP465" s="81"/>
      <c r="AQ465" s="94"/>
      <c r="AR465" s="81"/>
      <c r="AS465" s="94"/>
      <c r="AT465" s="306"/>
      <c r="AU465" s="94"/>
      <c r="AV465" s="306"/>
      <c r="AW465" s="94"/>
      <c r="AX465" s="66">
        <f t="shared" si="67"/>
        <v>5</v>
      </c>
      <c r="AY465" s="78">
        <f t="shared" si="68"/>
        <v>104.16666666666667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115.08333333333334</v>
      </c>
      <c r="BC465" s="53">
        <f t="shared" si="70"/>
        <v>111.08333333333334</v>
      </c>
    </row>
    <row r="466" spans="1:55" ht="13.15">
      <c r="A466" t="s">
        <v>1497</v>
      </c>
      <c r="B466" t="s">
        <v>163</v>
      </c>
      <c r="C466" s="52" t="s">
        <v>1141</v>
      </c>
      <c r="D466" s="52" t="s">
        <v>1141</v>
      </c>
      <c r="E466">
        <v>97</v>
      </c>
      <c r="F466">
        <v>101</v>
      </c>
      <c r="G466" s="64">
        <v>0</v>
      </c>
      <c r="H466">
        <v>300</v>
      </c>
      <c r="I466">
        <v>300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</v>
      </c>
      <c r="P466" s="69">
        <f t="shared" si="71"/>
        <v>0</v>
      </c>
      <c r="Q466" s="93"/>
      <c r="R466" s="81"/>
      <c r="S466" s="94"/>
      <c r="T466" s="81"/>
      <c r="U466" s="93"/>
      <c r="V466" s="81"/>
      <c r="W466" s="94"/>
      <c r="X466" s="81"/>
      <c r="Y466" s="93"/>
      <c r="Z466" s="81"/>
      <c r="AA466" s="94"/>
      <c r="AB466" s="81"/>
      <c r="AC466" s="93"/>
      <c r="AD466" s="81"/>
      <c r="AE466" s="94"/>
      <c r="AF466" s="81"/>
      <c r="AG466" s="93"/>
      <c r="AH466" s="81"/>
      <c r="AI466" s="94"/>
      <c r="AJ466" s="81"/>
      <c r="AK466" s="93"/>
      <c r="AL466" s="81"/>
      <c r="AM466" s="94"/>
      <c r="AN466" s="81"/>
      <c r="AO466" s="93"/>
      <c r="AP466" s="81"/>
      <c r="AQ466" s="94"/>
      <c r="AR466" s="81"/>
      <c r="AS466" s="94"/>
      <c r="AT466" s="306"/>
      <c r="AU466" s="94"/>
      <c r="AV466" s="306"/>
      <c r="AW466" s="94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">
        <v>1498</v>
      </c>
      <c r="B467" t="s">
        <v>64</v>
      </c>
      <c r="C467" s="52" t="s">
        <v>1028</v>
      </c>
      <c r="D467" s="52" t="s">
        <v>1028</v>
      </c>
      <c r="E467">
        <v>0</v>
      </c>
      <c r="F467">
        <v>115.1</v>
      </c>
      <c r="G467" s="64">
        <v>45243</v>
      </c>
      <c r="H467">
        <v>200</v>
      </c>
      <c r="I467">
        <v>200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69">
        <f t="shared" si="71"/>
        <v>345.83333333333331</v>
      </c>
      <c r="Q467" s="82" t="s">
        <v>407</v>
      </c>
      <c r="R467" s="83">
        <v>4.4000000000000004</v>
      </c>
      <c r="S467" s="90" t="s">
        <v>405</v>
      </c>
      <c r="T467" s="91">
        <v>2.2000000000000002</v>
      </c>
      <c r="U467" s="90" t="s">
        <v>406</v>
      </c>
      <c r="V467" s="91">
        <v>2</v>
      </c>
      <c r="W467" s="102" t="s">
        <v>410</v>
      </c>
      <c r="X467" s="120">
        <v>4</v>
      </c>
      <c r="Y467" s="269" t="s">
        <v>409</v>
      </c>
      <c r="Z467" s="91">
        <v>2.2999999999999998</v>
      </c>
      <c r="AA467" s="90" t="s">
        <v>404</v>
      </c>
      <c r="AB467" s="91">
        <v>1.7</v>
      </c>
      <c r="AC467" s="93"/>
      <c r="AD467" s="81"/>
      <c r="AE467" s="94"/>
      <c r="AF467" s="81"/>
      <c r="AG467" s="93"/>
      <c r="AH467" s="81"/>
      <c r="AI467" s="94"/>
      <c r="AJ467" s="81"/>
      <c r="AK467" s="93"/>
      <c r="AL467" s="81"/>
      <c r="AM467" s="94"/>
      <c r="AN467" s="81"/>
      <c r="AO467" s="93"/>
      <c r="AP467" s="81"/>
      <c r="AQ467" s="94"/>
      <c r="AR467" s="81"/>
      <c r="AS467" s="94"/>
      <c r="AT467" s="306"/>
      <c r="AU467" s="94"/>
      <c r="AV467" s="306"/>
      <c r="AW467" s="94"/>
      <c r="AX467" s="66">
        <f t="shared" si="67"/>
        <v>16.600000000000001</v>
      </c>
      <c r="AY467" s="78">
        <f t="shared" si="68"/>
        <v>345.83333333333331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172.91666666666666</v>
      </c>
      <c r="BC467" s="53">
        <f t="shared" si="70"/>
        <v>288.01666666666665</v>
      </c>
    </row>
    <row r="468" spans="1:55" ht="13.15">
      <c r="A468" t="s">
        <v>1499</v>
      </c>
      <c r="B468" t="s">
        <v>72</v>
      </c>
      <c r="C468" s="52" t="s">
        <v>1320</v>
      </c>
      <c r="D468" s="52" t="s">
        <v>1320</v>
      </c>
      <c r="E468">
        <v>2.6</v>
      </c>
      <c r="F468">
        <v>2.6</v>
      </c>
      <c r="G468" s="64">
        <v>45243</v>
      </c>
      <c r="H468">
        <v>360</v>
      </c>
      <c r="I468">
        <v>360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69">
        <f t="shared" si="71"/>
        <v>302.08333333333331</v>
      </c>
      <c r="Q468" s="109" t="s">
        <v>449</v>
      </c>
      <c r="R468" s="261">
        <v>1.7</v>
      </c>
      <c r="S468" s="262" t="s">
        <v>1500</v>
      </c>
      <c r="T468" s="261">
        <v>7.5</v>
      </c>
      <c r="U468" s="84" t="s">
        <v>453</v>
      </c>
      <c r="V468" s="292">
        <v>2</v>
      </c>
      <c r="W468" s="109" t="s">
        <v>450</v>
      </c>
      <c r="X468" s="302">
        <v>3.3</v>
      </c>
      <c r="Y468" s="93"/>
      <c r="Z468" s="81"/>
      <c r="AA468" s="94"/>
      <c r="AB468" s="81"/>
      <c r="AC468" s="93"/>
      <c r="AD468" s="81"/>
      <c r="AE468" s="94"/>
      <c r="AF468" s="81"/>
      <c r="AG468" s="93"/>
      <c r="AH468" s="81"/>
      <c r="AI468" s="94"/>
      <c r="AJ468" s="81"/>
      <c r="AK468" s="93"/>
      <c r="AL468" s="81"/>
      <c r="AM468" s="94"/>
      <c r="AN468" s="81"/>
      <c r="AO468" s="93"/>
      <c r="AP468" s="81"/>
      <c r="AQ468" s="94"/>
      <c r="AR468" s="81"/>
      <c r="AS468" s="94"/>
      <c r="AT468" s="306"/>
      <c r="AU468" s="94"/>
      <c r="AV468" s="306"/>
      <c r="AW468" s="94"/>
      <c r="AX468" s="66">
        <f t="shared" si="67"/>
        <v>14.5</v>
      </c>
      <c r="AY468" s="78">
        <f t="shared" si="68"/>
        <v>302.08333333333331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153.64166666666665</v>
      </c>
      <c r="BC468" s="53">
        <f t="shared" si="70"/>
        <v>153.64166666666665</v>
      </c>
    </row>
    <row r="469" spans="1:55" ht="13.15">
      <c r="A469" t="s">
        <v>1501</v>
      </c>
      <c r="B469" t="s">
        <v>158</v>
      </c>
      <c r="C469" s="52" t="s">
        <v>1056</v>
      </c>
      <c r="D469" s="52" t="s">
        <v>1056</v>
      </c>
      <c r="E469">
        <v>5.3</v>
      </c>
      <c r="F469">
        <v>0</v>
      </c>
      <c r="G469" s="64">
        <v>45250</v>
      </c>
      <c r="H469">
        <v>360</v>
      </c>
      <c r="I469">
        <v>360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69">
        <f t="shared" si="71"/>
        <v>306.25</v>
      </c>
      <c r="Q469" s="104"/>
      <c r="R469" s="103"/>
      <c r="S469" s="262" t="s">
        <v>1502</v>
      </c>
      <c r="T469" s="261">
        <v>1</v>
      </c>
      <c r="U469" s="104" t="s">
        <v>1503</v>
      </c>
      <c r="V469" s="103">
        <v>3.8</v>
      </c>
      <c r="W469" s="319" t="s">
        <v>1504</v>
      </c>
      <c r="X469" s="276">
        <v>3.9</v>
      </c>
      <c r="Y469" s="322" t="s">
        <v>594</v>
      </c>
      <c r="Z469" s="323">
        <v>6</v>
      </c>
      <c r="AA469" s="94"/>
      <c r="AB469" s="81"/>
      <c r="AC469" s="93"/>
      <c r="AD469" s="81"/>
      <c r="AE469" s="94"/>
      <c r="AF469" s="81"/>
      <c r="AG469" s="93"/>
      <c r="AH469" s="81"/>
      <c r="AI469" s="94"/>
      <c r="AJ469" s="81"/>
      <c r="AK469" s="93"/>
      <c r="AL469" s="81"/>
      <c r="AM469" s="94"/>
      <c r="AN469" s="81"/>
      <c r="AO469" s="93"/>
      <c r="AP469" s="81"/>
      <c r="AQ469" s="94"/>
      <c r="AR469" s="81"/>
      <c r="AS469" s="94"/>
      <c r="AT469" s="306"/>
      <c r="AU469" s="94"/>
      <c r="AV469" s="306"/>
      <c r="AW469" s="94"/>
      <c r="AX469" s="66">
        <f t="shared" si="67"/>
        <v>14.7</v>
      </c>
      <c r="AY469" s="78">
        <f t="shared" si="68"/>
        <v>306.25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158.42500000000001</v>
      </c>
      <c r="BC469" s="53">
        <f t="shared" si="70"/>
        <v>153.125</v>
      </c>
    </row>
    <row r="470" spans="1:55" ht="13.15">
      <c r="A470" t="s">
        <v>1505</v>
      </c>
      <c r="B470" t="s">
        <v>170</v>
      </c>
      <c r="C470" s="52" t="s">
        <v>1172</v>
      </c>
      <c r="D470" s="52" t="s">
        <v>1172</v>
      </c>
      <c r="E470">
        <v>5.6</v>
      </c>
      <c r="F470">
        <v>5.3</v>
      </c>
      <c r="G470" s="64">
        <v>45271</v>
      </c>
      <c r="H470">
        <v>360</v>
      </c>
      <c r="I470">
        <v>360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69">
        <f t="shared" si="71"/>
        <v>183.33333333333334</v>
      </c>
      <c r="Q470" s="319" t="s">
        <v>1506</v>
      </c>
      <c r="R470" s="326">
        <v>3.8</v>
      </c>
      <c r="S470" s="84" t="s">
        <v>620</v>
      </c>
      <c r="T470" s="103">
        <v>5</v>
      </c>
      <c r="U470" s="93"/>
      <c r="V470" s="81"/>
      <c r="W470" s="94"/>
      <c r="X470" s="81"/>
      <c r="Y470" s="93"/>
      <c r="Z470" s="81"/>
      <c r="AA470" s="94"/>
      <c r="AB470" s="81"/>
      <c r="AC470" s="93"/>
      <c r="AD470" s="81"/>
      <c r="AE470" s="94"/>
      <c r="AF470" s="81"/>
      <c r="AG470" s="93"/>
      <c r="AH470" s="81"/>
      <c r="AI470" s="94"/>
      <c r="AJ470" s="81"/>
      <c r="AK470" s="93"/>
      <c r="AL470" s="81"/>
      <c r="AM470" s="94"/>
      <c r="AN470" s="81"/>
      <c r="AO470" s="93"/>
      <c r="AP470" s="81"/>
      <c r="AQ470" s="94"/>
      <c r="AR470" s="81"/>
      <c r="AS470" s="94"/>
      <c r="AT470" s="306"/>
      <c r="AU470" s="94"/>
      <c r="AV470" s="306"/>
      <c r="AW470" s="94"/>
      <c r="AX470" s="66">
        <f t="shared" si="67"/>
        <v>8.8000000000000007</v>
      </c>
      <c r="AY470" s="78">
        <f t="shared" si="68"/>
        <v>183.33333333333334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97.266666666666666</v>
      </c>
      <c r="BC470" s="53">
        <f t="shared" si="70"/>
        <v>96.966666666666669</v>
      </c>
    </row>
    <row r="471" spans="1:55" ht="13.15">
      <c r="A471" t="s">
        <v>1507</v>
      </c>
      <c r="B471" t="s">
        <v>233</v>
      </c>
      <c r="C471" s="52" t="s">
        <v>892</v>
      </c>
      <c r="D471" s="52" t="s">
        <v>892</v>
      </c>
      <c r="E471">
        <v>0</v>
      </c>
      <c r="F471">
        <v>0</v>
      </c>
      <c r="G471" s="64">
        <v>0</v>
      </c>
      <c r="H471">
        <v>600</v>
      </c>
      <c r="I471">
        <v>600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69">
        <f t="shared" si="71"/>
        <v>0</v>
      </c>
      <c r="Q471" s="93"/>
      <c r="R471" s="81"/>
      <c r="S471" s="94"/>
      <c r="T471" s="81"/>
      <c r="U471" s="93"/>
      <c r="V471" s="81"/>
      <c r="W471" s="94"/>
      <c r="X471" s="81"/>
      <c r="Y471" s="93"/>
      <c r="Z471" s="81"/>
      <c r="AA471" s="94"/>
      <c r="AB471" s="81"/>
      <c r="AC471" s="93"/>
      <c r="AD471" s="81"/>
      <c r="AE471" s="94"/>
      <c r="AF471" s="81"/>
      <c r="AG471" s="93"/>
      <c r="AH471" s="81"/>
      <c r="AI471" s="94"/>
      <c r="AJ471" s="81"/>
      <c r="AK471" s="93"/>
      <c r="AL471" s="81"/>
      <c r="AM471" s="94"/>
      <c r="AN471" s="81"/>
      <c r="AO471" s="93"/>
      <c r="AP471" s="81"/>
      <c r="AQ471" s="94"/>
      <c r="AR471" s="81"/>
      <c r="AS471" s="94"/>
      <c r="AT471" s="306"/>
      <c r="AU471" s="94"/>
      <c r="AV471" s="306"/>
      <c r="AW471" s="94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">
        <v>1508</v>
      </c>
      <c r="B472" t="s">
        <v>87</v>
      </c>
      <c r="C472" s="52" t="s">
        <v>831</v>
      </c>
      <c r="D472" s="52" t="s">
        <v>831</v>
      </c>
      <c r="E472">
        <v>0</v>
      </c>
      <c r="F472">
        <v>0.3</v>
      </c>
      <c r="G472" s="64">
        <v>0</v>
      </c>
      <c r="H472">
        <v>600</v>
      </c>
      <c r="I472">
        <v>600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69">
        <f t="shared" ref="P472" si="78">SUM(AY472+BA472)</f>
        <v>0</v>
      </c>
      <c r="Q472" s="93"/>
      <c r="R472" s="81"/>
      <c r="S472" s="94"/>
      <c r="T472" s="81"/>
      <c r="U472" s="93"/>
      <c r="V472" s="81"/>
      <c r="W472" s="94"/>
      <c r="X472" s="81"/>
      <c r="Y472" s="93"/>
      <c r="Z472" s="81"/>
      <c r="AA472" s="94"/>
      <c r="AB472" s="81"/>
      <c r="AC472" s="93"/>
      <c r="AD472" s="81"/>
      <c r="AE472" s="94"/>
      <c r="AF472" s="81"/>
      <c r="AG472" s="93"/>
      <c r="AH472" s="81"/>
      <c r="AI472" s="94"/>
      <c r="AJ472" s="81"/>
      <c r="AK472" s="93"/>
      <c r="AL472" s="81"/>
      <c r="AM472" s="94"/>
      <c r="AN472" s="81"/>
      <c r="AO472" s="93"/>
      <c r="AP472" s="81"/>
      <c r="AQ472" s="94"/>
      <c r="AR472" s="81"/>
      <c r="AS472" s="94"/>
      <c r="AT472" s="306"/>
      <c r="AU472" s="94"/>
      <c r="AV472" s="306"/>
      <c r="AW472" s="94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0.3</v>
      </c>
    </row>
    <row r="473" spans="1:55" ht="13.15">
      <c r="A473" t="s">
        <v>1509</v>
      </c>
      <c r="B473" t="s">
        <v>238</v>
      </c>
      <c r="C473" s="52" t="s">
        <v>1264</v>
      </c>
      <c r="D473" s="52" t="s">
        <v>1264</v>
      </c>
      <c r="E473">
        <v>0</v>
      </c>
      <c r="F473">
        <v>0</v>
      </c>
      <c r="G473" s="64">
        <v>44860</v>
      </c>
      <c r="H473">
        <v>300</v>
      </c>
      <c r="I473">
        <v>300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69">
        <f t="shared" ref="P473:P483" si="84">SUM(AY473+BA473)</f>
        <v>0</v>
      </c>
      <c r="Q473" s="93"/>
      <c r="R473" s="81"/>
      <c r="S473" s="94"/>
      <c r="T473" s="81"/>
      <c r="U473" s="93"/>
      <c r="V473" s="81"/>
      <c r="W473" s="94"/>
      <c r="X473" s="81"/>
      <c r="Y473" s="93"/>
      <c r="Z473" s="81"/>
      <c r="AA473" s="94"/>
      <c r="AB473" s="81"/>
      <c r="AC473" s="93"/>
      <c r="AD473" s="81"/>
      <c r="AE473" s="94"/>
      <c r="AF473" s="81"/>
      <c r="AG473" s="93"/>
      <c r="AH473" s="81"/>
      <c r="AI473" s="94"/>
      <c r="AJ473" s="81"/>
      <c r="AK473" s="93"/>
      <c r="AL473" s="81"/>
      <c r="AM473" s="94"/>
      <c r="AN473" s="81"/>
      <c r="AO473" s="93"/>
      <c r="AP473" s="81"/>
      <c r="AQ473" s="94"/>
      <c r="AR473" s="81"/>
      <c r="AS473" s="94"/>
      <c r="AT473" s="306"/>
      <c r="AU473" s="94"/>
      <c r="AV473" s="306"/>
      <c r="AW473" s="94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">
        <v>1510</v>
      </c>
      <c r="B474" t="s">
        <v>222</v>
      </c>
      <c r="C474" s="52" t="s">
        <v>1511</v>
      </c>
      <c r="D474" s="52" t="s">
        <v>1511</v>
      </c>
      <c r="E474">
        <v>140</v>
      </c>
      <c r="F474">
        <v>137</v>
      </c>
      <c r="G474" s="64">
        <v>44971</v>
      </c>
      <c r="H474">
        <v>300</v>
      </c>
      <c r="I474">
        <v>300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34</v>
      </c>
      <c r="P474" s="69">
        <f t="shared" si="84"/>
        <v>114.58333333333333</v>
      </c>
      <c r="Q474" s="84" t="s">
        <v>693</v>
      </c>
      <c r="R474" s="292">
        <v>5.5</v>
      </c>
      <c r="S474" s="94"/>
      <c r="T474" s="81"/>
      <c r="U474" s="93"/>
      <c r="V474" s="81"/>
      <c r="W474" s="94"/>
      <c r="X474" s="81"/>
      <c r="Y474" s="93"/>
      <c r="Z474" s="81"/>
      <c r="AA474" s="94"/>
      <c r="AB474" s="81"/>
      <c r="AC474" s="93"/>
      <c r="AD474" s="81"/>
      <c r="AE474" s="94"/>
      <c r="AF474" s="81"/>
      <c r="AG474" s="93"/>
      <c r="AH474" s="81"/>
      <c r="AI474" s="94"/>
      <c r="AJ474" s="81"/>
      <c r="AK474" s="93"/>
      <c r="AL474" s="81"/>
      <c r="AM474" s="94"/>
      <c r="AN474" s="81"/>
      <c r="AO474" s="93"/>
      <c r="AP474" s="81"/>
      <c r="AQ474" s="94"/>
      <c r="AR474" s="81"/>
      <c r="AS474" s="94"/>
      <c r="AT474" s="306"/>
      <c r="AU474" s="94"/>
      <c r="AV474" s="306"/>
      <c r="AW474" s="94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">
        <v>1512</v>
      </c>
      <c r="B475" t="s">
        <v>222</v>
      </c>
      <c r="C475" s="52" t="s">
        <v>1511</v>
      </c>
      <c r="D475" s="52" t="s">
        <v>1511</v>
      </c>
      <c r="E475">
        <v>3</v>
      </c>
      <c r="F475">
        <v>2.7</v>
      </c>
      <c r="G475" s="64">
        <v>44971</v>
      </c>
      <c r="H475">
        <v>80</v>
      </c>
      <c r="I475">
        <v>80</v>
      </c>
      <c r="J475">
        <v>0</v>
      </c>
      <c r="K475">
        <v>0</v>
      </c>
      <c r="L475">
        <v>0</v>
      </c>
      <c r="M475">
        <v>0</v>
      </c>
      <c r="N475">
        <v>18</v>
      </c>
      <c r="O475">
        <v>0</v>
      </c>
      <c r="P475" s="69">
        <f t="shared" si="84"/>
        <v>0</v>
      </c>
      <c r="Q475" s="93"/>
      <c r="R475" s="81"/>
      <c r="S475" s="94"/>
      <c r="T475" s="81"/>
      <c r="U475" s="93"/>
      <c r="V475" s="81"/>
      <c r="W475" s="94"/>
      <c r="X475" s="81"/>
      <c r="Y475" s="93"/>
      <c r="Z475" s="81"/>
      <c r="AA475" s="94"/>
      <c r="AB475" s="81"/>
      <c r="AC475" s="93"/>
      <c r="AD475" s="81"/>
      <c r="AE475" s="94"/>
      <c r="AF475" s="81"/>
      <c r="AG475" s="93"/>
      <c r="AH475" s="81"/>
      <c r="AI475" s="94"/>
      <c r="AJ475" s="81"/>
      <c r="AK475" s="93"/>
      <c r="AL475" s="81"/>
      <c r="AM475" s="94"/>
      <c r="AN475" s="81"/>
      <c r="AO475" s="93"/>
      <c r="AP475" s="81"/>
      <c r="AQ475" s="94"/>
      <c r="AR475" s="81"/>
      <c r="AS475" s="94"/>
      <c r="AT475" s="306"/>
      <c r="AU475" s="94"/>
      <c r="AV475" s="306"/>
      <c r="AW475" s="94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">
        <v>1513</v>
      </c>
      <c r="B476" t="s">
        <v>222</v>
      </c>
      <c r="C476" s="52" t="s">
        <v>1511</v>
      </c>
      <c r="D476" s="52" t="s">
        <v>1511</v>
      </c>
      <c r="E476" t="s">
        <v>829</v>
      </c>
      <c r="F476" t="s">
        <v>829</v>
      </c>
      <c r="G476" s="64">
        <v>44971</v>
      </c>
      <c r="H476">
        <v>80</v>
      </c>
      <c r="I476">
        <v>80</v>
      </c>
      <c r="J476">
        <v>0</v>
      </c>
      <c r="K476">
        <v>0</v>
      </c>
      <c r="L476">
        <v>0</v>
      </c>
      <c r="M476">
        <v>0</v>
      </c>
      <c r="N476">
        <v>18</v>
      </c>
      <c r="O476">
        <v>0</v>
      </c>
      <c r="P476" s="69">
        <f t="shared" si="84"/>
        <v>0</v>
      </c>
      <c r="Q476" s="93"/>
      <c r="R476" s="81"/>
      <c r="S476" s="94"/>
      <c r="T476" s="81"/>
      <c r="U476" s="93"/>
      <c r="V476" s="81"/>
      <c r="W476" s="94"/>
      <c r="X476" s="81"/>
      <c r="Y476" s="93"/>
      <c r="Z476" s="81"/>
      <c r="AA476" s="94"/>
      <c r="AB476" s="81"/>
      <c r="AC476" s="93"/>
      <c r="AD476" s="81"/>
      <c r="AE476" s="94"/>
      <c r="AF476" s="81"/>
      <c r="AG476" s="93"/>
      <c r="AH476" s="81"/>
      <c r="AI476" s="94"/>
      <c r="AJ476" s="81"/>
      <c r="AK476" s="93"/>
      <c r="AL476" s="81"/>
      <c r="AM476" s="94"/>
      <c r="AN476" s="81"/>
      <c r="AO476" s="93"/>
      <c r="AP476" s="81"/>
      <c r="AQ476" s="94"/>
      <c r="AR476" s="81"/>
      <c r="AS476" s="94"/>
      <c r="AT476" s="306"/>
      <c r="AU476" s="94"/>
      <c r="AV476" s="306"/>
      <c r="AW476" s="94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">
        <v>1514</v>
      </c>
      <c r="B477" t="s">
        <v>222</v>
      </c>
      <c r="C477" s="52" t="s">
        <v>1511</v>
      </c>
      <c r="D477" s="52" t="s">
        <v>1511</v>
      </c>
      <c r="E477">
        <v>2.5</v>
      </c>
      <c r="F477">
        <v>2.5</v>
      </c>
      <c r="G477" s="64">
        <v>44971</v>
      </c>
      <c r="H477">
        <v>80</v>
      </c>
      <c r="I477">
        <v>80</v>
      </c>
      <c r="J477">
        <v>0</v>
      </c>
      <c r="K477">
        <v>0</v>
      </c>
      <c r="L477">
        <v>0</v>
      </c>
      <c r="M477">
        <v>1</v>
      </c>
      <c r="N477">
        <v>6</v>
      </c>
      <c r="O477">
        <v>0</v>
      </c>
      <c r="P477" s="69">
        <f t="shared" si="84"/>
        <v>0</v>
      </c>
      <c r="Q477" s="93"/>
      <c r="R477" s="81"/>
      <c r="S477" s="94"/>
      <c r="T477" s="81"/>
      <c r="U477" s="93"/>
      <c r="V477" s="81"/>
      <c r="W477" s="94"/>
      <c r="X477" s="81"/>
      <c r="Y477" s="93"/>
      <c r="Z477" s="81"/>
      <c r="AA477" s="94"/>
      <c r="AB477" s="81"/>
      <c r="AC477" s="93"/>
      <c r="AD477" s="81"/>
      <c r="AE477" s="94"/>
      <c r="AF477" s="81"/>
      <c r="AG477" s="93"/>
      <c r="AH477" s="81"/>
      <c r="AI477" s="94"/>
      <c r="AJ477" s="81"/>
      <c r="AK477" s="93"/>
      <c r="AL477" s="81"/>
      <c r="AM477" s="94"/>
      <c r="AN477" s="81"/>
      <c r="AO477" s="93"/>
      <c r="AP477" s="81"/>
      <c r="AQ477" s="94"/>
      <c r="AR477" s="81"/>
      <c r="AS477" s="94"/>
      <c r="AT477" s="306"/>
      <c r="AU477" s="94"/>
      <c r="AV477" s="306"/>
      <c r="AW477" s="94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">
        <v>1515</v>
      </c>
      <c r="B478" t="s">
        <v>222</v>
      </c>
      <c r="C478" s="52" t="s">
        <v>1511</v>
      </c>
      <c r="D478" s="52" t="s">
        <v>1511</v>
      </c>
      <c r="E478">
        <v>2.8</v>
      </c>
      <c r="F478">
        <v>1.9</v>
      </c>
      <c r="G478" s="64">
        <v>44971</v>
      </c>
      <c r="H478">
        <v>80</v>
      </c>
      <c r="I478">
        <v>80</v>
      </c>
      <c r="J478">
        <v>0</v>
      </c>
      <c r="K478">
        <v>0</v>
      </c>
      <c r="L478">
        <v>0</v>
      </c>
      <c r="M478">
        <v>0</v>
      </c>
      <c r="N478">
        <v>7</v>
      </c>
      <c r="O478">
        <v>0</v>
      </c>
      <c r="P478" s="69">
        <f t="shared" si="84"/>
        <v>0</v>
      </c>
      <c r="Q478" s="93"/>
      <c r="R478" s="81"/>
      <c r="S478" s="94"/>
      <c r="T478" s="81"/>
      <c r="U478" s="93"/>
      <c r="V478" s="81"/>
      <c r="W478" s="94"/>
      <c r="X478" s="81"/>
      <c r="Y478" s="93"/>
      <c r="Z478" s="81"/>
      <c r="AA478" s="94"/>
      <c r="AB478" s="81"/>
      <c r="AC478" s="93"/>
      <c r="AD478" s="81"/>
      <c r="AE478" s="94"/>
      <c r="AF478" s="81"/>
      <c r="AG478" s="93"/>
      <c r="AH478" s="81"/>
      <c r="AI478" s="94"/>
      <c r="AJ478" s="81"/>
      <c r="AK478" s="93"/>
      <c r="AL478" s="81"/>
      <c r="AM478" s="94"/>
      <c r="AN478" s="81"/>
      <c r="AO478" s="93"/>
      <c r="AP478" s="81"/>
      <c r="AQ478" s="94"/>
      <c r="AR478" s="81"/>
      <c r="AS478" s="94"/>
      <c r="AT478" s="306"/>
      <c r="AU478" s="94"/>
      <c r="AV478" s="306"/>
      <c r="AW478" s="94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">
        <v>1516</v>
      </c>
      <c r="B479" t="s">
        <v>222</v>
      </c>
      <c r="C479" s="52" t="s">
        <v>1511</v>
      </c>
      <c r="D479" s="52" t="s">
        <v>1511</v>
      </c>
      <c r="E479">
        <v>13.2</v>
      </c>
      <c r="F479">
        <v>10.8</v>
      </c>
      <c r="G479" s="64">
        <v>44971</v>
      </c>
      <c r="H479">
        <v>80</v>
      </c>
      <c r="I479">
        <v>80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 s="69">
        <f t="shared" si="84"/>
        <v>0</v>
      </c>
      <c r="Q479" s="93"/>
      <c r="R479" s="81"/>
      <c r="S479" s="94"/>
      <c r="T479" s="81"/>
      <c r="U479" s="93"/>
      <c r="V479" s="81"/>
      <c r="W479" s="94"/>
      <c r="X479" s="81"/>
      <c r="Y479" s="93"/>
      <c r="Z479" s="81"/>
      <c r="AA479" s="94"/>
      <c r="AB479" s="81"/>
      <c r="AC479" s="93"/>
      <c r="AD479" s="81"/>
      <c r="AE479" s="94"/>
      <c r="AF479" s="81"/>
      <c r="AG479" s="93"/>
      <c r="AH479" s="81"/>
      <c r="AI479" s="94"/>
      <c r="AJ479" s="81"/>
      <c r="AK479" s="93"/>
      <c r="AL479" s="81"/>
      <c r="AM479" s="94"/>
      <c r="AN479" s="81"/>
      <c r="AO479" s="93"/>
      <c r="AP479" s="81"/>
      <c r="AQ479" s="94"/>
      <c r="AR479" s="81"/>
      <c r="AS479" s="94"/>
      <c r="AT479" s="306"/>
      <c r="AU479" s="94"/>
      <c r="AV479" s="306"/>
      <c r="AW479" s="94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">
        <v>1517</v>
      </c>
      <c r="B480" t="s">
        <v>222</v>
      </c>
      <c r="C480" s="52" t="s">
        <v>1511</v>
      </c>
      <c r="D480" s="52" t="s">
        <v>1511</v>
      </c>
      <c r="E480">
        <v>9.6</v>
      </c>
      <c r="F480">
        <v>9.1</v>
      </c>
      <c r="G480" s="64">
        <v>44971</v>
      </c>
      <c r="H480">
        <v>80</v>
      </c>
      <c r="I480">
        <v>80</v>
      </c>
      <c r="J480">
        <v>0</v>
      </c>
      <c r="K480">
        <v>0</v>
      </c>
      <c r="L480">
        <v>0</v>
      </c>
      <c r="M480">
        <v>0</v>
      </c>
      <c r="N480">
        <v>11</v>
      </c>
      <c r="O480">
        <v>0</v>
      </c>
      <c r="P480" s="69">
        <f t="shared" si="84"/>
        <v>0</v>
      </c>
      <c r="Q480" s="93"/>
      <c r="R480" s="81"/>
      <c r="S480" s="94"/>
      <c r="T480" s="81"/>
      <c r="U480" s="93"/>
      <c r="V480" s="81"/>
      <c r="W480" s="94"/>
      <c r="X480" s="81"/>
      <c r="Y480" s="93"/>
      <c r="Z480" s="81"/>
      <c r="AA480" s="94"/>
      <c r="AB480" s="81"/>
      <c r="AC480" s="93"/>
      <c r="AD480" s="81"/>
      <c r="AE480" s="94"/>
      <c r="AF480" s="81"/>
      <c r="AG480" s="93"/>
      <c r="AH480" s="81"/>
      <c r="AI480" s="94"/>
      <c r="AJ480" s="81"/>
      <c r="AK480" s="93"/>
      <c r="AL480" s="81"/>
      <c r="AM480" s="94"/>
      <c r="AN480" s="81"/>
      <c r="AO480" s="93"/>
      <c r="AP480" s="81"/>
      <c r="AQ480" s="94"/>
      <c r="AR480" s="81"/>
      <c r="AS480" s="94"/>
      <c r="AT480" s="306"/>
      <c r="AU480" s="94"/>
      <c r="AV480" s="306"/>
      <c r="AW480" s="94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">
        <v>1518</v>
      </c>
      <c r="B481" t="s">
        <v>222</v>
      </c>
      <c r="C481" s="52" t="s">
        <v>1511</v>
      </c>
      <c r="D481" s="52" t="s">
        <v>1511</v>
      </c>
      <c r="E481">
        <v>30.4</v>
      </c>
      <c r="F481">
        <v>31.4</v>
      </c>
      <c r="G481" s="64">
        <v>44971</v>
      </c>
      <c r="H481">
        <v>80</v>
      </c>
      <c r="I481">
        <v>80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69">
        <f t="shared" si="84"/>
        <v>0</v>
      </c>
      <c r="Q481" s="93"/>
      <c r="R481" s="81"/>
      <c r="S481" s="94"/>
      <c r="T481" s="81"/>
      <c r="U481" s="93"/>
      <c r="V481" s="81"/>
      <c r="W481" s="94"/>
      <c r="X481" s="81"/>
      <c r="Y481" s="93"/>
      <c r="Z481" s="81"/>
      <c r="AA481" s="94"/>
      <c r="AB481" s="81"/>
      <c r="AC481" s="93"/>
      <c r="AD481" s="81"/>
      <c r="AE481" s="94"/>
      <c r="AF481" s="81"/>
      <c r="AG481" s="93"/>
      <c r="AH481" s="81"/>
      <c r="AI481" s="94"/>
      <c r="AJ481" s="81"/>
      <c r="AK481" s="93"/>
      <c r="AL481" s="81"/>
      <c r="AM481" s="94"/>
      <c r="AN481" s="81"/>
      <c r="AO481" s="93"/>
      <c r="AP481" s="81"/>
      <c r="AQ481" s="94"/>
      <c r="AR481" s="81"/>
      <c r="AS481" s="94"/>
      <c r="AT481" s="306"/>
      <c r="AU481" s="94"/>
      <c r="AV481" s="306"/>
      <c r="AW481" s="94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">
        <v>1519</v>
      </c>
      <c r="B482" t="s">
        <v>222</v>
      </c>
      <c r="C482" s="52" t="s">
        <v>1511</v>
      </c>
      <c r="D482" s="52" t="s">
        <v>1511</v>
      </c>
      <c r="E482">
        <v>25.7</v>
      </c>
      <c r="F482">
        <v>25.7</v>
      </c>
      <c r="G482" s="64">
        <v>44971</v>
      </c>
      <c r="H482">
        <v>80</v>
      </c>
      <c r="I482">
        <v>80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 s="69">
        <f t="shared" si="84"/>
        <v>0</v>
      </c>
      <c r="Q482" s="93"/>
      <c r="R482" s="81"/>
      <c r="S482" s="94"/>
      <c r="T482" s="81"/>
      <c r="U482" s="93"/>
      <c r="V482" s="81"/>
      <c r="W482" s="94"/>
      <c r="X482" s="81"/>
      <c r="Y482" s="93"/>
      <c r="Z482" s="81"/>
      <c r="AA482" s="94"/>
      <c r="AB482" s="81"/>
      <c r="AC482" s="93"/>
      <c r="AD482" s="81"/>
      <c r="AE482" s="94"/>
      <c r="AF482" s="81"/>
      <c r="AG482" s="93"/>
      <c r="AH482" s="81"/>
      <c r="AI482" s="94"/>
      <c r="AJ482" s="81"/>
      <c r="AK482" s="93"/>
      <c r="AL482" s="81"/>
      <c r="AM482" s="94"/>
      <c r="AN482" s="81"/>
      <c r="AO482" s="93"/>
      <c r="AP482" s="81"/>
      <c r="AQ482" s="94"/>
      <c r="AR482" s="81"/>
      <c r="AS482" s="94"/>
      <c r="AT482" s="306"/>
      <c r="AU482" s="94"/>
      <c r="AV482" s="306"/>
      <c r="AW482" s="94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">
        <v>1520</v>
      </c>
      <c r="B483" t="s">
        <v>222</v>
      </c>
      <c r="C483" s="52" t="s">
        <v>1511</v>
      </c>
      <c r="D483" s="52" t="s">
        <v>1511</v>
      </c>
      <c r="E483">
        <v>0</v>
      </c>
      <c r="F483">
        <v>0</v>
      </c>
      <c r="G483" s="64">
        <v>44971</v>
      </c>
      <c r="H483">
        <v>80</v>
      </c>
      <c r="I483">
        <v>80</v>
      </c>
      <c r="J483">
        <v>0</v>
      </c>
      <c r="K483">
        <v>0</v>
      </c>
      <c r="L483">
        <v>0</v>
      </c>
      <c r="M483">
        <v>0</v>
      </c>
      <c r="N483">
        <v>20</v>
      </c>
      <c r="O483">
        <v>0</v>
      </c>
      <c r="P483" s="69">
        <f t="shared" si="84"/>
        <v>0</v>
      </c>
      <c r="Q483" s="93"/>
      <c r="R483" s="81"/>
      <c r="S483" s="94"/>
      <c r="T483" s="81"/>
      <c r="U483" s="93"/>
      <c r="V483" s="81"/>
      <c r="W483" s="94"/>
      <c r="X483" s="81"/>
      <c r="Y483" s="93"/>
      <c r="Z483" s="81"/>
      <c r="AA483" s="94"/>
      <c r="AB483" s="81"/>
      <c r="AC483" s="93"/>
      <c r="AD483" s="81"/>
      <c r="AE483" s="94"/>
      <c r="AF483" s="81"/>
      <c r="AG483" s="93"/>
      <c r="AH483" s="81"/>
      <c r="AI483" s="94"/>
      <c r="AJ483" s="81"/>
      <c r="AK483" s="93"/>
      <c r="AL483" s="81"/>
      <c r="AM483" s="94"/>
      <c r="AN483" s="81"/>
      <c r="AO483" s="93"/>
      <c r="AP483" s="81"/>
      <c r="AQ483" s="94"/>
      <c r="AR483" s="81"/>
      <c r="AS483" s="94"/>
      <c r="AT483" s="306"/>
      <c r="AU483" s="94"/>
      <c r="AV483" s="306"/>
      <c r="AW483" s="94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3"/>
      <c r="R484" s="81"/>
      <c r="S484" s="94"/>
      <c r="T484" s="81"/>
      <c r="U484" s="93"/>
      <c r="V484" s="81"/>
      <c r="W484" s="94"/>
      <c r="X484" s="81"/>
      <c r="Y484" s="93"/>
      <c r="Z484" s="81"/>
      <c r="AA484" s="94"/>
      <c r="AB484" s="81"/>
      <c r="AC484" s="93"/>
      <c r="AD484" s="81"/>
      <c r="AE484" s="94"/>
      <c r="AF484" s="81"/>
      <c r="AG484" s="93"/>
      <c r="AH484" s="81"/>
      <c r="AI484" s="94"/>
      <c r="AJ484" s="81"/>
      <c r="AK484" s="93"/>
      <c r="AL484" s="81"/>
      <c r="AM484" s="94"/>
      <c r="AN484" s="81"/>
      <c r="AO484" s="93"/>
      <c r="AP484" s="81"/>
      <c r="AQ484" s="94"/>
      <c r="AR484" s="81"/>
      <c r="AS484" s="94"/>
      <c r="AT484" s="306"/>
      <c r="AU484" s="94"/>
      <c r="AV484" s="306"/>
      <c r="AW484" s="94"/>
    </row>
  </sheetData>
  <sheetProtection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7"/>
  <sheetViews>
    <sheetView zoomScale="80" zoomScaleNormal="80" workbookViewId="0">
      <pane xSplit="1" ySplit="7" topLeftCell="D235" activePane="bottomRight" state="frozen"/>
      <selection pane="bottomRight" activeCell="A238" sqref="A238:XFD238"/>
      <selection pane="bottomLeft" activeCell="A76" sqref="A76"/>
      <selection pane="topRight" activeCell="A76" sqref="A76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1" width="9.28515625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1521</v>
      </c>
      <c r="B1" s="64">
        <f ca="1">TODAY()-365</f>
        <v>45349</v>
      </c>
    </row>
    <row r="2" spans="1:53">
      <c r="A2" s="52" t="s">
        <v>1522</v>
      </c>
      <c r="B2">
        <f ca="1">COUNTIF(K8:K252,"&lt;="&amp;B1)+COUNTIF(K8:K252,"")</f>
        <v>245</v>
      </c>
    </row>
    <row r="5" spans="1:53">
      <c r="A5" s="71" t="s">
        <v>1523</v>
      </c>
      <c r="B5" s="71" t="s">
        <v>1523</v>
      </c>
      <c r="C5" s="71" t="s">
        <v>1523</v>
      </c>
      <c r="D5" s="71" t="s">
        <v>1523</v>
      </c>
      <c r="E5" s="71" t="s">
        <v>1523</v>
      </c>
      <c r="F5" s="71" t="s">
        <v>1523</v>
      </c>
      <c r="G5" s="71" t="s">
        <v>1523</v>
      </c>
      <c r="H5" s="71" t="s">
        <v>1523</v>
      </c>
      <c r="I5" s="71" t="s">
        <v>1523</v>
      </c>
      <c r="J5" s="71" t="s">
        <v>1523</v>
      </c>
      <c r="K5" s="71" t="s">
        <v>1523</v>
      </c>
      <c r="L5" s="71" t="s">
        <v>1523</v>
      </c>
      <c r="M5" s="71" t="s">
        <v>1523</v>
      </c>
      <c r="N5" s="71" t="s">
        <v>1523</v>
      </c>
      <c r="O5" s="71" t="s">
        <v>1523</v>
      </c>
      <c r="P5" s="71" t="s">
        <v>1523</v>
      </c>
      <c r="Q5" s="71" t="s">
        <v>1523</v>
      </c>
      <c r="R5" s="71" t="s">
        <v>1523</v>
      </c>
      <c r="S5" s="71" t="s">
        <v>1523</v>
      </c>
      <c r="T5" s="71" t="s">
        <v>1523</v>
      </c>
      <c r="U5" s="71" t="s">
        <v>1523</v>
      </c>
      <c r="V5" s="71" t="s">
        <v>1523</v>
      </c>
      <c r="W5" s="71" t="s">
        <v>1523</v>
      </c>
      <c r="X5" s="71" t="s">
        <v>1523</v>
      </c>
      <c r="Y5" s="71" t="s">
        <v>1523</v>
      </c>
      <c r="Z5" s="71" t="s">
        <v>1523</v>
      </c>
    </row>
    <row r="6" spans="1:53">
      <c r="A6" s="72" t="s">
        <v>1524</v>
      </c>
      <c r="B6" s="72" t="s">
        <v>1524</v>
      </c>
      <c r="C6" s="72" t="s">
        <v>1524</v>
      </c>
      <c r="D6" s="72" t="s">
        <v>1524</v>
      </c>
      <c r="E6" s="72" t="s">
        <v>1524</v>
      </c>
      <c r="F6" s="73" t="s">
        <v>1525</v>
      </c>
      <c r="G6" s="73" t="s">
        <v>1525</v>
      </c>
      <c r="H6" s="73" t="s">
        <v>1525</v>
      </c>
      <c r="I6" s="73" t="s">
        <v>1525</v>
      </c>
      <c r="J6" s="73" t="s">
        <v>1525</v>
      </c>
      <c r="K6" s="73" t="s">
        <v>1525</v>
      </c>
      <c r="L6" s="73" t="s">
        <v>1525</v>
      </c>
      <c r="M6" s="73" t="s">
        <v>1525</v>
      </c>
      <c r="N6" s="73" t="s">
        <v>1525</v>
      </c>
      <c r="O6" s="73" t="s">
        <v>1525</v>
      </c>
      <c r="P6" s="74" t="s">
        <v>1526</v>
      </c>
      <c r="Q6" s="74" t="s">
        <v>1526</v>
      </c>
      <c r="R6" s="74" t="s">
        <v>1526</v>
      </c>
      <c r="S6" s="74" t="s">
        <v>1526</v>
      </c>
      <c r="T6" s="74" t="s">
        <v>1526</v>
      </c>
      <c r="U6" s="75" t="s">
        <v>1527</v>
      </c>
      <c r="V6" s="75" t="s">
        <v>1527</v>
      </c>
      <c r="W6" s="75" t="s">
        <v>1527</v>
      </c>
      <c r="X6" s="75" t="s">
        <v>1527</v>
      </c>
      <c r="Y6" s="76" t="s">
        <v>8</v>
      </c>
      <c r="Z6" s="76" t="s">
        <v>8</v>
      </c>
      <c r="AA6" s="73" t="s">
        <v>1525</v>
      </c>
      <c r="AB6" s="73" t="s">
        <v>1525</v>
      </c>
      <c r="AC6" s="73" t="s">
        <v>1525</v>
      </c>
      <c r="AD6" s="73" t="s">
        <v>1525</v>
      </c>
      <c r="AE6" s="73" t="s">
        <v>1525</v>
      </c>
      <c r="AF6" s="74" t="s">
        <v>1526</v>
      </c>
      <c r="AG6" s="74" t="s">
        <v>1526</v>
      </c>
      <c r="AH6" s="75" t="s">
        <v>1527</v>
      </c>
      <c r="AI6" s="75" t="s">
        <v>1527</v>
      </c>
      <c r="AJ6" s="75" t="s">
        <v>1527</v>
      </c>
      <c r="AK6" s="75" t="s">
        <v>1527</v>
      </c>
      <c r="AL6" s="75" t="s">
        <v>1527</v>
      </c>
      <c r="AM6" s="75" t="s">
        <v>1527</v>
      </c>
    </row>
    <row r="7" spans="1:53" ht="91.15">
      <c r="A7" t="s">
        <v>1528</v>
      </c>
      <c r="B7" t="s">
        <v>6</v>
      </c>
      <c r="C7" t="s">
        <v>1529</v>
      </c>
      <c r="D7" t="s">
        <v>1530</v>
      </c>
      <c r="E7" t="s">
        <v>1531</v>
      </c>
      <c r="F7" t="s">
        <v>1532</v>
      </c>
      <c r="G7" t="s">
        <v>1533</v>
      </c>
      <c r="H7" t="s">
        <v>1534</v>
      </c>
      <c r="I7" t="s">
        <v>1535</v>
      </c>
      <c r="J7" t="s">
        <v>1536</v>
      </c>
      <c r="K7" t="s">
        <v>287</v>
      </c>
      <c r="L7" t="s">
        <v>1537</v>
      </c>
      <c r="M7" t="s">
        <v>1538</v>
      </c>
      <c r="N7" t="s">
        <v>1539</v>
      </c>
      <c r="O7" t="s">
        <v>1540</v>
      </c>
      <c r="P7" t="s">
        <v>1541</v>
      </c>
      <c r="Q7" t="s">
        <v>1542</v>
      </c>
      <c r="R7" t="s">
        <v>1543</v>
      </c>
      <c r="S7" t="s">
        <v>1544</v>
      </c>
      <c r="T7" t="s">
        <v>1545</v>
      </c>
      <c r="U7" t="s">
        <v>1546</v>
      </c>
      <c r="V7" t="s">
        <v>1547</v>
      </c>
      <c r="W7" t="s">
        <v>1548</v>
      </c>
      <c r="X7" t="s">
        <v>1549</v>
      </c>
      <c r="Y7" t="s">
        <v>1550</v>
      </c>
      <c r="Z7" t="s">
        <v>1551</v>
      </c>
      <c r="AA7" s="15" t="s">
        <v>22</v>
      </c>
      <c r="AB7" s="16" t="s">
        <v>1552</v>
      </c>
      <c r="AC7" s="16" t="s">
        <v>1553</v>
      </c>
      <c r="AD7" s="16" t="s">
        <v>1554</v>
      </c>
      <c r="AE7" s="16" t="s">
        <v>1555</v>
      </c>
      <c r="AF7" s="1" t="s">
        <v>1556</v>
      </c>
      <c r="AG7" s="1" t="s">
        <v>1557</v>
      </c>
      <c r="AH7" s="18" t="s">
        <v>1558</v>
      </c>
      <c r="AI7" s="18" t="s">
        <v>1559</v>
      </c>
      <c r="AJ7" s="18" t="s">
        <v>1560</v>
      </c>
      <c r="AK7" s="1" t="s">
        <v>22</v>
      </c>
      <c r="AL7" s="1" t="s">
        <v>1561</v>
      </c>
      <c r="AM7" s="1" t="s">
        <v>1562</v>
      </c>
      <c r="AN7" s="110" t="s">
        <v>1563</v>
      </c>
      <c r="AO7" s="110" t="s">
        <v>280</v>
      </c>
      <c r="AP7" s="110" t="s">
        <v>1564</v>
      </c>
      <c r="AQ7" s="110" t="s">
        <v>17</v>
      </c>
      <c r="AR7" s="110" t="s">
        <v>18</v>
      </c>
      <c r="AS7" s="110" t="s">
        <v>19</v>
      </c>
      <c r="AT7" s="110" t="s">
        <v>20</v>
      </c>
      <c r="AU7" s="110" t="s">
        <v>21</v>
      </c>
      <c r="BA7" t="s">
        <v>1565</v>
      </c>
    </row>
    <row r="8" spans="1:53">
      <c r="A8" s="35" t="s">
        <v>24</v>
      </c>
      <c r="B8" s="35" t="s">
        <v>1566</v>
      </c>
      <c r="C8" s="35" t="s">
        <v>1567</v>
      </c>
      <c r="D8" s="35" t="s">
        <v>1568</v>
      </c>
      <c r="E8" s="35" t="s">
        <v>1569</v>
      </c>
      <c r="F8" s="35" t="s">
        <v>1570</v>
      </c>
      <c r="G8" s="105">
        <v>36.6</v>
      </c>
      <c r="H8" s="105">
        <v>5</v>
      </c>
      <c r="I8" s="105">
        <v>34</v>
      </c>
      <c r="J8" s="105">
        <v>1.853</v>
      </c>
      <c r="K8" s="106">
        <v>45264</v>
      </c>
      <c r="L8" s="105">
        <v>6.3830400000000003</v>
      </c>
      <c r="M8" s="105">
        <v>4.5300399999999996</v>
      </c>
      <c r="N8" s="105">
        <v>1.62192</v>
      </c>
      <c r="O8" s="107">
        <v>-0.23108000000000001</v>
      </c>
      <c r="P8" s="35" t="s">
        <v>1571</v>
      </c>
      <c r="Q8" s="35" t="s">
        <v>1572</v>
      </c>
      <c r="R8" s="35" t="s">
        <v>1573</v>
      </c>
      <c r="S8" s="105">
        <v>13.154400000000001</v>
      </c>
      <c r="T8" s="105">
        <v>11.301399999999999</v>
      </c>
      <c r="U8" s="35" t="s">
        <v>1574</v>
      </c>
      <c r="V8" s="35" t="s">
        <v>1575</v>
      </c>
      <c r="W8" s="105">
        <v>7.5</v>
      </c>
      <c r="X8" s="105">
        <v>5.6470000000000002</v>
      </c>
      <c r="Y8" s="105">
        <v>23</v>
      </c>
      <c r="Z8" s="35" t="s">
        <v>1576</v>
      </c>
      <c r="AA8">
        <f>VLOOKUP(A8,Cover!A:R,18,0)</f>
        <v>0</v>
      </c>
      <c r="AB8" s="77">
        <f>M8-AA8</f>
        <v>4.5300399999999996</v>
      </c>
      <c r="AC8" s="77">
        <f>O8-AA8</f>
        <v>-0.23108000000000001</v>
      </c>
      <c r="AD8" s="77">
        <f>AB8/L8%</f>
        <v>70.969945355191243</v>
      </c>
      <c r="AE8" s="77">
        <f>AC8/N8%</f>
        <v>-14.24731182795699</v>
      </c>
      <c r="AF8" s="77">
        <f>T8-AA8</f>
        <v>11.301399999999999</v>
      </c>
      <c r="AG8" s="77">
        <f>AF8/S8%</f>
        <v>85.913458614608032</v>
      </c>
      <c r="AH8" s="77">
        <f>W8</f>
        <v>7.5</v>
      </c>
      <c r="AI8" s="77">
        <f>J8</f>
        <v>1.853</v>
      </c>
      <c r="AJ8" s="77">
        <f>AH8-AI8</f>
        <v>5.6470000000000002</v>
      </c>
      <c r="AK8" s="77">
        <f>AA8</f>
        <v>0</v>
      </c>
      <c r="AL8" s="77">
        <f>AJ8-AK8</f>
        <v>5.6470000000000002</v>
      </c>
      <c r="AM8" s="77">
        <f>AL8/AH8%</f>
        <v>75.293333333333337</v>
      </c>
      <c r="AO8" t="s">
        <v>1577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s="35" t="s">
        <v>1578</v>
      </c>
      <c r="C9" s="35" t="s">
        <v>1579</v>
      </c>
      <c r="D9" s="35" t="s">
        <v>1568</v>
      </c>
      <c r="E9" s="35" t="s">
        <v>1208</v>
      </c>
      <c r="F9" s="35" t="s">
        <v>1580</v>
      </c>
      <c r="G9" s="105">
        <v>75</v>
      </c>
      <c r="H9" s="105">
        <v>6</v>
      </c>
      <c r="I9" s="105">
        <v>206</v>
      </c>
      <c r="J9" s="105">
        <v>11.227</v>
      </c>
      <c r="K9" s="106">
        <v>44574.458333333299</v>
      </c>
      <c r="L9" s="105">
        <v>16.350000000000001</v>
      </c>
      <c r="M9" s="105">
        <v>5.1230000000000002</v>
      </c>
      <c r="N9" s="105">
        <v>3.7605</v>
      </c>
      <c r="O9" s="107">
        <v>-7.4664999999999999</v>
      </c>
      <c r="P9" s="35" t="s">
        <v>1571</v>
      </c>
      <c r="Q9" s="35" t="s">
        <v>1581</v>
      </c>
      <c r="R9" s="35" t="s">
        <v>1582</v>
      </c>
      <c r="S9" s="105">
        <v>26.1144</v>
      </c>
      <c r="T9" s="105">
        <v>14.8874</v>
      </c>
      <c r="U9" s="35" t="s">
        <v>1571</v>
      </c>
      <c r="V9" s="35" t="s">
        <v>1583</v>
      </c>
      <c r="W9" s="105">
        <v>22.5</v>
      </c>
      <c r="X9" s="105">
        <v>11.273</v>
      </c>
      <c r="Y9" s="105">
        <v>3</v>
      </c>
      <c r="Z9" s="35" t="s">
        <v>1576</v>
      </c>
      <c r="AA9">
        <f>VLOOKUP(A9,Cover!A:R,18,0)</f>
        <v>6.5</v>
      </c>
      <c r="AB9" s="77">
        <f t="shared" ref="AB9:AB75" si="0">M9-AA9</f>
        <v>-1.3769999999999998</v>
      </c>
      <c r="AC9" s="77">
        <f t="shared" ref="AC9:AC75" si="1">O9-AA9</f>
        <v>-13.9665</v>
      </c>
      <c r="AD9" s="77">
        <f t="shared" ref="AD9:AD75" si="2">AB9/L9%</f>
        <v>-8.4220183486238511</v>
      </c>
      <c r="AE9" s="77">
        <f t="shared" ref="AE9:AE75" si="3">AC9/N9%</f>
        <v>-371.40007977662543</v>
      </c>
      <c r="AF9" s="77">
        <f t="shared" ref="AF9:AF75" si="4">T9-AA9</f>
        <v>8.3873999999999995</v>
      </c>
      <c r="AG9" s="77">
        <f t="shared" ref="AG9:AG75" si="5">AF9/S9%</f>
        <v>32.117911956621633</v>
      </c>
      <c r="AH9" s="77">
        <f t="shared" ref="AH9:AH74" si="6">W9</f>
        <v>22.5</v>
      </c>
      <c r="AI9" s="77">
        <f t="shared" ref="AI9:AI74" si="7">J9</f>
        <v>11.227</v>
      </c>
      <c r="AJ9" s="77">
        <f t="shared" ref="AJ9:AJ75" si="8">AH9-AI9</f>
        <v>11.273</v>
      </c>
      <c r="AK9" s="77">
        <f t="shared" ref="AK9:AK74" si="9">AA9</f>
        <v>6.5</v>
      </c>
      <c r="AL9" s="77">
        <f t="shared" ref="AL9:AL75" si="10">AJ9-AK9</f>
        <v>4.7729999999999997</v>
      </c>
      <c r="AM9" s="77">
        <f t="shared" ref="AM9:AM75" si="11">AL9/AH9%</f>
        <v>21.213333333333331</v>
      </c>
      <c r="AO9" t="s">
        <v>1577</v>
      </c>
      <c r="AP9" t="str">
        <f t="shared" ref="AP9:AP73" si="12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3" si="13">IFERROR(LEFT(R9,FIND("(",R9,1)-1),R9)</f>
        <v>DDm85-25</v>
      </c>
    </row>
    <row r="10" spans="1:53">
      <c r="A10" s="35" t="s">
        <v>26</v>
      </c>
      <c r="B10" s="35" t="s">
        <v>1578</v>
      </c>
      <c r="C10" s="35" t="s">
        <v>1579</v>
      </c>
      <c r="D10" s="35" t="s">
        <v>1568</v>
      </c>
      <c r="E10" s="35" t="s">
        <v>1211</v>
      </c>
      <c r="F10" s="35" t="s">
        <v>1584</v>
      </c>
      <c r="G10" s="105">
        <v>31</v>
      </c>
      <c r="H10" s="105">
        <v>29</v>
      </c>
      <c r="I10" s="105">
        <v>371</v>
      </c>
      <c r="J10" s="105">
        <v>20.2195</v>
      </c>
      <c r="K10" s="106">
        <v>45264</v>
      </c>
      <c r="L10" s="105">
        <v>37.844799999999999</v>
      </c>
      <c r="M10" s="105">
        <v>17.625299999999999</v>
      </c>
      <c r="N10" s="105">
        <v>27.686</v>
      </c>
      <c r="O10" s="105">
        <v>7.4664999999999999</v>
      </c>
      <c r="P10" s="35" t="s">
        <v>1571</v>
      </c>
      <c r="Q10" s="35" t="s">
        <v>1581</v>
      </c>
      <c r="R10" s="35" t="s">
        <v>1585</v>
      </c>
      <c r="S10" s="105">
        <v>31.687200000000001</v>
      </c>
      <c r="T10" s="105">
        <v>11.467700000000001</v>
      </c>
      <c r="U10" s="35" t="s">
        <v>1586</v>
      </c>
      <c r="V10" s="35" t="s">
        <v>1587</v>
      </c>
      <c r="W10" s="105">
        <v>33.75</v>
      </c>
      <c r="X10" s="105">
        <v>13.5305</v>
      </c>
      <c r="Y10" s="105">
        <v>13</v>
      </c>
      <c r="Z10" s="35" t="s">
        <v>1576</v>
      </c>
      <c r="AA10">
        <f>VLOOKUP(A10,Cover!A:R,18,0)</f>
        <v>2</v>
      </c>
      <c r="AB10" s="77">
        <f t="shared" si="0"/>
        <v>15.625299999999999</v>
      </c>
      <c r="AC10" s="77">
        <f t="shared" si="1"/>
        <v>5.4664999999999999</v>
      </c>
      <c r="AD10" s="77">
        <f t="shared" si="2"/>
        <v>41.287838751955348</v>
      </c>
      <c r="AE10" s="77">
        <f t="shared" si="3"/>
        <v>19.744636278263382</v>
      </c>
      <c r="AF10" s="77">
        <f t="shared" si="4"/>
        <v>9.4677000000000007</v>
      </c>
      <c r="AG10" s="77">
        <f t="shared" si="5"/>
        <v>29.878626069832617</v>
      </c>
      <c r="AH10" s="77">
        <f t="shared" si="6"/>
        <v>33.75</v>
      </c>
      <c r="AI10" s="77">
        <f t="shared" si="7"/>
        <v>20.2195</v>
      </c>
      <c r="AJ10" s="77">
        <f t="shared" si="8"/>
        <v>13.5305</v>
      </c>
      <c r="AK10" s="77">
        <f t="shared" si="9"/>
        <v>2</v>
      </c>
      <c r="AL10" s="77">
        <f t="shared" si="10"/>
        <v>11.5305</v>
      </c>
      <c r="AM10" s="77">
        <f t="shared" si="11"/>
        <v>34.164444444444442</v>
      </c>
      <c r="AO10" t="s">
        <v>1577</v>
      </c>
      <c r="AP10" t="str">
        <f t="shared" si="12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3"/>
        <v>DDm100-25</v>
      </c>
    </row>
    <row r="11" spans="1:53">
      <c r="A11" s="35" t="s">
        <v>27</v>
      </c>
      <c r="B11" s="35" t="s">
        <v>1578</v>
      </c>
      <c r="C11" s="35" t="s">
        <v>1579</v>
      </c>
      <c r="D11" s="35" t="s">
        <v>1568</v>
      </c>
      <c r="E11" s="35" t="s">
        <v>1217</v>
      </c>
      <c r="F11" s="35" t="s">
        <v>1570</v>
      </c>
      <c r="G11" s="105">
        <v>36.6</v>
      </c>
      <c r="H11" s="105">
        <v>15</v>
      </c>
      <c r="I11" s="105">
        <v>187</v>
      </c>
      <c r="J11" s="105">
        <v>10.1915</v>
      </c>
      <c r="K11" s="106">
        <v>45264</v>
      </c>
      <c r="L11" s="105">
        <v>22.34064</v>
      </c>
      <c r="M11" s="105">
        <v>12.149139999999999</v>
      </c>
      <c r="N11" s="105">
        <v>13.755800000000001</v>
      </c>
      <c r="O11" s="105">
        <v>3.5642999999999998</v>
      </c>
      <c r="P11" s="35" t="s">
        <v>1574</v>
      </c>
      <c r="Q11" s="35" t="s">
        <v>1581</v>
      </c>
      <c r="R11" s="35" t="s">
        <v>1588</v>
      </c>
      <c r="S11" s="105">
        <v>22.852799999999998</v>
      </c>
      <c r="T11" s="105">
        <v>12.661300000000001</v>
      </c>
      <c r="U11" s="35" t="s">
        <v>1571</v>
      </c>
      <c r="V11" s="35" t="s">
        <v>1589</v>
      </c>
      <c r="W11" s="105">
        <v>45</v>
      </c>
      <c r="X11" s="105">
        <v>34.808500000000002</v>
      </c>
      <c r="Y11" s="105">
        <v>0</v>
      </c>
      <c r="Z11" s="35" t="s">
        <v>1576</v>
      </c>
      <c r="AA11">
        <f>VLOOKUP(A11,Cover!A:R,18,0)</f>
        <v>5</v>
      </c>
      <c r="AB11" s="77">
        <f t="shared" si="0"/>
        <v>7.1491399999999992</v>
      </c>
      <c r="AC11" s="77">
        <f t="shared" si="1"/>
        <v>-1.4357000000000002</v>
      </c>
      <c r="AD11" s="77">
        <f t="shared" si="2"/>
        <v>32.000605175142695</v>
      </c>
      <c r="AE11" s="77">
        <f t="shared" si="3"/>
        <v>-10.437052007153346</v>
      </c>
      <c r="AF11" s="77">
        <f t="shared" si="4"/>
        <v>7.6613000000000007</v>
      </c>
      <c r="AG11" s="77">
        <f t="shared" si="5"/>
        <v>33.524557165861516</v>
      </c>
      <c r="AH11" s="77">
        <f t="shared" si="6"/>
        <v>45</v>
      </c>
      <c r="AI11" s="77">
        <f t="shared" si="7"/>
        <v>10.1915</v>
      </c>
      <c r="AJ11" s="77">
        <f t="shared" si="8"/>
        <v>34.808500000000002</v>
      </c>
      <c r="AK11" s="77">
        <f t="shared" si="9"/>
        <v>5</v>
      </c>
      <c r="AL11" s="77">
        <f t="shared" si="10"/>
        <v>29.808500000000002</v>
      </c>
      <c r="AM11" s="77">
        <f t="shared" si="11"/>
        <v>66.24111111111111</v>
      </c>
      <c r="AO11" t="s">
        <v>1577</v>
      </c>
      <c r="AP11" t="str">
        <f t="shared" si="12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3"/>
        <v>DDm100-27</v>
      </c>
    </row>
    <row r="12" spans="1:53">
      <c r="A12" s="35" t="s">
        <v>28</v>
      </c>
      <c r="B12" s="35" t="s">
        <v>1590</v>
      </c>
      <c r="C12" s="35" t="s">
        <v>1590</v>
      </c>
      <c r="D12" s="35" t="s">
        <v>1568</v>
      </c>
      <c r="E12" s="35" t="s">
        <v>801</v>
      </c>
      <c r="F12" s="35" t="s">
        <v>1570</v>
      </c>
      <c r="G12" s="105">
        <v>36.6</v>
      </c>
      <c r="H12" s="105">
        <v>90</v>
      </c>
      <c r="I12" s="105">
        <v>1494</v>
      </c>
      <c r="J12" s="105">
        <v>81.423000000000002</v>
      </c>
      <c r="K12" s="106">
        <v>45232</v>
      </c>
      <c r="L12" s="105">
        <v>142.02264</v>
      </c>
      <c r="M12" s="105">
        <v>60.599640000000001</v>
      </c>
      <c r="N12" s="105">
        <v>90.328299999999999</v>
      </c>
      <c r="O12" s="105">
        <v>8.9053000000000004</v>
      </c>
      <c r="P12" s="35" t="s">
        <v>1591</v>
      </c>
      <c r="Q12" s="35" t="s">
        <v>1581</v>
      </c>
      <c r="R12" s="35" t="s">
        <v>1592</v>
      </c>
      <c r="S12" s="105">
        <v>142.21440000000001</v>
      </c>
      <c r="T12" s="105">
        <v>60.791399999999904</v>
      </c>
      <c r="U12" s="35" t="s">
        <v>1593</v>
      </c>
      <c r="V12" s="35" t="s">
        <v>1594</v>
      </c>
      <c r="W12" s="105">
        <v>560.25</v>
      </c>
      <c r="X12" s="105">
        <v>478.827</v>
      </c>
      <c r="Y12" s="105">
        <v>178</v>
      </c>
      <c r="Z12" s="35" t="s">
        <v>1576</v>
      </c>
      <c r="AA12">
        <f>VLOOKUP(A12,Cover!A:R,18,0)</f>
        <v>13.5</v>
      </c>
      <c r="AB12" s="77">
        <f t="shared" si="0"/>
        <v>47.099640000000001</v>
      </c>
      <c r="AC12" s="77">
        <f t="shared" si="1"/>
        <v>-4.5946999999999996</v>
      </c>
      <c r="AD12" s="77">
        <f t="shared" si="2"/>
        <v>33.163473091332484</v>
      </c>
      <c r="AE12" s="77">
        <f t="shared" si="3"/>
        <v>-5.0866671906811041</v>
      </c>
      <c r="AF12" s="77">
        <f t="shared" si="4"/>
        <v>47.291399999999904</v>
      </c>
      <c r="AG12" s="77">
        <f t="shared" si="5"/>
        <v>33.253594572701431</v>
      </c>
      <c r="AH12" s="77">
        <f t="shared" si="6"/>
        <v>560.25</v>
      </c>
      <c r="AI12" s="77">
        <f t="shared" si="7"/>
        <v>81.423000000000002</v>
      </c>
      <c r="AJ12" s="77">
        <f t="shared" si="8"/>
        <v>478.827</v>
      </c>
      <c r="AK12" s="77">
        <f t="shared" si="9"/>
        <v>13.5</v>
      </c>
      <c r="AL12" s="77">
        <f t="shared" si="10"/>
        <v>465.327</v>
      </c>
      <c r="AM12" s="77">
        <f t="shared" si="11"/>
        <v>83.0570281124498</v>
      </c>
      <c r="AO12" t="s">
        <v>1577</v>
      </c>
      <c r="AP12" t="str">
        <f t="shared" si="12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3"/>
        <v>DDm125-33</v>
      </c>
    </row>
    <row r="13" spans="1:53">
      <c r="A13" s="35" t="s">
        <v>29</v>
      </c>
      <c r="B13" s="35" t="s">
        <v>1595</v>
      </c>
      <c r="C13" s="35" t="s">
        <v>1596</v>
      </c>
      <c r="D13" s="35" t="s">
        <v>1568</v>
      </c>
      <c r="E13" s="35" t="s">
        <v>1597</v>
      </c>
      <c r="F13" s="35" t="s">
        <v>1598</v>
      </c>
      <c r="G13" s="105">
        <v>22</v>
      </c>
      <c r="H13" s="105">
        <v>4</v>
      </c>
      <c r="I13" s="105">
        <v>12.9</v>
      </c>
      <c r="J13" s="105">
        <v>0.70304999999999995</v>
      </c>
      <c r="K13" s="106">
        <v>44483.506944444402</v>
      </c>
      <c r="L13" s="105">
        <v>2.8776000000000002</v>
      </c>
      <c r="M13" s="105">
        <v>2.17455</v>
      </c>
      <c r="N13" s="105">
        <v>3.4335</v>
      </c>
      <c r="O13" s="105">
        <v>2.7304499999999998</v>
      </c>
      <c r="P13" s="35" t="s">
        <v>1571</v>
      </c>
      <c r="Q13" s="35" t="s">
        <v>1599</v>
      </c>
      <c r="R13" s="35" t="s">
        <v>1600</v>
      </c>
      <c r="S13" s="105">
        <v>2.5920000000000001</v>
      </c>
      <c r="T13" s="105">
        <v>1.8889499999999999</v>
      </c>
      <c r="U13" s="35" t="s">
        <v>1574</v>
      </c>
      <c r="V13" s="35" t="s">
        <v>1601</v>
      </c>
      <c r="W13" s="105">
        <v>5.0250000000000004</v>
      </c>
      <c r="X13" s="105">
        <v>4.3219500000000002</v>
      </c>
      <c r="Y13" s="105">
        <v>6</v>
      </c>
      <c r="Z13" s="35" t="s">
        <v>1576</v>
      </c>
      <c r="AA13">
        <f>VLOOKUP(A13,Cover!A:R,18,0)</f>
        <v>0</v>
      </c>
      <c r="AB13" s="77">
        <f t="shared" si="0"/>
        <v>2.17455</v>
      </c>
      <c r="AC13" s="77">
        <f t="shared" si="1"/>
        <v>2.7304499999999998</v>
      </c>
      <c r="AD13" s="77">
        <f t="shared" si="2"/>
        <v>75.568181818181813</v>
      </c>
      <c r="AE13" s="77">
        <f t="shared" si="3"/>
        <v>79.523809523809518</v>
      </c>
      <c r="AF13" s="77">
        <f t="shared" si="4"/>
        <v>1.8889499999999999</v>
      </c>
      <c r="AG13" s="77">
        <f t="shared" si="5"/>
        <v>72.876157407407405</v>
      </c>
      <c r="AH13" s="77">
        <f t="shared" si="6"/>
        <v>5.0250000000000004</v>
      </c>
      <c r="AI13" s="77">
        <f t="shared" si="7"/>
        <v>0.70304999999999995</v>
      </c>
      <c r="AJ13" s="77">
        <f t="shared" si="8"/>
        <v>4.3219500000000002</v>
      </c>
      <c r="AK13" s="77">
        <f t="shared" si="9"/>
        <v>0</v>
      </c>
      <c r="AL13" s="77">
        <f t="shared" si="10"/>
        <v>4.3219500000000002</v>
      </c>
      <c r="AM13" s="77">
        <f t="shared" si="11"/>
        <v>86.008955223880591</v>
      </c>
      <c r="AO13" t="s">
        <v>1577</v>
      </c>
      <c r="AP13" t="str">
        <f t="shared" si="12"/>
        <v>SBS C11F</v>
      </c>
      <c r="AQ13">
        <f>_xlfn.XLOOKUP(A13,'SYS Allocations'!A:A,'SYS Allocations'!B:B)</f>
        <v>0</v>
      </c>
      <c r="AR13">
        <f>_xlfn.XLOOKUP(A13,'SYS Allocations'!A:A,'SYS Allocations'!C:C)</f>
        <v>0</v>
      </c>
      <c r="AS13">
        <f>_xlfn.XLOOKUP(A13,'SYS Allocations'!A:A,'SYS Allocations'!D:D)</f>
        <v>0</v>
      </c>
      <c r="AT13">
        <f>_xlfn.XLOOKUP(A13,'SYS Allocations'!A:A,'SYS Allocations'!E:E)</f>
        <v>0</v>
      </c>
      <c r="AU13">
        <f>_xlfn.XLOOKUP(A13,'SYS Allocations'!A:A,'SYS Allocations'!F:F)</f>
        <v>0</v>
      </c>
      <c r="BA13" t="str">
        <f t="shared" si="13"/>
        <v>SBS C11F</v>
      </c>
    </row>
    <row r="14" spans="1:53">
      <c r="A14" s="35" t="s">
        <v>30</v>
      </c>
      <c r="B14" s="35" t="s">
        <v>1602</v>
      </c>
      <c r="C14" s="35" t="s">
        <v>1603</v>
      </c>
      <c r="D14" s="35" t="s">
        <v>1568</v>
      </c>
      <c r="E14" s="35" t="s">
        <v>1266</v>
      </c>
      <c r="F14" s="35" t="s">
        <v>1570</v>
      </c>
      <c r="G14" s="105">
        <v>36.6</v>
      </c>
      <c r="H14" s="105">
        <v>12</v>
      </c>
      <c r="I14" s="105">
        <v>151</v>
      </c>
      <c r="J14" s="105">
        <v>8.2294999999999998</v>
      </c>
      <c r="K14" s="106">
        <v>44691.5</v>
      </c>
      <c r="L14" s="105">
        <v>17.553360000000001</v>
      </c>
      <c r="M14" s="105">
        <v>9.3238599999999998</v>
      </c>
      <c r="N14" s="105">
        <v>15.6142495095</v>
      </c>
      <c r="O14" s="105">
        <v>7.3847495094999998</v>
      </c>
      <c r="P14" s="35" t="s">
        <v>1604</v>
      </c>
      <c r="Q14" s="35" t="s">
        <v>1599</v>
      </c>
      <c r="R14" s="35" t="s">
        <v>1605</v>
      </c>
      <c r="S14" s="105">
        <v>12.635999999999999</v>
      </c>
      <c r="T14" s="105">
        <v>4.4064999999999799</v>
      </c>
      <c r="U14" s="35" t="s">
        <v>1574</v>
      </c>
      <c r="V14" s="35" t="s">
        <v>1606</v>
      </c>
      <c r="W14" s="105">
        <v>9.75</v>
      </c>
      <c r="X14" s="105">
        <v>1.5205</v>
      </c>
      <c r="Y14" s="105">
        <v>13</v>
      </c>
      <c r="Z14" s="35" t="s">
        <v>1576</v>
      </c>
      <c r="AA14">
        <f>VLOOKUP(A14,Cover!A:R,18,0)</f>
        <v>0.5</v>
      </c>
      <c r="AB14" s="77">
        <f t="shared" si="0"/>
        <v>8.8238599999999998</v>
      </c>
      <c r="AC14" s="77">
        <f t="shared" si="1"/>
        <v>6.8847495094999998</v>
      </c>
      <c r="AD14" s="77">
        <f t="shared" si="2"/>
        <v>50.268780450010709</v>
      </c>
      <c r="AE14" s="77">
        <f t="shared" si="3"/>
        <v>44.092734045982745</v>
      </c>
      <c r="AF14" s="77">
        <f t="shared" si="4"/>
        <v>3.9064999999999799</v>
      </c>
      <c r="AG14" s="77">
        <f t="shared" si="5"/>
        <v>30.915637860082146</v>
      </c>
      <c r="AH14" s="77">
        <f t="shared" si="6"/>
        <v>9.75</v>
      </c>
      <c r="AI14" s="77">
        <f t="shared" si="7"/>
        <v>8.2294999999999998</v>
      </c>
      <c r="AJ14" s="77">
        <f t="shared" si="8"/>
        <v>1.5205000000000002</v>
      </c>
      <c r="AK14" s="77">
        <f t="shared" si="9"/>
        <v>0.5</v>
      </c>
      <c r="AL14" s="77">
        <f t="shared" si="10"/>
        <v>1.0205000000000002</v>
      </c>
      <c r="AM14" s="77">
        <f t="shared" si="11"/>
        <v>10.466666666666669</v>
      </c>
      <c r="AO14" t="s">
        <v>1577</v>
      </c>
      <c r="AP14" t="str">
        <f t="shared" si="12"/>
        <v>12V155F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3"/>
        <v>12V155F</v>
      </c>
    </row>
    <row r="15" spans="1:53">
      <c r="A15" s="35" t="s">
        <v>31</v>
      </c>
      <c r="B15" s="35" t="s">
        <v>1607</v>
      </c>
      <c r="C15" s="35" t="s">
        <v>1608</v>
      </c>
      <c r="D15" s="35" t="s">
        <v>1568</v>
      </c>
      <c r="E15" s="35" t="s">
        <v>1430</v>
      </c>
      <c r="F15" s="35" t="s">
        <v>1580</v>
      </c>
      <c r="G15" s="105">
        <v>75</v>
      </c>
      <c r="H15" s="105">
        <v>6</v>
      </c>
      <c r="I15" s="105">
        <v>100</v>
      </c>
      <c r="J15" s="105">
        <v>5.45</v>
      </c>
      <c r="K15" s="106">
        <v>44579.625</v>
      </c>
      <c r="L15" s="105">
        <v>16.350000000000001</v>
      </c>
      <c r="M15" s="105">
        <v>10.9</v>
      </c>
      <c r="N15" s="105">
        <v>13.952</v>
      </c>
      <c r="O15" s="105">
        <v>8.5020000000000007</v>
      </c>
      <c r="P15" s="35" t="s">
        <v>1574</v>
      </c>
      <c r="Q15" s="35" t="s">
        <v>1581</v>
      </c>
      <c r="R15" s="35" t="s">
        <v>1609</v>
      </c>
      <c r="S15" s="105">
        <v>10.1088</v>
      </c>
      <c r="T15" s="105">
        <v>4.6587999999999798</v>
      </c>
      <c r="U15" s="35" t="s">
        <v>1610</v>
      </c>
      <c r="V15" s="35" t="s">
        <v>1611</v>
      </c>
      <c r="W15" s="105">
        <v>112.5</v>
      </c>
      <c r="X15" s="105">
        <v>107.05</v>
      </c>
      <c r="Y15" s="105">
        <v>23</v>
      </c>
      <c r="Z15" s="35" t="s">
        <v>1576</v>
      </c>
      <c r="AA15">
        <f>VLOOKUP(A15,Cover!A:R,18,0)</f>
        <v>0</v>
      </c>
      <c r="AB15" s="77">
        <f t="shared" si="0"/>
        <v>10.9</v>
      </c>
      <c r="AC15" s="77">
        <f t="shared" si="1"/>
        <v>8.5020000000000007</v>
      </c>
      <c r="AD15" s="77">
        <f t="shared" si="2"/>
        <v>66.666666666666671</v>
      </c>
      <c r="AE15" s="77">
        <f t="shared" si="3"/>
        <v>60.9375</v>
      </c>
      <c r="AF15" s="77">
        <f t="shared" si="4"/>
        <v>4.6587999999999798</v>
      </c>
      <c r="AG15" s="77">
        <f t="shared" si="5"/>
        <v>46.08657803102227</v>
      </c>
      <c r="AH15" s="77">
        <f t="shared" si="6"/>
        <v>112.5</v>
      </c>
      <c r="AI15" s="77">
        <f t="shared" si="7"/>
        <v>5.45</v>
      </c>
      <c r="AJ15" s="77">
        <f t="shared" si="8"/>
        <v>107.05</v>
      </c>
      <c r="AK15" s="77">
        <f t="shared" si="9"/>
        <v>0</v>
      </c>
      <c r="AL15" s="77">
        <f t="shared" si="10"/>
        <v>107.05</v>
      </c>
      <c r="AM15" s="77">
        <f t="shared" si="11"/>
        <v>95.155555555555551</v>
      </c>
      <c r="AO15" t="s">
        <v>1577</v>
      </c>
      <c r="AP15" t="str">
        <f t="shared" si="12"/>
        <v>2DDm85-15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3"/>
        <v>2DDm85-15</v>
      </c>
    </row>
    <row r="16" spans="1:53">
      <c r="A16" s="35" t="s">
        <v>32</v>
      </c>
      <c r="B16" s="35" t="s">
        <v>1578</v>
      </c>
      <c r="C16" s="35" t="s">
        <v>1612</v>
      </c>
      <c r="D16" s="35" t="s">
        <v>1613</v>
      </c>
      <c r="E16" s="35" t="s">
        <v>1219</v>
      </c>
      <c r="F16" s="35" t="s">
        <v>1614</v>
      </c>
      <c r="G16" s="105">
        <v>23</v>
      </c>
      <c r="H16" s="105">
        <v>5</v>
      </c>
      <c r="I16" s="105">
        <v>10</v>
      </c>
      <c r="J16" s="105">
        <v>0.54500000000000004</v>
      </c>
      <c r="K16" s="106">
        <v>41585</v>
      </c>
      <c r="L16" s="105">
        <v>4.0111999999999997</v>
      </c>
      <c r="M16" s="105">
        <v>3.4662000000000002</v>
      </c>
      <c r="N16" s="105">
        <v>4.7960000000000003</v>
      </c>
      <c r="O16" s="105">
        <v>4.2510000000000003</v>
      </c>
      <c r="P16" s="35" t="s">
        <v>1586</v>
      </c>
      <c r="Q16" s="35" t="s">
        <v>1599</v>
      </c>
      <c r="R16" s="35" t="s">
        <v>1600</v>
      </c>
      <c r="S16" s="105">
        <v>3.456</v>
      </c>
      <c r="T16" s="105">
        <v>2.911</v>
      </c>
      <c r="U16" s="35" t="s">
        <v>1571</v>
      </c>
      <c r="V16" s="35" t="s">
        <v>1615</v>
      </c>
      <c r="W16" s="105">
        <v>15</v>
      </c>
      <c r="X16" s="105">
        <v>14.455</v>
      </c>
      <c r="Y16" s="105">
        <v>12</v>
      </c>
      <c r="Z16" s="35" t="s">
        <v>1576</v>
      </c>
      <c r="AA16">
        <f>VLOOKUP(A16,Cover!A:R,18,0)</f>
        <v>0</v>
      </c>
      <c r="AB16" s="77">
        <f t="shared" si="0"/>
        <v>3.4662000000000002</v>
      </c>
      <c r="AC16" s="77">
        <f t="shared" si="1"/>
        <v>4.2510000000000003</v>
      </c>
      <c r="AD16" s="77">
        <f t="shared" si="2"/>
        <v>86.413043478260889</v>
      </c>
      <c r="AE16" s="77">
        <f t="shared" si="3"/>
        <v>88.63636363636364</v>
      </c>
      <c r="AF16" s="77">
        <f t="shared" si="4"/>
        <v>2.911</v>
      </c>
      <c r="AG16" s="77">
        <f t="shared" si="5"/>
        <v>84.230324074074076</v>
      </c>
      <c r="AH16" s="77">
        <f t="shared" si="6"/>
        <v>15</v>
      </c>
      <c r="AI16" s="77">
        <f t="shared" si="7"/>
        <v>0.54500000000000004</v>
      </c>
      <c r="AJ16" s="77">
        <f t="shared" si="8"/>
        <v>14.455</v>
      </c>
      <c r="AK16" s="77">
        <f t="shared" si="9"/>
        <v>0</v>
      </c>
      <c r="AL16" s="77">
        <f t="shared" si="10"/>
        <v>14.455</v>
      </c>
      <c r="AM16" s="77">
        <f t="shared" si="11"/>
        <v>96.366666666666674</v>
      </c>
      <c r="AO16" t="s">
        <v>1577</v>
      </c>
      <c r="AP16" t="str">
        <f t="shared" si="12"/>
        <v>SBS C11F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3"/>
        <v>SBS C11F</v>
      </c>
    </row>
    <row r="17" spans="1:53">
      <c r="A17" s="35" t="s">
        <v>33</v>
      </c>
      <c r="B17" s="35" t="s">
        <v>1616</v>
      </c>
      <c r="C17" s="35" t="s">
        <v>1617</v>
      </c>
      <c r="D17" s="35" t="s">
        <v>1568</v>
      </c>
      <c r="E17" s="35" t="s">
        <v>1297</v>
      </c>
      <c r="F17" s="35" t="s">
        <v>1570</v>
      </c>
      <c r="G17" s="105">
        <v>36.6</v>
      </c>
      <c r="H17" s="105">
        <v>60</v>
      </c>
      <c r="I17" s="105">
        <v>859</v>
      </c>
      <c r="J17" s="105">
        <v>46.8155</v>
      </c>
      <c r="K17" s="106">
        <v>44972</v>
      </c>
      <c r="L17" s="105">
        <v>94.149839999999998</v>
      </c>
      <c r="M17" s="105">
        <v>47.334339999999997</v>
      </c>
      <c r="N17" s="105">
        <v>52.287300000000002</v>
      </c>
      <c r="O17" s="105">
        <v>5.4718</v>
      </c>
      <c r="P17" s="35" t="s">
        <v>1618</v>
      </c>
      <c r="Q17" s="35" t="s">
        <v>1581</v>
      </c>
      <c r="R17" s="35" t="s">
        <v>1592</v>
      </c>
      <c r="S17" s="105">
        <v>106.66079999999999</v>
      </c>
      <c r="T17" s="105">
        <v>59.845300000000101</v>
      </c>
      <c r="U17" s="35" t="s">
        <v>1571</v>
      </c>
      <c r="V17" s="35" t="s">
        <v>1619</v>
      </c>
      <c r="W17" s="105">
        <v>75</v>
      </c>
      <c r="X17" s="105">
        <v>28.1845</v>
      </c>
      <c r="Y17" s="105">
        <v>29</v>
      </c>
      <c r="Z17" s="35" t="s">
        <v>1576</v>
      </c>
      <c r="AA17">
        <f>VLOOKUP(A17,Cover!A:R,18,0)</f>
        <v>6.9</v>
      </c>
      <c r="AB17" s="77">
        <f t="shared" si="0"/>
        <v>40.434339999999999</v>
      </c>
      <c r="AC17" s="77">
        <f t="shared" si="1"/>
        <v>-1.4282000000000004</v>
      </c>
      <c r="AD17" s="77">
        <f t="shared" si="2"/>
        <v>42.946796298326156</v>
      </c>
      <c r="AE17" s="77">
        <f t="shared" si="3"/>
        <v>-2.7314472156718748</v>
      </c>
      <c r="AF17" s="77">
        <f t="shared" si="4"/>
        <v>52.945300000000103</v>
      </c>
      <c r="AG17" s="77">
        <f t="shared" si="5"/>
        <v>49.63894889218917</v>
      </c>
      <c r="AH17" s="77">
        <f>'Multiroom cooling'!F9</f>
        <v>116.25</v>
      </c>
      <c r="AI17" s="77">
        <f t="shared" si="7"/>
        <v>46.8155</v>
      </c>
      <c r="AJ17" s="77">
        <f t="shared" si="8"/>
        <v>69.4345</v>
      </c>
      <c r="AK17" s="77">
        <f t="shared" si="9"/>
        <v>6.9</v>
      </c>
      <c r="AL17" s="77">
        <f t="shared" si="10"/>
        <v>62.534500000000001</v>
      </c>
      <c r="AM17" s="77">
        <f t="shared" si="11"/>
        <v>53.793118279569889</v>
      </c>
      <c r="AO17" t="s">
        <v>1577</v>
      </c>
      <c r="AP17" t="str">
        <f t="shared" si="12"/>
        <v>DDm125-33</v>
      </c>
      <c r="AQ17">
        <f>_xlfn.XLOOKUP(A17,'SYS Allocations'!A:A,'SYS Allocations'!B:B)</f>
        <v>0</v>
      </c>
      <c r="AR17" t="str">
        <f>_xlfn.XLOOKUP(A17,'SYS Allocations'!A:A,'SYS Allocations'!C:C)</f>
        <v>RA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3"/>
        <v>DDm125-33</v>
      </c>
    </row>
    <row r="18" spans="1:53">
      <c r="A18" s="35" t="s">
        <v>34</v>
      </c>
      <c r="B18" s="35" t="s">
        <v>1620</v>
      </c>
      <c r="C18" s="35" t="s">
        <v>1621</v>
      </c>
      <c r="D18" s="35" t="s">
        <v>1568</v>
      </c>
      <c r="E18" s="35" t="s">
        <v>941</v>
      </c>
      <c r="F18" s="35" t="s">
        <v>1570</v>
      </c>
      <c r="G18" s="105">
        <v>36.6</v>
      </c>
      <c r="H18" s="105">
        <v>9</v>
      </c>
      <c r="I18" s="105">
        <v>116</v>
      </c>
      <c r="J18" s="105">
        <v>6.3220000000000001</v>
      </c>
      <c r="K18" s="106">
        <v>45211</v>
      </c>
      <c r="L18" s="105">
        <v>12.766080000000001</v>
      </c>
      <c r="M18" s="105">
        <v>6.4440799999999996</v>
      </c>
      <c r="N18" s="105">
        <v>6.2293500000000002</v>
      </c>
      <c r="O18" s="107">
        <v>-9.2650000000000093E-2</v>
      </c>
      <c r="P18" s="35" t="s">
        <v>1571</v>
      </c>
      <c r="Q18" s="35" t="s">
        <v>1581</v>
      </c>
      <c r="R18" s="35" t="s">
        <v>1609</v>
      </c>
      <c r="S18" s="105">
        <v>15.1632</v>
      </c>
      <c r="T18" s="105">
        <v>8.84119999999999</v>
      </c>
      <c r="U18" s="35" t="s">
        <v>1622</v>
      </c>
      <c r="V18" s="35" t="s">
        <v>1623</v>
      </c>
      <c r="W18" s="105">
        <v>27</v>
      </c>
      <c r="X18" s="105">
        <v>20.678000000000001</v>
      </c>
      <c r="Y18" s="105">
        <v>19</v>
      </c>
      <c r="Z18" s="35" t="s">
        <v>1576</v>
      </c>
      <c r="AA18">
        <f>VLOOKUP(A18,Cover!A:R,18,0)</f>
        <v>2</v>
      </c>
      <c r="AB18" s="77">
        <f t="shared" si="0"/>
        <v>4.4440799999999996</v>
      </c>
      <c r="AC18" s="77">
        <f t="shared" si="1"/>
        <v>-2.0926499999999999</v>
      </c>
      <c r="AD18" s="77">
        <f t="shared" si="2"/>
        <v>34.811625808392229</v>
      </c>
      <c r="AE18" s="77">
        <f t="shared" si="3"/>
        <v>-33.593392569048135</v>
      </c>
      <c r="AF18" s="77">
        <f t="shared" si="4"/>
        <v>6.84119999999999</v>
      </c>
      <c r="AG18" s="77">
        <f t="shared" si="5"/>
        <v>45.117125672681162</v>
      </c>
      <c r="AH18" s="77">
        <f t="shared" si="6"/>
        <v>27</v>
      </c>
      <c r="AI18" s="77">
        <f t="shared" si="7"/>
        <v>6.3220000000000001</v>
      </c>
      <c r="AJ18" s="77">
        <f t="shared" si="8"/>
        <v>20.678000000000001</v>
      </c>
      <c r="AK18" s="77">
        <f t="shared" si="9"/>
        <v>2</v>
      </c>
      <c r="AL18" s="77">
        <f t="shared" si="10"/>
        <v>18.678000000000001</v>
      </c>
      <c r="AM18" s="77">
        <f t="shared" si="11"/>
        <v>69.177777777777777</v>
      </c>
      <c r="AO18" t="s">
        <v>1577</v>
      </c>
      <c r="AP18" t="str">
        <f t="shared" si="12"/>
        <v>2DDm85-15</v>
      </c>
      <c r="AQ18">
        <f>_xlfn.XLOOKUP(A18,'SYS Allocations'!A:A,'SYS Allocations'!B:B)</f>
        <v>0</v>
      </c>
      <c r="AR18">
        <f>_xlfn.XLOOKUP(A18,'SYS Allocations'!A:A,'SYS Allocations'!C:C)</f>
        <v>0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3"/>
        <v>2DDm85-15</v>
      </c>
    </row>
    <row r="19" spans="1:53">
      <c r="A19" s="35" t="s">
        <v>35</v>
      </c>
      <c r="B19" s="35" t="s">
        <v>1616</v>
      </c>
      <c r="C19" s="35" t="s">
        <v>1624</v>
      </c>
      <c r="D19" s="35" t="s">
        <v>1568</v>
      </c>
      <c r="E19" s="35" t="s">
        <v>1323</v>
      </c>
      <c r="F19" s="35" t="s">
        <v>1625</v>
      </c>
      <c r="G19" s="105">
        <v>55</v>
      </c>
      <c r="H19" s="105">
        <v>5</v>
      </c>
      <c r="I19" s="105">
        <v>111</v>
      </c>
      <c r="J19" s="105">
        <v>6.0495000000000001</v>
      </c>
      <c r="K19" s="106">
        <v>44987</v>
      </c>
      <c r="L19" s="105">
        <v>9.5920000000000005</v>
      </c>
      <c r="M19" s="105">
        <v>3.5425</v>
      </c>
      <c r="N19" s="105">
        <v>5.6331199999999999</v>
      </c>
      <c r="O19" s="107">
        <v>-0.41637999999999997</v>
      </c>
      <c r="P19" s="35" t="s">
        <v>1571</v>
      </c>
      <c r="Q19" s="35" t="s">
        <v>1572</v>
      </c>
      <c r="R19" s="35" t="s">
        <v>1573</v>
      </c>
      <c r="S19" s="105">
        <v>13.154400000000001</v>
      </c>
      <c r="T19" s="105">
        <v>7.1049000000000104</v>
      </c>
      <c r="U19" s="35" t="s">
        <v>1574</v>
      </c>
      <c r="V19" s="35" t="s">
        <v>1583</v>
      </c>
      <c r="W19" s="105">
        <v>22.5</v>
      </c>
      <c r="X19" s="105">
        <v>16.450500000000002</v>
      </c>
      <c r="Y19" s="105">
        <v>12</v>
      </c>
      <c r="Z19" s="35" t="s">
        <v>1576</v>
      </c>
      <c r="AA19">
        <f>VLOOKUP(A19,Cover!A:R,18,0)</f>
        <v>0</v>
      </c>
      <c r="AB19" s="77">
        <f t="shared" si="0"/>
        <v>3.5425</v>
      </c>
      <c r="AC19" s="77">
        <f t="shared" si="1"/>
        <v>-0.41637999999999997</v>
      </c>
      <c r="AD19" s="77">
        <f t="shared" si="2"/>
        <v>36.93181818181818</v>
      </c>
      <c r="AE19" s="77">
        <f t="shared" si="3"/>
        <v>-7.3916408668730647</v>
      </c>
      <c r="AF19" s="77">
        <f t="shared" si="4"/>
        <v>7.1049000000000104</v>
      </c>
      <c r="AG19" s="77">
        <f t="shared" si="5"/>
        <v>54.011585477102798</v>
      </c>
      <c r="AH19" s="77">
        <f t="shared" si="6"/>
        <v>22.5</v>
      </c>
      <c r="AI19" s="77">
        <f t="shared" si="7"/>
        <v>6.0495000000000001</v>
      </c>
      <c r="AJ19" s="77">
        <f t="shared" si="8"/>
        <v>16.450499999999998</v>
      </c>
      <c r="AK19" s="77">
        <f t="shared" si="9"/>
        <v>0</v>
      </c>
      <c r="AL19" s="77">
        <f t="shared" si="10"/>
        <v>16.450499999999998</v>
      </c>
      <c r="AM19" s="77">
        <f t="shared" si="11"/>
        <v>73.11333333333333</v>
      </c>
      <c r="AO19" t="s">
        <v>1577</v>
      </c>
      <c r="AP19" t="str">
        <f t="shared" si="12"/>
        <v>EN480-2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3"/>
        <v>EN480-2</v>
      </c>
    </row>
    <row r="20" spans="1:53">
      <c r="A20" s="35" t="s">
        <v>36</v>
      </c>
      <c r="B20" s="35" t="s">
        <v>1616</v>
      </c>
      <c r="C20" s="35" t="s">
        <v>1624</v>
      </c>
      <c r="D20" s="35" t="s">
        <v>1568</v>
      </c>
      <c r="E20" s="35" t="s">
        <v>1326</v>
      </c>
      <c r="F20" s="35" t="s">
        <v>1580</v>
      </c>
      <c r="G20" s="105">
        <v>75</v>
      </c>
      <c r="H20" s="105">
        <v>13</v>
      </c>
      <c r="I20" s="105">
        <v>500</v>
      </c>
      <c r="J20" s="105">
        <v>27.25</v>
      </c>
      <c r="K20" s="106">
        <v>45048</v>
      </c>
      <c r="L20" s="105">
        <v>39.24</v>
      </c>
      <c r="M20" s="105">
        <v>11.99</v>
      </c>
      <c r="N20" s="105">
        <v>35.463149999999999</v>
      </c>
      <c r="O20" s="105">
        <v>8.2131500000000006</v>
      </c>
      <c r="P20" s="35" t="s">
        <v>1571</v>
      </c>
      <c r="Q20" s="35" t="s">
        <v>1626</v>
      </c>
      <c r="R20" s="35" t="s">
        <v>1627</v>
      </c>
      <c r="S20" s="105">
        <v>27.799199999999999</v>
      </c>
      <c r="T20" s="105">
        <v>0.54919999999997104</v>
      </c>
      <c r="U20" s="35" t="s">
        <v>1571</v>
      </c>
      <c r="V20" s="35" t="s">
        <v>1628</v>
      </c>
      <c r="W20" s="105">
        <v>85.814999999999998</v>
      </c>
      <c r="X20" s="105">
        <v>58.564999999999998</v>
      </c>
      <c r="Y20" s="105">
        <v>31</v>
      </c>
      <c r="Z20" s="35" t="s">
        <v>1576</v>
      </c>
      <c r="AA20">
        <f>VLOOKUP(A20,Cover!A:R,18,0)</f>
        <v>5.5</v>
      </c>
      <c r="AB20" s="77">
        <f t="shared" si="0"/>
        <v>6.49</v>
      </c>
      <c r="AC20" s="77">
        <f t="shared" si="1"/>
        <v>2.7131500000000006</v>
      </c>
      <c r="AD20" s="77">
        <f t="shared" si="2"/>
        <v>16.539245667686036</v>
      </c>
      <c r="AE20" s="77">
        <f t="shared" si="3"/>
        <v>7.6506176129306072</v>
      </c>
      <c r="AF20" s="77">
        <f t="shared" si="4"/>
        <v>-4.9508000000000294</v>
      </c>
      <c r="AG20" s="77">
        <f t="shared" si="5"/>
        <v>-17.809145586923471</v>
      </c>
      <c r="AH20" s="77">
        <f t="shared" si="6"/>
        <v>85.814999999999998</v>
      </c>
      <c r="AI20" s="77">
        <f t="shared" si="7"/>
        <v>27.25</v>
      </c>
      <c r="AJ20" s="77">
        <f t="shared" si="8"/>
        <v>58.564999999999998</v>
      </c>
      <c r="AK20" s="77">
        <f t="shared" si="9"/>
        <v>5.5</v>
      </c>
      <c r="AL20" s="77">
        <f t="shared" si="10"/>
        <v>53.064999999999998</v>
      </c>
      <c r="AM20" s="77">
        <f t="shared" si="11"/>
        <v>61.836508768863254</v>
      </c>
      <c r="AO20" t="s">
        <v>1577</v>
      </c>
      <c r="AP20" t="str">
        <f t="shared" si="12"/>
        <v>2SLA1000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3"/>
        <v>2SLA1000</v>
      </c>
    </row>
    <row r="21" spans="1:53">
      <c r="A21" s="35" t="s">
        <v>37</v>
      </c>
      <c r="B21" s="35" t="s">
        <v>1629</v>
      </c>
      <c r="C21" s="35" t="s">
        <v>1630</v>
      </c>
      <c r="D21" s="35" t="s">
        <v>1631</v>
      </c>
      <c r="E21" s="35" t="s">
        <v>1183</v>
      </c>
      <c r="F21" s="35" t="s">
        <v>1570</v>
      </c>
      <c r="G21" s="105">
        <v>36.6</v>
      </c>
      <c r="H21" s="105">
        <v>66</v>
      </c>
      <c r="I21" s="105">
        <v>872</v>
      </c>
      <c r="J21" s="105">
        <v>47.524000000000001</v>
      </c>
      <c r="K21" s="106">
        <v>45264</v>
      </c>
      <c r="L21" s="105">
        <v>103.7244</v>
      </c>
      <c r="M21" s="105">
        <v>56.200400000000002</v>
      </c>
      <c r="N21" s="105">
        <v>80.997900000000001</v>
      </c>
      <c r="O21" s="105">
        <v>33.4739</v>
      </c>
      <c r="P21" s="35" t="s">
        <v>1591</v>
      </c>
      <c r="Q21" s="35" t="s">
        <v>1626</v>
      </c>
      <c r="R21" s="35" t="s">
        <v>1632</v>
      </c>
      <c r="S21" s="105">
        <v>100.05119999999999</v>
      </c>
      <c r="T21" s="105">
        <v>52.527200000000299</v>
      </c>
      <c r="U21" s="35" t="s">
        <v>1618</v>
      </c>
      <c r="V21" s="35" t="s">
        <v>1633</v>
      </c>
      <c r="W21" s="105">
        <v>161.25</v>
      </c>
      <c r="X21" s="105">
        <v>113.726</v>
      </c>
      <c r="Y21" s="105">
        <v>38</v>
      </c>
      <c r="Z21" s="35" t="s">
        <v>1525</v>
      </c>
      <c r="AA21">
        <f>VLOOKUP(A21,Cover!A:R,18,0)</f>
        <v>13.05</v>
      </c>
      <c r="AB21" s="77">
        <f t="shared" si="0"/>
        <v>43.150400000000005</v>
      </c>
      <c r="AC21" s="77">
        <f t="shared" si="1"/>
        <v>20.4239</v>
      </c>
      <c r="AD21" s="77">
        <f t="shared" si="2"/>
        <v>41.601011912336929</v>
      </c>
      <c r="AE21" s="77">
        <f t="shared" si="3"/>
        <v>25.215345089193669</v>
      </c>
      <c r="AF21" s="77">
        <f t="shared" si="4"/>
        <v>39.477200000000295</v>
      </c>
      <c r="AG21" s="77">
        <f t="shared" si="5"/>
        <v>39.456998017015586</v>
      </c>
      <c r="AH21" s="346">
        <f>AVERAGE(W21:W22)</f>
        <v>161.25</v>
      </c>
      <c r="AI21" s="346">
        <f>SUM(J21:J22)</f>
        <v>108.89099999999999</v>
      </c>
      <c r="AJ21" s="346">
        <f>SUM(AH21-AI21)</f>
        <v>52.359000000000009</v>
      </c>
      <c r="AK21" s="346">
        <f>SUM(AA21:AA22)</f>
        <v>25.5</v>
      </c>
      <c r="AL21" s="346">
        <f>SUM(AJ21-AK21)</f>
        <v>26.859000000000009</v>
      </c>
      <c r="AM21" s="345">
        <f t="shared" si="11"/>
        <v>16.656744186046517</v>
      </c>
      <c r="AN21" t="s">
        <v>1563</v>
      </c>
      <c r="AO21" t="s">
        <v>1634</v>
      </c>
      <c r="AP21" t="str">
        <f t="shared" si="12"/>
        <v>2SLA1500</v>
      </c>
      <c r="AQ21" t="str">
        <f>_xlfn.XLOOKUP(A21,'SYS Allocations'!A:A,'SYS Allocations'!B:B)</f>
        <v>P-Core</v>
      </c>
      <c r="AR21" t="str">
        <f>_xlfn.XLOOKUP(A21,'SYS Allocations'!A:A,'SYS Allocations'!C:C)</f>
        <v>RA</v>
      </c>
      <c r="AS21" t="str">
        <f>_xlfn.XLOOKUP(A21,'SYS Allocations'!A:A,'SYS Allocations'!D:D)</f>
        <v>PX</v>
      </c>
      <c r="AT21">
        <f>_xlfn.XLOOKUP(A21,'SYS Allocations'!A:A,'SYS Allocations'!E:E)</f>
        <v>0</v>
      </c>
      <c r="AU21" t="str">
        <f>_xlfn.XLOOKUP(A21,'SYS Allocations'!A:A,'SYS Allocations'!F:F)</f>
        <v>OPEX</v>
      </c>
      <c r="BA21" t="str">
        <f t="shared" si="13"/>
        <v>2SLA1500</v>
      </c>
    </row>
    <row r="22" spans="1:53">
      <c r="A22" s="35" t="s">
        <v>38</v>
      </c>
      <c r="B22" s="35" t="s">
        <v>1629</v>
      </c>
      <c r="C22" s="35" t="s">
        <v>1630</v>
      </c>
      <c r="D22" s="35" t="s">
        <v>1631</v>
      </c>
      <c r="E22" s="35" t="s">
        <v>1183</v>
      </c>
      <c r="F22" s="35" t="s">
        <v>1570</v>
      </c>
      <c r="G22" s="105">
        <v>36.6</v>
      </c>
      <c r="H22" s="105">
        <v>61</v>
      </c>
      <c r="I22" s="105">
        <v>1126</v>
      </c>
      <c r="J22" s="105">
        <v>61.366999999999997</v>
      </c>
      <c r="K22" s="106">
        <v>45264</v>
      </c>
      <c r="L22" s="105">
        <v>95.745599999999996</v>
      </c>
      <c r="M22" s="105">
        <v>34.378599999999999</v>
      </c>
      <c r="N22" s="105">
        <v>65.182000000000002</v>
      </c>
      <c r="O22" s="105">
        <v>3.8149999999999999</v>
      </c>
      <c r="P22" s="35" t="s">
        <v>1610</v>
      </c>
      <c r="Q22" s="35" t="s">
        <v>1581</v>
      </c>
      <c r="R22" s="35" t="s">
        <v>1635</v>
      </c>
      <c r="S22" s="105">
        <v>142.02000000000001</v>
      </c>
      <c r="T22" s="105">
        <v>80.653000000000205</v>
      </c>
      <c r="U22" s="35" t="s">
        <v>1618</v>
      </c>
      <c r="V22" s="35" t="s">
        <v>1633</v>
      </c>
      <c r="W22" s="105">
        <v>161.25</v>
      </c>
      <c r="X22" s="105">
        <v>99.882999999999996</v>
      </c>
      <c r="Y22" s="105">
        <v>38</v>
      </c>
      <c r="Z22" s="35" t="s">
        <v>1525</v>
      </c>
      <c r="AA22">
        <f>VLOOKUP(A22,Cover!A:R,18,0)</f>
        <v>12.45</v>
      </c>
      <c r="AB22" s="77">
        <f t="shared" ref="AB22" si="14">M22-AA22</f>
        <v>21.928599999999999</v>
      </c>
      <c r="AC22" s="77">
        <f t="shared" ref="AC22" si="15">O22-AA22</f>
        <v>-8.6349999999999998</v>
      </c>
      <c r="AD22" s="77">
        <f t="shared" ref="AD22" si="16">AB22/L22%</f>
        <v>22.902984575792516</v>
      </c>
      <c r="AE22" s="77">
        <f t="shared" ref="AE22" si="17">AC22/N22%</f>
        <v>-13.247522322113465</v>
      </c>
      <c r="AF22" s="77">
        <f t="shared" ref="AF22" si="18">T22-AA22</f>
        <v>68.203000000000202</v>
      </c>
      <c r="AG22" s="77">
        <f t="shared" ref="AG22" si="19">AF22/S22%</f>
        <v>48.023517814392477</v>
      </c>
      <c r="AH22" s="346"/>
      <c r="AI22" s="346"/>
      <c r="AJ22" s="346"/>
      <c r="AK22" s="346"/>
      <c r="AL22" s="346"/>
      <c r="AM22" s="345"/>
      <c r="AN22" t="s">
        <v>1563</v>
      </c>
      <c r="AO22" t="s">
        <v>1634</v>
      </c>
      <c r="AP22" t="str">
        <f t="shared" si="12"/>
        <v>DDm125-33</v>
      </c>
      <c r="AQ22">
        <f>_xlfn.XLOOKUP(A22,'SYS Allocations'!A:A,'SYS Allocations'!B:B)</f>
        <v>0</v>
      </c>
      <c r="AR22">
        <f>_xlfn.XLOOKUP(A22,'SYS Allocations'!A:A,'SYS Allocations'!C:C)</f>
        <v>0</v>
      </c>
      <c r="AS22">
        <f>_xlfn.XLOOKUP(A22,'SYS Allocations'!A:A,'SYS Allocations'!D:D)</f>
        <v>0</v>
      </c>
      <c r="AT22">
        <f>_xlfn.XLOOKUP(A22,'SYS Allocations'!A:A,'SYS Allocations'!E:E)</f>
        <v>0</v>
      </c>
      <c r="AU22">
        <f>_xlfn.XLOOKUP(A22,'SYS Allocations'!A:A,'SYS Allocations'!F:F)</f>
        <v>0</v>
      </c>
      <c r="BA22" t="str">
        <f t="shared" si="13"/>
        <v xml:space="preserve">DDm125-33 </v>
      </c>
    </row>
    <row r="23" spans="1:53">
      <c r="A23" s="35" t="s">
        <v>39</v>
      </c>
      <c r="B23" s="35" t="s">
        <v>1636</v>
      </c>
      <c r="C23" s="35" t="s">
        <v>1637</v>
      </c>
      <c r="D23" s="35" t="s">
        <v>1613</v>
      </c>
      <c r="E23" s="35" t="s">
        <v>1638</v>
      </c>
      <c r="F23" s="35" t="s">
        <v>1639</v>
      </c>
      <c r="G23" s="105">
        <v>50</v>
      </c>
      <c r="H23" s="105">
        <v>5</v>
      </c>
      <c r="I23" s="105">
        <v>73.599999999999994</v>
      </c>
      <c r="J23" s="105">
        <v>4.0111999999999997</v>
      </c>
      <c r="K23" s="106">
        <v>44600.604166666701</v>
      </c>
      <c r="L23" s="105">
        <v>8.7200000000000006</v>
      </c>
      <c r="M23" s="105">
        <v>4.7088000000000001</v>
      </c>
      <c r="N23" s="105">
        <v>7.63</v>
      </c>
      <c r="O23" s="105">
        <v>3.6187999999999998</v>
      </c>
      <c r="P23" s="35" t="s">
        <v>1574</v>
      </c>
      <c r="Q23" s="35" t="s">
        <v>1581</v>
      </c>
      <c r="R23" s="35" t="s">
        <v>1640</v>
      </c>
      <c r="S23" s="105">
        <v>5.2271999999999998</v>
      </c>
      <c r="T23" s="105">
        <v>1.216</v>
      </c>
      <c r="U23" s="35" t="s">
        <v>1574</v>
      </c>
      <c r="V23" s="35" t="s">
        <v>1641</v>
      </c>
      <c r="W23" s="105">
        <v>37.5</v>
      </c>
      <c r="X23" s="105">
        <v>33.488799999999998</v>
      </c>
      <c r="Y23" s="105">
        <v>96</v>
      </c>
      <c r="Z23" s="35" t="s">
        <v>1576</v>
      </c>
      <c r="AA23">
        <f>VLOOKUP(A23,Cover!A:R,18,0)</f>
        <v>0</v>
      </c>
      <c r="AB23" s="77">
        <f t="shared" si="0"/>
        <v>4.7088000000000001</v>
      </c>
      <c r="AC23" s="77">
        <f t="shared" si="1"/>
        <v>3.6187999999999998</v>
      </c>
      <c r="AD23" s="77">
        <f t="shared" si="2"/>
        <v>54</v>
      </c>
      <c r="AE23" s="77">
        <f t="shared" si="3"/>
        <v>47.428571428571431</v>
      </c>
      <c r="AF23" s="77">
        <f t="shared" si="4"/>
        <v>1.216</v>
      </c>
      <c r="AG23" s="77">
        <f t="shared" si="5"/>
        <v>23.262932353841446</v>
      </c>
      <c r="AH23" s="77">
        <f t="shared" si="6"/>
        <v>37.5</v>
      </c>
      <c r="AI23" s="77">
        <f t="shared" si="7"/>
        <v>4.0111999999999997</v>
      </c>
      <c r="AJ23" s="77">
        <f t="shared" si="8"/>
        <v>33.488799999999998</v>
      </c>
      <c r="AK23" s="77">
        <f t="shared" si="9"/>
        <v>0</v>
      </c>
      <c r="AL23" s="77">
        <f t="shared" si="10"/>
        <v>33.488799999999998</v>
      </c>
      <c r="AM23" s="77">
        <f t="shared" si="11"/>
        <v>89.303466666666665</v>
      </c>
      <c r="AO23" t="s">
        <v>1577</v>
      </c>
      <c r="AP23" t="str">
        <f t="shared" si="12"/>
        <v>2DDm50-13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3"/>
        <v>2DDm50-13</v>
      </c>
    </row>
    <row r="24" spans="1:53">
      <c r="A24" s="35" t="s">
        <v>40</v>
      </c>
      <c r="B24" s="35" t="s">
        <v>1642</v>
      </c>
      <c r="C24" s="35" t="s">
        <v>1643</v>
      </c>
      <c r="D24" s="35" t="s">
        <v>1568</v>
      </c>
      <c r="E24" s="35" t="s">
        <v>1200</v>
      </c>
      <c r="F24" s="35" t="s">
        <v>1570</v>
      </c>
      <c r="G24" s="105">
        <v>36.6</v>
      </c>
      <c r="H24" s="105">
        <v>26</v>
      </c>
      <c r="I24" s="105">
        <v>266</v>
      </c>
      <c r="J24" s="105">
        <v>14.497</v>
      </c>
      <c r="K24" s="106">
        <v>45000</v>
      </c>
      <c r="L24" s="105">
        <v>39.893999999999998</v>
      </c>
      <c r="M24" s="105">
        <v>25.396999999999998</v>
      </c>
      <c r="N24" s="105">
        <v>32.427500000000002</v>
      </c>
      <c r="O24" s="107">
        <v>17.930499999999999</v>
      </c>
      <c r="P24" s="35" t="s">
        <v>1574</v>
      </c>
      <c r="Q24" s="35" t="s">
        <v>1581</v>
      </c>
      <c r="R24" s="35" t="s">
        <v>1644</v>
      </c>
      <c r="S24" s="105">
        <v>28.123200000000001</v>
      </c>
      <c r="T24" s="105">
        <v>13.626200000000001</v>
      </c>
      <c r="U24" s="35" t="s">
        <v>1610</v>
      </c>
      <c r="V24" s="35" t="s">
        <v>1645</v>
      </c>
      <c r="W24" s="105">
        <v>54</v>
      </c>
      <c r="X24" s="105">
        <v>39.503</v>
      </c>
      <c r="Y24" s="105">
        <v>12</v>
      </c>
      <c r="Z24" s="35" t="s">
        <v>1576</v>
      </c>
      <c r="AA24">
        <f>VLOOKUP(A24,Cover!A:R,18,0)</f>
        <v>18.399999999999999</v>
      </c>
      <c r="AB24" s="77">
        <f t="shared" si="0"/>
        <v>6.9969999999999999</v>
      </c>
      <c r="AC24" s="77">
        <f t="shared" si="1"/>
        <v>-0.46950000000000003</v>
      </c>
      <c r="AD24" s="77">
        <f t="shared" si="2"/>
        <v>17.538978292475061</v>
      </c>
      <c r="AE24" s="77">
        <f t="shared" si="3"/>
        <v>-1.4478451931231207</v>
      </c>
      <c r="AF24" s="77">
        <f t="shared" si="4"/>
        <v>-4.7737999999999978</v>
      </c>
      <c r="AG24" s="77">
        <f t="shared" si="5"/>
        <v>-16.974597485350166</v>
      </c>
      <c r="AH24" s="77">
        <f t="shared" si="6"/>
        <v>54</v>
      </c>
      <c r="AI24" s="77">
        <f t="shared" si="7"/>
        <v>14.497</v>
      </c>
      <c r="AJ24" s="77">
        <f t="shared" si="8"/>
        <v>39.503</v>
      </c>
      <c r="AK24" s="77">
        <f t="shared" si="9"/>
        <v>18.399999999999999</v>
      </c>
      <c r="AL24" s="77">
        <f t="shared" si="10"/>
        <v>21.103000000000002</v>
      </c>
      <c r="AM24" s="77">
        <f t="shared" si="11"/>
        <v>39.079629629629629</v>
      </c>
      <c r="AO24" t="s">
        <v>1577</v>
      </c>
      <c r="AP24" t="str">
        <f t="shared" si="12"/>
        <v>DDm100-33</v>
      </c>
      <c r="AQ24">
        <f>_xlfn.XLOOKUP(A24,'SYS Allocations'!A:A,'SYS Allocations'!B:B)</f>
        <v>0</v>
      </c>
      <c r="AR24" t="str">
        <f>_xlfn.XLOOKUP(A24,'SYS Allocations'!A:A,'SYS Allocations'!C:C)</f>
        <v>RA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3"/>
        <v>DDm100-33</v>
      </c>
    </row>
    <row r="25" spans="1:53">
      <c r="A25" s="35" t="s">
        <v>41</v>
      </c>
      <c r="B25" s="35" t="s">
        <v>1642</v>
      </c>
      <c r="C25" s="35" t="s">
        <v>1643</v>
      </c>
      <c r="D25" s="35" t="s">
        <v>1568</v>
      </c>
      <c r="E25" s="35" t="s">
        <v>797</v>
      </c>
      <c r="F25" s="35" t="s">
        <v>1570</v>
      </c>
      <c r="G25" s="105">
        <v>36.6</v>
      </c>
      <c r="H25" s="105">
        <v>25</v>
      </c>
      <c r="I25" s="105">
        <v>467</v>
      </c>
      <c r="J25" s="105">
        <v>25.451499999999999</v>
      </c>
      <c r="K25" s="106">
        <v>45000</v>
      </c>
      <c r="L25" s="105">
        <v>38.29824</v>
      </c>
      <c r="M25" s="105">
        <v>12.84674</v>
      </c>
      <c r="N25" s="105">
        <v>21.712800000000001</v>
      </c>
      <c r="O25" s="105">
        <v>-3.7387000000000001</v>
      </c>
      <c r="P25" s="35" t="s">
        <v>1571</v>
      </c>
      <c r="Q25" s="35" t="s">
        <v>1581</v>
      </c>
      <c r="R25" s="35" t="s">
        <v>1644</v>
      </c>
      <c r="S25" s="105">
        <v>42.184800000000003</v>
      </c>
      <c r="T25" s="105">
        <v>16.7333</v>
      </c>
      <c r="U25" s="35" t="s">
        <v>1586</v>
      </c>
      <c r="V25" s="35" t="s">
        <v>1646</v>
      </c>
      <c r="W25" s="105">
        <v>69.75</v>
      </c>
      <c r="X25" s="105">
        <v>44.298499999999997</v>
      </c>
      <c r="Y25" s="105">
        <v>19</v>
      </c>
      <c r="Z25" s="35" t="s">
        <v>1576</v>
      </c>
      <c r="AA25">
        <f>VLOOKUP(A25,Cover!A:R,18,0)</f>
        <v>14.2</v>
      </c>
      <c r="AB25" s="77">
        <f t="shared" si="0"/>
        <v>-1.3532599999999988</v>
      </c>
      <c r="AC25" s="77">
        <f t="shared" si="1"/>
        <v>-17.938700000000001</v>
      </c>
      <c r="AD25" s="77">
        <f t="shared" si="2"/>
        <v>-3.5334783008305313</v>
      </c>
      <c r="AE25" s="77">
        <f t="shared" si="3"/>
        <v>-82.618087027007107</v>
      </c>
      <c r="AF25" s="77">
        <f t="shared" si="4"/>
        <v>2.5333000000000006</v>
      </c>
      <c r="AG25" s="77">
        <f t="shared" si="5"/>
        <v>6.0052435948493308</v>
      </c>
      <c r="AH25" s="77">
        <f t="shared" si="6"/>
        <v>69.75</v>
      </c>
      <c r="AI25" s="77">
        <f t="shared" si="7"/>
        <v>25.451499999999999</v>
      </c>
      <c r="AJ25" s="77">
        <f t="shared" si="8"/>
        <v>44.298500000000004</v>
      </c>
      <c r="AK25" s="77">
        <f t="shared" si="9"/>
        <v>14.2</v>
      </c>
      <c r="AL25" s="77">
        <f t="shared" si="10"/>
        <v>30.098500000000005</v>
      </c>
      <c r="AM25" s="77">
        <f t="shared" si="11"/>
        <v>43.151971326164883</v>
      </c>
      <c r="AO25" t="s">
        <v>1577</v>
      </c>
      <c r="AP25" t="str">
        <f t="shared" si="12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3"/>
        <v>DDm100-33</v>
      </c>
    </row>
    <row r="26" spans="1:53">
      <c r="A26" s="35" t="s">
        <v>42</v>
      </c>
      <c r="B26" s="35" t="s">
        <v>1620</v>
      </c>
      <c r="C26" s="35" t="s">
        <v>1647</v>
      </c>
      <c r="D26" s="35" t="s">
        <v>1563</v>
      </c>
      <c r="E26" s="35" t="s">
        <v>1648</v>
      </c>
      <c r="F26" s="35" t="s">
        <v>1570</v>
      </c>
      <c r="G26" s="105">
        <v>36.6</v>
      </c>
      <c r="H26" s="105">
        <v>31</v>
      </c>
      <c r="I26" s="105">
        <v>405</v>
      </c>
      <c r="J26" s="105">
        <v>22.072500000000002</v>
      </c>
      <c r="K26" s="106">
        <v>44964</v>
      </c>
      <c r="L26" s="105">
        <v>47.872799999999998</v>
      </c>
      <c r="M26" s="105">
        <v>25.8003</v>
      </c>
      <c r="N26" s="105">
        <v>38.040999999999997</v>
      </c>
      <c r="O26" s="105">
        <v>15.968500000000001</v>
      </c>
      <c r="P26" s="35" t="s">
        <v>1574</v>
      </c>
      <c r="Q26" s="35" t="s">
        <v>1581</v>
      </c>
      <c r="R26" s="35" t="s">
        <v>1592</v>
      </c>
      <c r="S26" s="105">
        <v>35.553600000000003</v>
      </c>
      <c r="T26" s="105">
        <v>13.4811</v>
      </c>
      <c r="U26" s="35" t="s">
        <v>1574</v>
      </c>
      <c r="V26" s="35" t="s">
        <v>1649</v>
      </c>
      <c r="W26" s="105">
        <v>9.4499999999999993</v>
      </c>
      <c r="X26" s="105">
        <v>-12.6225</v>
      </c>
      <c r="Y26" s="105">
        <v>0</v>
      </c>
      <c r="Z26" s="35" t="s">
        <v>1650</v>
      </c>
      <c r="AA26">
        <f>VLOOKUP(A26,Cover!A:R,18,0)</f>
        <v>0</v>
      </c>
      <c r="AB26" s="77">
        <f t="shared" si="0"/>
        <v>25.8003</v>
      </c>
      <c r="AC26" s="77">
        <f t="shared" si="1"/>
        <v>15.968500000000001</v>
      </c>
      <c r="AD26" s="77">
        <f t="shared" si="2"/>
        <v>53.893442622950822</v>
      </c>
      <c r="AE26" s="77">
        <f t="shared" si="3"/>
        <v>41.977077363896854</v>
      </c>
      <c r="AF26" s="77">
        <f t="shared" si="4"/>
        <v>13.4811</v>
      </c>
      <c r="AG26" s="77">
        <f t="shared" si="5"/>
        <v>37.917679222357229</v>
      </c>
      <c r="AH26" s="77">
        <f t="shared" si="6"/>
        <v>9.4499999999999993</v>
      </c>
      <c r="AI26" s="77">
        <f t="shared" si="7"/>
        <v>22.072500000000002</v>
      </c>
      <c r="AJ26" s="77">
        <f t="shared" si="8"/>
        <v>-12.622500000000002</v>
      </c>
      <c r="AK26" s="77">
        <f t="shared" si="9"/>
        <v>0</v>
      </c>
      <c r="AL26" s="77">
        <f t="shared" si="10"/>
        <v>-12.622500000000002</v>
      </c>
      <c r="AM26" s="77">
        <f t="shared" si="11"/>
        <v>-133.57142857142861</v>
      </c>
      <c r="AN26" t="s">
        <v>1563</v>
      </c>
      <c r="AO26" t="s">
        <v>1577</v>
      </c>
      <c r="AP26" t="str">
        <f t="shared" si="12"/>
        <v>DDm125-33</v>
      </c>
      <c r="AQ26" t="str">
        <f>_xlfn.XLOOKUP(A26,'SYS Allocations'!A:A,'SYS Allocations'!B:B)</f>
        <v>P-Core</v>
      </c>
      <c r="AR26">
        <f>_xlfn.XLOOKUP(A26,'SYS Allocations'!A:A,'SYS Allocations'!C:C)</f>
        <v>0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3"/>
        <v>DDm125-33</v>
      </c>
    </row>
    <row r="27" spans="1:53">
      <c r="A27" s="35" t="s">
        <v>43</v>
      </c>
      <c r="B27" s="35" t="s">
        <v>1620</v>
      </c>
      <c r="C27" s="35" t="s">
        <v>1647</v>
      </c>
      <c r="D27" s="35" t="s">
        <v>1563</v>
      </c>
      <c r="E27" s="35" t="s">
        <v>965</v>
      </c>
      <c r="F27" s="35" t="s">
        <v>1570</v>
      </c>
      <c r="G27" s="105">
        <v>36.6</v>
      </c>
      <c r="H27" s="105">
        <v>59</v>
      </c>
      <c r="I27" s="105">
        <v>603</v>
      </c>
      <c r="J27" s="105">
        <v>32.863500000000002</v>
      </c>
      <c r="K27" s="106">
        <v>45264</v>
      </c>
      <c r="L27" s="105">
        <v>92.554079999999999</v>
      </c>
      <c r="M27" s="105">
        <v>59.690579999999997</v>
      </c>
      <c r="N27" s="105">
        <v>84.627600000000001</v>
      </c>
      <c r="O27" s="105">
        <v>51.764099999999999</v>
      </c>
      <c r="P27" s="35" t="s">
        <v>1571</v>
      </c>
      <c r="Q27" s="35" t="s">
        <v>1581</v>
      </c>
      <c r="R27" s="35" t="s">
        <v>1651</v>
      </c>
      <c r="S27" s="105">
        <v>48.068640000000002</v>
      </c>
      <c r="T27" s="105">
        <v>15.20514</v>
      </c>
      <c r="U27" s="35" t="s">
        <v>1622</v>
      </c>
      <c r="V27" s="35" t="s">
        <v>1652</v>
      </c>
      <c r="W27" s="105">
        <v>67.5</v>
      </c>
      <c r="X27" s="105">
        <v>34.636499999999998</v>
      </c>
      <c r="Y27" s="105">
        <v>5</v>
      </c>
      <c r="Z27" s="35" t="s">
        <v>8</v>
      </c>
      <c r="AA27">
        <f>VLOOKUP(A27,Cover!A:R,18,0)</f>
        <v>1</v>
      </c>
      <c r="AB27" s="77">
        <f t="shared" si="0"/>
        <v>58.690579999999997</v>
      </c>
      <c r="AC27" s="77">
        <f t="shared" si="1"/>
        <v>50.764099999999999</v>
      </c>
      <c r="AD27" s="77">
        <f t="shared" si="2"/>
        <v>63.412201817575195</v>
      </c>
      <c r="AE27" s="77">
        <f t="shared" si="3"/>
        <v>59.985276670967863</v>
      </c>
      <c r="AF27" s="77">
        <f t="shared" si="4"/>
        <v>14.20514</v>
      </c>
      <c r="AG27" s="77">
        <f t="shared" si="5"/>
        <v>29.551782617523607</v>
      </c>
      <c r="AH27" s="77">
        <f t="shared" si="6"/>
        <v>67.5</v>
      </c>
      <c r="AI27" s="77">
        <f t="shared" si="7"/>
        <v>32.863500000000002</v>
      </c>
      <c r="AJ27" s="77">
        <f t="shared" si="8"/>
        <v>34.636499999999998</v>
      </c>
      <c r="AK27" s="77">
        <f t="shared" si="9"/>
        <v>1</v>
      </c>
      <c r="AL27" s="77">
        <f t="shared" si="10"/>
        <v>33.636499999999998</v>
      </c>
      <c r="AM27" s="77">
        <f t="shared" si="11"/>
        <v>49.831851851851845</v>
      </c>
      <c r="AN27" s="52" t="s">
        <v>1563</v>
      </c>
      <c r="AO27" s="52" t="s">
        <v>1634</v>
      </c>
      <c r="AP27" t="str">
        <f t="shared" si="12"/>
        <v>2CP2000</v>
      </c>
      <c r="AQ27">
        <f>_xlfn.XLOOKUP(A27,'SYS Allocations'!A:A,'SYS Allocations'!B:B)</f>
        <v>0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3"/>
        <v>2CP2000</v>
      </c>
    </row>
    <row r="28" spans="1:53">
      <c r="A28" s="35" t="s">
        <v>44</v>
      </c>
      <c r="B28" s="35" t="s">
        <v>1620</v>
      </c>
      <c r="C28" s="35" t="s">
        <v>1647</v>
      </c>
      <c r="D28" s="35" t="s">
        <v>1563</v>
      </c>
      <c r="E28" s="35" t="s">
        <v>965</v>
      </c>
      <c r="F28" s="35" t="s">
        <v>1570</v>
      </c>
      <c r="G28" s="105">
        <v>36.6</v>
      </c>
      <c r="H28" s="105">
        <v>59</v>
      </c>
      <c r="I28" s="105">
        <v>644</v>
      </c>
      <c r="J28" s="105">
        <v>35.097999999999999</v>
      </c>
      <c r="K28" s="106">
        <v>45264</v>
      </c>
      <c r="L28" s="105">
        <v>92.554079999999999</v>
      </c>
      <c r="M28" s="105">
        <v>57.45608</v>
      </c>
      <c r="N28" s="105">
        <v>82.992599999999996</v>
      </c>
      <c r="O28" s="105">
        <v>47.894599999999997</v>
      </c>
      <c r="P28" s="35" t="s">
        <v>1571</v>
      </c>
      <c r="Q28" s="35" t="s">
        <v>1581</v>
      </c>
      <c r="R28" s="35" t="s">
        <v>1592</v>
      </c>
      <c r="S28" s="105">
        <v>53.330399999999997</v>
      </c>
      <c r="T28" s="105">
        <v>18.232399999999998</v>
      </c>
      <c r="U28" s="35" t="s">
        <v>1622</v>
      </c>
      <c r="V28" s="35" t="s">
        <v>1652</v>
      </c>
      <c r="W28" s="105">
        <v>67.5</v>
      </c>
      <c r="X28" s="105">
        <v>32.402000000000001</v>
      </c>
      <c r="Y28" s="105">
        <v>5</v>
      </c>
      <c r="Z28" s="35" t="s">
        <v>8</v>
      </c>
      <c r="AA28">
        <f>VLOOKUP(A28,Cover!A:R,18,0)</f>
        <v>1</v>
      </c>
      <c r="AB28" s="77">
        <f t="shared" si="0"/>
        <v>56.45608</v>
      </c>
      <c r="AC28" s="77">
        <f t="shared" si="1"/>
        <v>46.894599999999997</v>
      </c>
      <c r="AD28" s="77">
        <f t="shared" si="2"/>
        <v>60.997937638189484</v>
      </c>
      <c r="AE28" s="77">
        <f t="shared" si="3"/>
        <v>56.504555827868991</v>
      </c>
      <c r="AF28" s="77">
        <f t="shared" si="4"/>
        <v>17.232399999999998</v>
      </c>
      <c r="AG28" s="77">
        <f t="shared" si="5"/>
        <v>32.312527188995389</v>
      </c>
      <c r="AH28" s="77">
        <f t="shared" si="6"/>
        <v>67.5</v>
      </c>
      <c r="AI28" s="77">
        <f t="shared" si="7"/>
        <v>35.097999999999999</v>
      </c>
      <c r="AJ28" s="77">
        <f t="shared" si="8"/>
        <v>32.402000000000001</v>
      </c>
      <c r="AK28" s="77">
        <f t="shared" si="9"/>
        <v>1</v>
      </c>
      <c r="AL28" s="77">
        <f t="shared" si="10"/>
        <v>31.402000000000001</v>
      </c>
      <c r="AM28" s="77">
        <f t="shared" si="11"/>
        <v>46.52148148148148</v>
      </c>
      <c r="AN28" s="52" t="s">
        <v>1563</v>
      </c>
      <c r="AO28" s="52" t="s">
        <v>1634</v>
      </c>
      <c r="AP28" t="str">
        <f t="shared" si="12"/>
        <v>DDm125-33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3"/>
        <v>DDm125-33</v>
      </c>
    </row>
    <row r="29" spans="1:53">
      <c r="A29" s="35" t="s">
        <v>45</v>
      </c>
      <c r="B29" s="35" t="s">
        <v>1620</v>
      </c>
      <c r="C29" s="35" t="s">
        <v>1647</v>
      </c>
      <c r="D29" s="35" t="s">
        <v>1568</v>
      </c>
      <c r="E29" s="35" t="s">
        <v>971</v>
      </c>
      <c r="F29" s="35" t="s">
        <v>1570</v>
      </c>
      <c r="G29" s="105">
        <v>36.6</v>
      </c>
      <c r="H29" s="105">
        <v>25</v>
      </c>
      <c r="I29" s="105">
        <v>101</v>
      </c>
      <c r="J29" s="105">
        <v>5.5045000000000002</v>
      </c>
      <c r="K29" s="106">
        <v>44754</v>
      </c>
      <c r="L29" s="105">
        <v>38.29824</v>
      </c>
      <c r="M29" s="105">
        <v>32.79374</v>
      </c>
      <c r="N29" s="105">
        <v>26.072800000000001</v>
      </c>
      <c r="O29" s="105">
        <v>20.568300000000001</v>
      </c>
      <c r="P29" s="35" t="s">
        <v>1574</v>
      </c>
      <c r="Q29" s="35" t="s">
        <v>1581</v>
      </c>
      <c r="R29" s="35" t="s">
        <v>1592</v>
      </c>
      <c r="S29" s="105">
        <v>35.553600000000003</v>
      </c>
      <c r="T29" s="105">
        <v>30.049099999999999</v>
      </c>
      <c r="U29" s="35" t="s">
        <v>1574</v>
      </c>
      <c r="V29" s="35" t="s">
        <v>1589</v>
      </c>
      <c r="W29" s="105">
        <v>45</v>
      </c>
      <c r="X29" s="105">
        <v>39.4955</v>
      </c>
      <c r="Y29" s="105">
        <v>23</v>
      </c>
      <c r="Z29" s="35" t="s">
        <v>1576</v>
      </c>
      <c r="AA29">
        <f>VLOOKUP(A29,Cover!A:R,18,0)</f>
        <v>9.4499999999999993</v>
      </c>
      <c r="AB29" s="77">
        <f t="shared" ref="AB29" si="20">M29-AA29</f>
        <v>23.34374</v>
      </c>
      <c r="AC29" s="77">
        <f t="shared" ref="AC29" si="21">O29-AA29</f>
        <v>11.118300000000001</v>
      </c>
      <c r="AD29" s="77">
        <f t="shared" ref="AD29" si="22">AB29/L29%</f>
        <v>60.952513744756942</v>
      </c>
      <c r="AE29" s="77">
        <f t="shared" ref="AE29" si="23">AC29/N29%</f>
        <v>42.643291092632936</v>
      </c>
      <c r="AF29" s="77">
        <f t="shared" ref="AF29" si="24">T29-AA29</f>
        <v>20.5991</v>
      </c>
      <c r="AG29" s="77">
        <f t="shared" ref="AG29" si="25">AF29/S29%</f>
        <v>57.938155348544164</v>
      </c>
      <c r="AH29" s="77">
        <f t="shared" ref="AH29" si="26">W29</f>
        <v>45</v>
      </c>
      <c r="AI29" s="77">
        <f t="shared" ref="AI29" si="27">J29</f>
        <v>5.5045000000000002</v>
      </c>
      <c r="AJ29" s="77">
        <f t="shared" ref="AJ29" si="28">AH29-AI29</f>
        <v>39.4955</v>
      </c>
      <c r="AK29" s="77">
        <f t="shared" ref="AK29" si="29">AA29</f>
        <v>9.4499999999999993</v>
      </c>
      <c r="AL29" s="77">
        <f t="shared" ref="AL29" si="30">AJ29-AK29</f>
        <v>30.045500000000001</v>
      </c>
      <c r="AM29" s="77">
        <f t="shared" ref="AM29" si="31">AL29/AH29%</f>
        <v>66.767777777777781</v>
      </c>
      <c r="AN29" s="52"/>
      <c r="AO29" s="52" t="s">
        <v>1634</v>
      </c>
      <c r="AP29" t="str">
        <f t="shared" si="12"/>
        <v>DDm125-33</v>
      </c>
      <c r="AQ29">
        <f>_xlfn.XLOOKUP(A29,'SYS Allocations'!A:A,'SYS Allocations'!B:B)</f>
        <v>0</v>
      </c>
      <c r="AR29" t="str">
        <f>_xlfn.XLOOKUP(A29,'SYS Allocations'!A:A,'SYS Allocations'!C:C)</f>
        <v>RA</v>
      </c>
      <c r="AS29" t="str">
        <f>_xlfn.XLOOKUP(A29,'SYS Allocations'!A:A,'SYS Allocations'!D:D)</f>
        <v>PX</v>
      </c>
      <c r="AT29">
        <f>_xlfn.XLOOKUP(A29,'SYS Allocations'!A:A,'SYS Allocations'!E:E)</f>
        <v>0</v>
      </c>
      <c r="AU29" t="str">
        <f>_xlfn.XLOOKUP(A29,'SYS Allocations'!A:A,'SYS Allocations'!F:F)</f>
        <v>OPEX</v>
      </c>
      <c r="BA29" t="str">
        <f t="shared" si="13"/>
        <v>DDm125-33</v>
      </c>
    </row>
    <row r="30" spans="1:53">
      <c r="A30" s="35" t="s">
        <v>46</v>
      </c>
      <c r="B30" s="35" t="s">
        <v>1620</v>
      </c>
      <c r="C30" s="35" t="s">
        <v>1647</v>
      </c>
      <c r="D30" s="35" t="s">
        <v>1568</v>
      </c>
      <c r="E30" s="35" t="s">
        <v>971</v>
      </c>
      <c r="F30" s="35" t="s">
        <v>1570</v>
      </c>
      <c r="G30" s="105">
        <v>36.6</v>
      </c>
      <c r="H30" s="105">
        <v>25</v>
      </c>
      <c r="I30" s="105">
        <v>138</v>
      </c>
      <c r="J30" s="105">
        <v>7.5209999999999999</v>
      </c>
      <c r="K30" s="106">
        <v>44754</v>
      </c>
      <c r="L30" s="105">
        <v>38.29824</v>
      </c>
      <c r="M30" s="105">
        <v>30.777239999999999</v>
      </c>
      <c r="N30" s="105">
        <v>26.072800000000001</v>
      </c>
      <c r="O30" s="105">
        <v>18.5518</v>
      </c>
      <c r="P30" s="35" t="s">
        <v>1574</v>
      </c>
      <c r="Q30" s="35" t="s">
        <v>1581</v>
      </c>
      <c r="R30" s="35" t="s">
        <v>1592</v>
      </c>
      <c r="S30" s="105">
        <v>35.553600000000003</v>
      </c>
      <c r="T30" s="105">
        <v>28.032599999999999</v>
      </c>
      <c r="U30" s="35" t="s">
        <v>1574</v>
      </c>
      <c r="V30" s="35" t="s">
        <v>1589</v>
      </c>
      <c r="W30" s="105">
        <v>45</v>
      </c>
      <c r="X30" s="105">
        <v>37.478999999999999</v>
      </c>
      <c r="Y30" s="105">
        <v>23</v>
      </c>
      <c r="Z30" s="35" t="s">
        <v>1576</v>
      </c>
      <c r="AA30">
        <f>VLOOKUP(A30,Cover!A:R,18,0)</f>
        <v>7.48</v>
      </c>
      <c r="AB30" s="77">
        <f t="shared" ref="AB30" si="32">M30-AA30</f>
        <v>23.297239999999999</v>
      </c>
      <c r="AC30" s="77">
        <f t="shared" ref="AC30" si="33">O30-AA30</f>
        <v>11.0718</v>
      </c>
      <c r="AD30" s="77">
        <f t="shared" ref="AD30" si="34">AB30/L30%</f>
        <v>60.831098243679079</v>
      </c>
      <c r="AE30" s="77">
        <f t="shared" ref="AE30" si="35">AC30/N30%</f>
        <v>42.464944309778772</v>
      </c>
      <c r="AF30" s="77">
        <f t="shared" ref="AF30" si="36">T30-AA30</f>
        <v>20.552599999999998</v>
      </c>
      <c r="AG30" s="77">
        <f t="shared" ref="AG30" si="37">AF30/S30%</f>
        <v>57.807366905179776</v>
      </c>
      <c r="AH30" s="77">
        <f t="shared" ref="AH30" si="38">W30</f>
        <v>45</v>
      </c>
      <c r="AI30" s="77">
        <f t="shared" ref="AI30" si="39">J30</f>
        <v>7.5209999999999999</v>
      </c>
      <c r="AJ30" s="77">
        <f t="shared" ref="AJ30" si="40">AH30-AI30</f>
        <v>37.478999999999999</v>
      </c>
      <c r="AK30" s="77">
        <f t="shared" ref="AK30" si="41">AA30</f>
        <v>7.48</v>
      </c>
      <c r="AL30" s="77">
        <f t="shared" ref="AL30" si="42">AJ30-AK30</f>
        <v>29.998999999999999</v>
      </c>
      <c r="AM30" s="77">
        <f t="shared" ref="AM30" si="43">AL30/AH30%</f>
        <v>66.664444444444442</v>
      </c>
      <c r="AO30" s="52" t="s">
        <v>1634</v>
      </c>
      <c r="AP30" t="str">
        <f t="shared" si="12"/>
        <v>DDm125-33</v>
      </c>
      <c r="AQ30">
        <f>_xlfn.XLOOKUP(A30,'SYS Allocations'!A:A,'SYS Allocations'!B:B)</f>
        <v>0</v>
      </c>
      <c r="AR30">
        <f>_xlfn.XLOOKUP(A30,'SYS Allocations'!A:A,'SYS Allocations'!C:C)</f>
        <v>0</v>
      </c>
      <c r="AS30">
        <f>_xlfn.XLOOKUP(A30,'SYS Allocations'!A:A,'SYS Allocations'!D:D)</f>
        <v>0</v>
      </c>
      <c r="AT30">
        <f>_xlfn.XLOOKUP(A30,'SYS Allocations'!A:A,'SYS Allocations'!E:E)</f>
        <v>0</v>
      </c>
      <c r="AU30">
        <f>_xlfn.XLOOKUP(A30,'SYS Allocations'!A:A,'SYS Allocations'!F:F)</f>
        <v>0</v>
      </c>
      <c r="BA30" t="str">
        <f t="shared" si="13"/>
        <v>DDm125-33</v>
      </c>
    </row>
    <row r="31" spans="1:53">
      <c r="A31" s="35" t="s">
        <v>47</v>
      </c>
      <c r="B31" s="35" t="s">
        <v>1620</v>
      </c>
      <c r="C31" s="35" t="s">
        <v>1647</v>
      </c>
      <c r="D31" s="35" t="s">
        <v>1568</v>
      </c>
      <c r="E31" s="35" t="s">
        <v>946</v>
      </c>
      <c r="F31" s="35" t="s">
        <v>1570</v>
      </c>
      <c r="G31" s="105">
        <v>36.6</v>
      </c>
      <c r="H31" s="105">
        <v>26</v>
      </c>
      <c r="I31" s="105">
        <v>133</v>
      </c>
      <c r="J31" s="105">
        <v>7.2484999999999999</v>
      </c>
      <c r="K31" s="106">
        <v>45264</v>
      </c>
      <c r="L31" s="105">
        <v>39.893999999999998</v>
      </c>
      <c r="M31" s="105">
        <v>32.645499999999998</v>
      </c>
      <c r="N31" s="105">
        <v>28.067499999999999</v>
      </c>
      <c r="O31" s="105">
        <v>20.818999999999999</v>
      </c>
      <c r="P31" s="35" t="s">
        <v>1574</v>
      </c>
      <c r="Q31" s="35" t="s">
        <v>1581</v>
      </c>
      <c r="R31" s="35" t="s">
        <v>1592</v>
      </c>
      <c r="S31" s="105">
        <v>35.553600000000003</v>
      </c>
      <c r="T31" s="105">
        <v>28.305099999999999</v>
      </c>
      <c r="U31" s="35" t="s">
        <v>1610</v>
      </c>
      <c r="V31" s="35" t="s">
        <v>1653</v>
      </c>
      <c r="W31" s="105">
        <v>90</v>
      </c>
      <c r="X31" s="105">
        <v>82.751499999999993</v>
      </c>
      <c r="Y31" s="105">
        <v>12</v>
      </c>
      <c r="Z31" s="35" t="s">
        <v>1576</v>
      </c>
      <c r="AA31">
        <f>VLOOKUP(A31,Cover!A:R,18,0)</f>
        <v>2.4</v>
      </c>
      <c r="AB31" s="77">
        <f t="shared" si="0"/>
        <v>30.2455</v>
      </c>
      <c r="AC31" s="77">
        <f t="shared" si="1"/>
        <v>18.419</v>
      </c>
      <c r="AD31" s="77">
        <f t="shared" si="2"/>
        <v>75.81465884594175</v>
      </c>
      <c r="AE31" s="77">
        <f t="shared" si="3"/>
        <v>65.623942281998751</v>
      </c>
      <c r="AF31" s="77">
        <f t="shared" si="4"/>
        <v>25.905100000000001</v>
      </c>
      <c r="AG31" s="77">
        <f t="shared" si="5"/>
        <v>72.862101165564098</v>
      </c>
      <c r="AH31" s="77">
        <f t="shared" si="6"/>
        <v>90</v>
      </c>
      <c r="AI31" s="77">
        <f t="shared" si="7"/>
        <v>7.2484999999999999</v>
      </c>
      <c r="AJ31" s="77">
        <f t="shared" si="8"/>
        <v>82.751499999999993</v>
      </c>
      <c r="AK31" s="77">
        <f t="shared" si="9"/>
        <v>2.4</v>
      </c>
      <c r="AL31" s="77">
        <f t="shared" si="10"/>
        <v>80.351499999999987</v>
      </c>
      <c r="AM31" s="77">
        <f t="shared" si="11"/>
        <v>89.279444444444422</v>
      </c>
      <c r="AO31" s="52" t="s">
        <v>1634</v>
      </c>
      <c r="AP31" t="str">
        <f t="shared" si="12"/>
        <v>DDm125-33</v>
      </c>
      <c r="AQ31">
        <f>_xlfn.XLOOKUP(A31,'SYS Allocations'!A:A,'SYS Allocations'!B:B)</f>
        <v>0</v>
      </c>
      <c r="AR31" t="str">
        <f>_xlfn.XLOOKUP(A31,'SYS Allocations'!A:A,'SYS Allocations'!C:C)</f>
        <v>RA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3"/>
        <v>DDm125-33</v>
      </c>
    </row>
    <row r="32" spans="1:53">
      <c r="A32" s="35" t="s">
        <v>48</v>
      </c>
      <c r="B32" s="35" t="s">
        <v>1620</v>
      </c>
      <c r="C32" s="35" t="s">
        <v>1647</v>
      </c>
      <c r="D32" s="35" t="s">
        <v>1568</v>
      </c>
      <c r="E32" s="35" t="s">
        <v>946</v>
      </c>
      <c r="F32" s="35" t="s">
        <v>1570</v>
      </c>
      <c r="G32" s="105">
        <v>36.6</v>
      </c>
      <c r="H32" s="105">
        <v>25</v>
      </c>
      <c r="I32" s="105">
        <v>160</v>
      </c>
      <c r="J32" s="105">
        <v>8.7200000000000006</v>
      </c>
      <c r="K32" s="106">
        <v>45264</v>
      </c>
      <c r="L32" s="105">
        <v>38.29824</v>
      </c>
      <c r="M32" s="105">
        <v>29.578240000000001</v>
      </c>
      <c r="N32" s="105">
        <v>26.072800000000001</v>
      </c>
      <c r="O32" s="105">
        <v>17.352799999999998</v>
      </c>
      <c r="P32" s="35" t="s">
        <v>1574</v>
      </c>
      <c r="Q32" s="35" t="s">
        <v>1581</v>
      </c>
      <c r="R32" s="35" t="s">
        <v>1592</v>
      </c>
      <c r="S32" s="105">
        <v>35.553600000000003</v>
      </c>
      <c r="T32" s="105">
        <v>26.833600000000001</v>
      </c>
      <c r="U32" s="35" t="s">
        <v>1610</v>
      </c>
      <c r="V32" s="35" t="s">
        <v>1653</v>
      </c>
      <c r="W32" s="105">
        <v>90</v>
      </c>
      <c r="X32" s="105">
        <v>81.28</v>
      </c>
      <c r="Y32" s="105">
        <v>12</v>
      </c>
      <c r="Z32" s="35" t="s">
        <v>1576</v>
      </c>
      <c r="AA32">
        <f>VLOOKUP(A32,Cover!A:R,18,0)</f>
        <v>2.5</v>
      </c>
      <c r="AB32" s="77">
        <f t="shared" si="0"/>
        <v>27.078240000000001</v>
      </c>
      <c r="AC32" s="77">
        <f t="shared" si="1"/>
        <v>14.852799999999998</v>
      </c>
      <c r="AD32" s="77">
        <f t="shared" si="2"/>
        <v>70.703614578633378</v>
      </c>
      <c r="AE32" s="77">
        <f t="shared" si="3"/>
        <v>56.966647233898918</v>
      </c>
      <c r="AF32" s="77">
        <f t="shared" si="4"/>
        <v>24.333600000000001</v>
      </c>
      <c r="AG32" s="77">
        <f t="shared" si="5"/>
        <v>68.442014310787087</v>
      </c>
      <c r="AH32" s="77">
        <f t="shared" si="6"/>
        <v>90</v>
      </c>
      <c r="AI32" s="77">
        <f t="shared" si="7"/>
        <v>8.7200000000000006</v>
      </c>
      <c r="AJ32" s="77">
        <f t="shared" si="8"/>
        <v>81.28</v>
      </c>
      <c r="AK32" s="77">
        <f t="shared" si="9"/>
        <v>2.5</v>
      </c>
      <c r="AL32" s="77">
        <f t="shared" si="10"/>
        <v>78.78</v>
      </c>
      <c r="AM32" s="77">
        <f t="shared" si="11"/>
        <v>87.533333333333331</v>
      </c>
      <c r="AO32" s="52" t="s">
        <v>1634</v>
      </c>
      <c r="AP32" t="str">
        <f t="shared" si="12"/>
        <v>DDm125-33</v>
      </c>
      <c r="AQ32">
        <f>_xlfn.XLOOKUP(A32,'SYS Allocations'!A:A,'SYS Allocations'!B:B)</f>
        <v>0</v>
      </c>
      <c r="AR32">
        <f>_xlfn.XLOOKUP(A32,'SYS Allocations'!A:A,'SYS Allocations'!C:C)</f>
        <v>0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3"/>
        <v>DDm125-33</v>
      </c>
    </row>
    <row r="33" spans="1:53">
      <c r="A33" s="35" t="s">
        <v>49</v>
      </c>
      <c r="B33" s="35" t="s">
        <v>1590</v>
      </c>
      <c r="C33" s="35" t="s">
        <v>1654</v>
      </c>
      <c r="D33" s="35" t="s">
        <v>1563</v>
      </c>
      <c r="E33" s="35" t="s">
        <v>808</v>
      </c>
      <c r="F33" s="35" t="s">
        <v>1625</v>
      </c>
      <c r="G33" s="105">
        <v>55</v>
      </c>
      <c r="H33" s="105">
        <v>9</v>
      </c>
      <c r="I33" s="105">
        <v>194</v>
      </c>
      <c r="J33" s="105">
        <v>10.573</v>
      </c>
      <c r="K33" s="106">
        <v>44433.5625</v>
      </c>
      <c r="L33" s="105">
        <v>19.184000000000001</v>
      </c>
      <c r="M33" s="105">
        <v>8.6110000000000007</v>
      </c>
      <c r="N33" s="105">
        <v>14.251749999999999</v>
      </c>
      <c r="O33" s="105">
        <v>3.67875</v>
      </c>
      <c r="P33" s="35" t="s">
        <v>1571</v>
      </c>
      <c r="Q33" s="35" t="s">
        <v>1581</v>
      </c>
      <c r="R33" s="35" t="s">
        <v>1609</v>
      </c>
      <c r="S33" s="105">
        <v>15.1632</v>
      </c>
      <c r="T33" s="105">
        <v>4.5901999999999896</v>
      </c>
      <c r="U33" s="35" t="s">
        <v>1571</v>
      </c>
      <c r="V33" s="35" t="s">
        <v>1615</v>
      </c>
      <c r="W33" s="105">
        <v>15</v>
      </c>
      <c r="X33" s="105">
        <v>4.4269999999999996</v>
      </c>
      <c r="Y33" s="105">
        <v>0</v>
      </c>
      <c r="Z33" s="35" t="s">
        <v>8</v>
      </c>
      <c r="AA33">
        <f>VLOOKUP(A33,Cover!A:R,18,0)</f>
        <v>1</v>
      </c>
      <c r="AB33" s="77">
        <f t="shared" si="0"/>
        <v>7.6110000000000007</v>
      </c>
      <c r="AC33" s="77">
        <f t="shared" si="1"/>
        <v>2.67875</v>
      </c>
      <c r="AD33" s="77">
        <f t="shared" si="2"/>
        <v>39.673686405337783</v>
      </c>
      <c r="AE33" s="77">
        <f t="shared" si="3"/>
        <v>18.795937341028296</v>
      </c>
      <c r="AF33" s="77">
        <f t="shared" si="4"/>
        <v>3.5901999999999896</v>
      </c>
      <c r="AG33" s="77">
        <f t="shared" si="5"/>
        <v>23.677060251134257</v>
      </c>
      <c r="AH33" s="77">
        <f t="shared" si="6"/>
        <v>15</v>
      </c>
      <c r="AI33" s="77">
        <f t="shared" si="7"/>
        <v>10.573</v>
      </c>
      <c r="AJ33" s="77">
        <f t="shared" si="8"/>
        <v>4.4269999999999996</v>
      </c>
      <c r="AK33" s="77">
        <f t="shared" si="9"/>
        <v>1</v>
      </c>
      <c r="AL33" s="77">
        <f t="shared" si="10"/>
        <v>3.4269999999999996</v>
      </c>
      <c r="AM33" s="77">
        <f t="shared" si="11"/>
        <v>22.846666666666664</v>
      </c>
      <c r="AN33" s="52" t="s">
        <v>1563</v>
      </c>
      <c r="AO33" t="s">
        <v>1577</v>
      </c>
      <c r="AP33" t="str">
        <f t="shared" si="12"/>
        <v>2DDm85-15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3"/>
        <v>2DDm85-15</v>
      </c>
    </row>
    <row r="34" spans="1:53">
      <c r="A34" s="35" t="s">
        <v>50</v>
      </c>
      <c r="B34" s="35" t="s">
        <v>1655</v>
      </c>
      <c r="C34" s="35" t="s">
        <v>1656</v>
      </c>
      <c r="D34" s="35" t="s">
        <v>1657</v>
      </c>
      <c r="E34" s="35" t="s">
        <v>1116</v>
      </c>
      <c r="F34" s="35" t="s">
        <v>1614</v>
      </c>
      <c r="G34" s="105">
        <v>23</v>
      </c>
      <c r="H34" s="105">
        <v>6</v>
      </c>
      <c r="I34" s="105">
        <v>39</v>
      </c>
      <c r="J34" s="105">
        <v>2.1255000000000002</v>
      </c>
      <c r="K34" s="106">
        <v>45264</v>
      </c>
      <c r="L34" s="105">
        <v>5.0140000000000002</v>
      </c>
      <c r="M34" s="105">
        <v>2.8885000000000001</v>
      </c>
      <c r="N34" s="105">
        <v>5.9950000000000001</v>
      </c>
      <c r="O34" s="105">
        <v>3.8694999999999999</v>
      </c>
      <c r="P34" s="35" t="s">
        <v>1610</v>
      </c>
      <c r="Q34" s="35" t="s">
        <v>1599</v>
      </c>
      <c r="R34" s="35" t="s">
        <v>1600</v>
      </c>
      <c r="S34" s="105">
        <v>4.32</v>
      </c>
      <c r="T34" s="105">
        <v>2.1945000000000001</v>
      </c>
      <c r="U34" s="35" t="s">
        <v>1658</v>
      </c>
      <c r="V34" s="35" t="s">
        <v>1610</v>
      </c>
      <c r="W34" s="105">
        <v>3.75</v>
      </c>
      <c r="X34" s="105">
        <v>1.6245000000000001</v>
      </c>
      <c r="Y34" s="105">
        <v>0</v>
      </c>
      <c r="Z34" s="35" t="s">
        <v>1659</v>
      </c>
      <c r="AA34">
        <f>VLOOKUP(A34,Cover!A:R,18,0)</f>
        <v>0</v>
      </c>
      <c r="AB34" s="77">
        <f t="shared" si="0"/>
        <v>2.8885000000000001</v>
      </c>
      <c r="AC34" s="77">
        <f t="shared" si="1"/>
        <v>3.8694999999999999</v>
      </c>
      <c r="AD34" s="77">
        <f t="shared" si="2"/>
        <v>57.608695652173907</v>
      </c>
      <c r="AE34" s="77">
        <f t="shared" si="3"/>
        <v>64.545454545454547</v>
      </c>
      <c r="AF34" s="77">
        <f t="shared" si="4"/>
        <v>2.1945000000000001</v>
      </c>
      <c r="AG34" s="77">
        <f t="shared" si="5"/>
        <v>50.798611111111114</v>
      </c>
      <c r="AH34" s="77">
        <f t="shared" si="6"/>
        <v>3.75</v>
      </c>
      <c r="AI34" s="77">
        <f t="shared" si="7"/>
        <v>2.1255000000000002</v>
      </c>
      <c r="AJ34" s="77">
        <f t="shared" si="8"/>
        <v>1.6244999999999998</v>
      </c>
      <c r="AK34" s="77">
        <f t="shared" si="9"/>
        <v>0</v>
      </c>
      <c r="AL34" s="77">
        <f t="shared" si="10"/>
        <v>1.6244999999999998</v>
      </c>
      <c r="AM34" s="77">
        <f t="shared" si="11"/>
        <v>43.32</v>
      </c>
      <c r="AN34" s="52" t="s">
        <v>1563</v>
      </c>
      <c r="AO34" t="s">
        <v>1577</v>
      </c>
      <c r="AP34" t="str">
        <f t="shared" si="12"/>
        <v>SBS C11F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3"/>
        <v>SBS C11F</v>
      </c>
    </row>
    <row r="35" spans="1:53">
      <c r="A35" s="35" t="s">
        <v>51</v>
      </c>
      <c r="B35" s="35" t="s">
        <v>1655</v>
      </c>
      <c r="C35" s="35" t="s">
        <v>1660</v>
      </c>
      <c r="D35" s="35" t="s">
        <v>1613</v>
      </c>
      <c r="E35" s="35" t="s">
        <v>1661</v>
      </c>
      <c r="F35" s="35" t="s">
        <v>1570</v>
      </c>
      <c r="G35" s="105">
        <v>36.6</v>
      </c>
      <c r="H35" s="105">
        <v>9</v>
      </c>
      <c r="I35" s="105">
        <v>53</v>
      </c>
      <c r="J35" s="105">
        <v>2.8885000000000001</v>
      </c>
      <c r="K35" s="106">
        <v>45264</v>
      </c>
      <c r="L35" s="105">
        <v>12.766080000000001</v>
      </c>
      <c r="M35" s="105">
        <v>9.87758</v>
      </c>
      <c r="N35" s="105">
        <v>9.4720999999999993</v>
      </c>
      <c r="O35" s="105">
        <v>6.5835999999999997</v>
      </c>
      <c r="P35" s="35" t="s">
        <v>1574</v>
      </c>
      <c r="Q35" s="35" t="s">
        <v>1581</v>
      </c>
      <c r="R35" s="35" t="s">
        <v>1609</v>
      </c>
      <c r="S35" s="105">
        <v>10.1088</v>
      </c>
      <c r="T35" s="105">
        <v>7.2202999999999804</v>
      </c>
      <c r="U35" s="35" t="s">
        <v>1571</v>
      </c>
      <c r="V35" s="35" t="s">
        <v>1583</v>
      </c>
      <c r="W35" s="105">
        <v>22.5</v>
      </c>
      <c r="X35" s="105">
        <v>19.611499999999999</v>
      </c>
      <c r="Y35" s="105">
        <v>20</v>
      </c>
      <c r="Z35" s="35" t="s">
        <v>1576</v>
      </c>
      <c r="AA35">
        <f>VLOOKUP(A35,Cover!A:R,18,0)</f>
        <v>3</v>
      </c>
      <c r="AB35" s="77">
        <f t="shared" si="0"/>
        <v>6.87758</v>
      </c>
      <c r="AC35" s="77">
        <f t="shared" si="1"/>
        <v>3.5835999999999997</v>
      </c>
      <c r="AD35" s="77">
        <f t="shared" si="2"/>
        <v>53.873859477615675</v>
      </c>
      <c r="AE35" s="77">
        <f t="shared" si="3"/>
        <v>37.833215443249117</v>
      </c>
      <c r="AF35" s="77">
        <f t="shared" si="4"/>
        <v>4.2202999999999804</v>
      </c>
      <c r="AG35" s="77">
        <f t="shared" si="5"/>
        <v>41.748773345995367</v>
      </c>
      <c r="AH35" s="77">
        <f t="shared" si="6"/>
        <v>22.5</v>
      </c>
      <c r="AI35" s="77">
        <f t="shared" si="7"/>
        <v>2.8885000000000001</v>
      </c>
      <c r="AJ35" s="77">
        <f t="shared" si="8"/>
        <v>19.611499999999999</v>
      </c>
      <c r="AK35" s="77">
        <f t="shared" si="9"/>
        <v>3</v>
      </c>
      <c r="AL35" s="77">
        <f t="shared" si="10"/>
        <v>16.611499999999999</v>
      </c>
      <c r="AM35" s="77">
        <f t="shared" si="11"/>
        <v>73.828888888888883</v>
      </c>
      <c r="AO35" t="s">
        <v>1577</v>
      </c>
      <c r="AP35" t="str">
        <f t="shared" si="12"/>
        <v>2DDm85-15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3"/>
        <v>2DDm85-15</v>
      </c>
    </row>
    <row r="36" spans="1:53">
      <c r="A36" s="35" t="s">
        <v>52</v>
      </c>
      <c r="B36" s="35" t="s">
        <v>1607</v>
      </c>
      <c r="C36" s="35" t="s">
        <v>1662</v>
      </c>
      <c r="D36" s="35" t="s">
        <v>1568</v>
      </c>
      <c r="E36" s="35" t="s">
        <v>1433</v>
      </c>
      <c r="F36" s="35" t="s">
        <v>1570</v>
      </c>
      <c r="G36" s="105">
        <v>36.6</v>
      </c>
      <c r="H36" s="105">
        <v>61</v>
      </c>
      <c r="I36" s="105">
        <v>992</v>
      </c>
      <c r="J36" s="105">
        <v>54.064</v>
      </c>
      <c r="K36" s="106">
        <v>45264</v>
      </c>
      <c r="L36" s="105">
        <v>95.745599999999996</v>
      </c>
      <c r="M36" s="105">
        <v>41.681600000000003</v>
      </c>
      <c r="N36" s="105">
        <v>86.981999999999999</v>
      </c>
      <c r="O36" s="105">
        <v>32.917999999999999</v>
      </c>
      <c r="P36" s="35" t="s">
        <v>1571</v>
      </c>
      <c r="Q36" s="35" t="s">
        <v>1581</v>
      </c>
      <c r="R36" s="35" t="s">
        <v>1592</v>
      </c>
      <c r="S36" s="105">
        <v>53.330399999999997</v>
      </c>
      <c r="T36" s="105">
        <v>-0.73360000000001702</v>
      </c>
      <c r="U36" s="35" t="s">
        <v>1663</v>
      </c>
      <c r="V36" s="35" t="s">
        <v>1664</v>
      </c>
      <c r="W36" s="105">
        <v>371.25</v>
      </c>
      <c r="X36" s="105">
        <v>317.18599999999998</v>
      </c>
      <c r="Y36" s="105">
        <v>103</v>
      </c>
      <c r="Z36" s="35" t="s">
        <v>1576</v>
      </c>
      <c r="AA36">
        <f>VLOOKUP(A36,Cover!A:R,18,0)</f>
        <v>27.799999999999997</v>
      </c>
      <c r="AB36" s="77">
        <f t="shared" si="0"/>
        <v>13.881600000000006</v>
      </c>
      <c r="AC36" s="77">
        <f t="shared" si="1"/>
        <v>5.1180000000000021</v>
      </c>
      <c r="AD36" s="77">
        <f t="shared" si="2"/>
        <v>14.498420815160181</v>
      </c>
      <c r="AE36" s="77">
        <f t="shared" si="3"/>
        <v>5.8839759950334569</v>
      </c>
      <c r="AF36" s="77">
        <f t="shared" si="4"/>
        <v>-28.533600000000014</v>
      </c>
      <c r="AG36" s="77">
        <f t="shared" si="5"/>
        <v>-53.503442689347942</v>
      </c>
      <c r="AH36" s="346">
        <f>AVERAGE(W36:W38)</f>
        <v>371.25</v>
      </c>
      <c r="AI36" s="346">
        <f>SUM(J36:J38)</f>
        <v>184.64600000000002</v>
      </c>
      <c r="AJ36" s="346">
        <f>AH36-AI36</f>
        <v>186.60399999999998</v>
      </c>
      <c r="AK36" s="346">
        <f>SUM(AA36:AA38)</f>
        <v>111.24999999999999</v>
      </c>
      <c r="AL36" s="346">
        <f>AJ36-AK36</f>
        <v>75.353999999999999</v>
      </c>
      <c r="AM36" s="345">
        <f>AL36/AH36%</f>
        <v>20.297373737373739</v>
      </c>
      <c r="AO36" t="s">
        <v>1577</v>
      </c>
      <c r="AP36" t="str">
        <f t="shared" si="12"/>
        <v>DDm125-33</v>
      </c>
      <c r="AQ36" t="str">
        <f>_xlfn.XLOOKUP(A36,'SYS Allocations'!A:A,'SYS Allocations'!B:B)</f>
        <v>P-Core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3"/>
        <v>DDm125-33</v>
      </c>
    </row>
    <row r="37" spans="1:53">
      <c r="A37" s="35" t="s">
        <v>53</v>
      </c>
      <c r="B37" s="35" t="s">
        <v>1607</v>
      </c>
      <c r="C37" s="35" t="s">
        <v>1662</v>
      </c>
      <c r="D37" s="35" t="s">
        <v>1568</v>
      </c>
      <c r="E37" s="35" t="s">
        <v>1433</v>
      </c>
      <c r="F37" s="35" t="s">
        <v>1570</v>
      </c>
      <c r="G37" s="105">
        <v>36.6</v>
      </c>
      <c r="H37" s="105">
        <v>57</v>
      </c>
      <c r="I37" s="105">
        <v>1374</v>
      </c>
      <c r="J37" s="105">
        <v>74.882999999999996</v>
      </c>
      <c r="K37" s="106">
        <v>45264</v>
      </c>
      <c r="L37" s="105">
        <v>89.362560000000002</v>
      </c>
      <c r="M37" s="105">
        <v>14.479559999999999</v>
      </c>
      <c r="N37" s="105">
        <v>46.303199999999997</v>
      </c>
      <c r="O37" s="107">
        <v>-28.579799999999999</v>
      </c>
      <c r="P37" s="35" t="s">
        <v>1618</v>
      </c>
      <c r="Q37" s="35" t="s">
        <v>1581</v>
      </c>
      <c r="R37" s="35" t="s">
        <v>1592</v>
      </c>
      <c r="S37" s="105">
        <v>106.66079999999999</v>
      </c>
      <c r="T37" s="105">
        <v>31.777800000000099</v>
      </c>
      <c r="U37" s="35" t="s">
        <v>1663</v>
      </c>
      <c r="V37" s="35" t="s">
        <v>1664</v>
      </c>
      <c r="W37" s="105">
        <v>371.25</v>
      </c>
      <c r="X37" s="105">
        <v>296.36700000000002</v>
      </c>
      <c r="Y37" s="105">
        <v>103</v>
      </c>
      <c r="Z37" s="35" t="s">
        <v>1576</v>
      </c>
      <c r="AA37">
        <f>VLOOKUP(A37,Cover!A:R,18,0)</f>
        <v>19</v>
      </c>
      <c r="AB37" s="77">
        <f t="shared" si="0"/>
        <v>-4.5204400000000007</v>
      </c>
      <c r="AC37" s="77">
        <f t="shared" si="1"/>
        <v>-47.579799999999999</v>
      </c>
      <c r="AD37" s="77">
        <f t="shared" si="2"/>
        <v>-5.0585390570726716</v>
      </c>
      <c r="AE37" s="77">
        <f t="shared" si="3"/>
        <v>-102.75704486946907</v>
      </c>
      <c r="AF37" s="77">
        <f t="shared" si="4"/>
        <v>12.777800000000099</v>
      </c>
      <c r="AG37" s="77">
        <f t="shared" si="5"/>
        <v>11.979846391551629</v>
      </c>
      <c r="AH37" s="346"/>
      <c r="AI37" s="346"/>
      <c r="AJ37" s="346"/>
      <c r="AK37" s="346"/>
      <c r="AL37" s="346"/>
      <c r="AM37" s="345"/>
      <c r="AO37" t="s">
        <v>1634</v>
      </c>
      <c r="AP37" t="str">
        <f>TRIM(BA37)</f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3"/>
        <v>DDm125-33</v>
      </c>
    </row>
    <row r="38" spans="1:53">
      <c r="A38" s="35" t="s">
        <v>54</v>
      </c>
      <c r="B38" s="35" t="s">
        <v>1607</v>
      </c>
      <c r="C38" s="35" t="s">
        <v>1662</v>
      </c>
      <c r="D38" s="35" t="s">
        <v>1568</v>
      </c>
      <c r="E38" s="35" t="s">
        <v>1433</v>
      </c>
      <c r="F38" s="35" t="s">
        <v>1665</v>
      </c>
      <c r="G38" s="105">
        <v>55</v>
      </c>
      <c r="H38" s="105">
        <v>102</v>
      </c>
      <c r="I38" s="105">
        <v>1022</v>
      </c>
      <c r="J38" s="105">
        <v>55.698999999999998</v>
      </c>
      <c r="K38" s="106">
        <v>45264</v>
      </c>
      <c r="L38" s="105">
        <v>242.19800000000001</v>
      </c>
      <c r="M38" s="105">
        <v>186.499</v>
      </c>
      <c r="N38" s="105">
        <v>171.94749999999999</v>
      </c>
      <c r="O38" s="105">
        <v>116.24850000000001</v>
      </c>
      <c r="P38" s="35" t="s">
        <v>1663</v>
      </c>
      <c r="Q38" s="35" t="s">
        <v>1581</v>
      </c>
      <c r="R38" s="35" t="s">
        <v>1592</v>
      </c>
      <c r="S38" s="105">
        <v>213.32159999999999</v>
      </c>
      <c r="T38" s="105">
        <v>157.62260000000001</v>
      </c>
      <c r="U38" s="35" t="s">
        <v>1663</v>
      </c>
      <c r="V38" s="35" t="s">
        <v>1664</v>
      </c>
      <c r="W38" s="105">
        <v>371.25</v>
      </c>
      <c r="X38" s="105">
        <v>315.55099999999999</v>
      </c>
      <c r="Y38" s="105">
        <v>103</v>
      </c>
      <c r="Z38" s="35" t="s">
        <v>1576</v>
      </c>
      <c r="AA38">
        <f>VLOOKUP(A38,Cover!A:R,18,0)</f>
        <v>64.449999999999989</v>
      </c>
      <c r="AB38" s="77">
        <f>M38-AA38</f>
        <v>122.04900000000001</v>
      </c>
      <c r="AC38" s="77">
        <f>O38-AA38</f>
        <v>51.798500000000018</v>
      </c>
      <c r="AD38" s="77">
        <f>AB38/L38%</f>
        <v>50.392241058968281</v>
      </c>
      <c r="AE38" s="77">
        <f>AC38/N38%</f>
        <v>30.124601986071344</v>
      </c>
      <c r="AF38" s="77">
        <f>T38-AA38</f>
        <v>93.172600000000017</v>
      </c>
      <c r="AG38" s="77">
        <f>AF38/S38%</f>
        <v>43.677058488216858</v>
      </c>
      <c r="AH38" s="346"/>
      <c r="AI38" s="346"/>
      <c r="AJ38" s="346"/>
      <c r="AK38" s="346"/>
      <c r="AL38" s="346"/>
      <c r="AM38" s="345"/>
      <c r="AO38" t="s">
        <v>1634</v>
      </c>
      <c r="AP38" t="str">
        <f>TRIM(BA38)</f>
        <v>DDm125-33</v>
      </c>
      <c r="AQ38" t="str">
        <f>_xlfn.XLOOKUP(A38,'SYS Allocations'!A:A,'SYS Allocations'!B:B)</f>
        <v>P-Core</v>
      </c>
      <c r="AU38" t="str">
        <f>_xlfn.XLOOKUP(A38,'SYS Allocations'!A:A,'SYS Allocations'!F:F)</f>
        <v>OPEX</v>
      </c>
      <c r="BA38" t="str">
        <f>IFERROR(LEFT(R38,FIND("(",R38,1)-1),R38)</f>
        <v>DDm125-33</v>
      </c>
    </row>
    <row r="39" spans="1:53">
      <c r="A39" s="35" t="s">
        <v>55</v>
      </c>
      <c r="B39" s="35" t="s">
        <v>1607</v>
      </c>
      <c r="C39" s="35" t="s">
        <v>1662</v>
      </c>
      <c r="D39" s="35" t="s">
        <v>1568</v>
      </c>
      <c r="E39" s="35" t="s">
        <v>1452</v>
      </c>
      <c r="F39" s="35" t="s">
        <v>1625</v>
      </c>
      <c r="G39" s="105">
        <v>55</v>
      </c>
      <c r="H39" s="105">
        <v>102</v>
      </c>
      <c r="I39" s="105">
        <v>1267</v>
      </c>
      <c r="J39" s="105">
        <v>69.051500000000004</v>
      </c>
      <c r="K39" s="106">
        <v>45264</v>
      </c>
      <c r="L39" s="105">
        <v>242.19800000000001</v>
      </c>
      <c r="M39" s="105">
        <v>173.1465</v>
      </c>
      <c r="N39" s="105">
        <v>171.94749999999999</v>
      </c>
      <c r="O39" s="105">
        <v>102.896</v>
      </c>
      <c r="P39" s="35" t="s">
        <v>1663</v>
      </c>
      <c r="Q39" s="35" t="s">
        <v>1581</v>
      </c>
      <c r="R39" s="35" t="s">
        <v>1592</v>
      </c>
      <c r="S39" s="105">
        <v>213.32159999999999</v>
      </c>
      <c r="T39" s="105">
        <v>144.27010000000001</v>
      </c>
      <c r="U39" s="35" t="s">
        <v>1575</v>
      </c>
      <c r="V39" s="35" t="s">
        <v>1666</v>
      </c>
      <c r="W39" s="105">
        <v>498</v>
      </c>
      <c r="X39" s="105">
        <v>428.94850000000002</v>
      </c>
      <c r="Y39" s="105">
        <v>23</v>
      </c>
      <c r="Z39" s="35" t="s">
        <v>1576</v>
      </c>
      <c r="AA39">
        <f>VLOOKUP(A39,Cover!A:R,18,0)</f>
        <v>64.449999999999989</v>
      </c>
      <c r="AB39" s="77">
        <f>M39-AA39</f>
        <v>108.69650000000001</v>
      </c>
      <c r="AC39" s="77">
        <f>O39-AA39</f>
        <v>38.446000000000012</v>
      </c>
      <c r="AD39" s="77">
        <f>AB39/L39%</f>
        <v>44.879189753837778</v>
      </c>
      <c r="AE39" s="77">
        <f>AC39/N39%</f>
        <v>22.359150322045981</v>
      </c>
      <c r="AF39" s="77">
        <f>T39-AA39</f>
        <v>79.820100000000025</v>
      </c>
      <c r="AG39" s="77">
        <f>AF39/S39%</f>
        <v>37.417729850141768</v>
      </c>
      <c r="AH39" s="77">
        <f>W39</f>
        <v>498</v>
      </c>
      <c r="AI39" s="77">
        <f t="shared" si="7"/>
        <v>69.051500000000004</v>
      </c>
      <c r="AJ39" s="77">
        <f t="shared" si="8"/>
        <v>428.94849999999997</v>
      </c>
      <c r="AK39" s="77">
        <f t="shared" si="9"/>
        <v>64.449999999999989</v>
      </c>
      <c r="AL39" s="77">
        <f t="shared" si="10"/>
        <v>364.49849999999998</v>
      </c>
      <c r="AM39" s="77">
        <f t="shared" si="11"/>
        <v>73.192469879518057</v>
      </c>
      <c r="AO39" t="s">
        <v>1577</v>
      </c>
      <c r="AP39" t="str">
        <f>TRIM(BA39)</f>
        <v>DDm125-33</v>
      </c>
      <c r="AQ39">
        <f>_xlfn.XLOOKUP(A39,'SYS Allocations'!A:A,'SYS Allocations'!B:B)</f>
        <v>0</v>
      </c>
      <c r="AR39">
        <f>_xlfn.XLOOKUP(A39,'SYS Allocations'!A:A,'SYS Allocations'!C:C)</f>
        <v>0</v>
      </c>
      <c r="AS39">
        <f>_xlfn.XLOOKUP(A39,'SYS Allocations'!A:A,'SYS Allocations'!D:D)</f>
        <v>0</v>
      </c>
      <c r="AT39">
        <f>_xlfn.XLOOKUP(A39,'SYS Allocations'!A:A,'SYS Allocations'!E:E)</f>
        <v>0</v>
      </c>
      <c r="AU39">
        <f>_xlfn.XLOOKUP(A39,'SYS Allocations'!A:A,'SYS Allocations'!F:F)</f>
        <v>0</v>
      </c>
      <c r="BA39" t="str">
        <f>IFERROR(LEFT(R39,FIND("(",R39,1)-1),R39)</f>
        <v>DDm125-33</v>
      </c>
    </row>
    <row r="40" spans="1:53">
      <c r="A40" s="35" t="s">
        <v>56</v>
      </c>
      <c r="B40" s="35" t="s">
        <v>1620</v>
      </c>
      <c r="C40" s="35" t="s">
        <v>1647</v>
      </c>
      <c r="D40" s="35" t="s">
        <v>1568</v>
      </c>
      <c r="E40" s="35" t="s">
        <v>957</v>
      </c>
      <c r="F40" s="35" t="s">
        <v>1667</v>
      </c>
      <c r="G40" s="105">
        <v>100</v>
      </c>
      <c r="H40" s="105">
        <v>9</v>
      </c>
      <c r="I40" s="105">
        <v>115</v>
      </c>
      <c r="J40" s="105">
        <v>6.2675000000000001</v>
      </c>
      <c r="K40" s="106">
        <v>44498.416666666701</v>
      </c>
      <c r="L40" s="105">
        <v>34.880000000000003</v>
      </c>
      <c r="M40" s="105">
        <v>28.612500000000001</v>
      </c>
      <c r="N40" s="105">
        <v>26.16</v>
      </c>
      <c r="O40" s="105">
        <v>19.892499999999998</v>
      </c>
      <c r="P40" s="35" t="s">
        <v>1574</v>
      </c>
      <c r="Q40" s="35" t="s">
        <v>1581</v>
      </c>
      <c r="R40" s="35" t="s">
        <v>1644</v>
      </c>
      <c r="S40" s="105">
        <v>28.123200000000001</v>
      </c>
      <c r="T40" s="105">
        <v>21.855699999999999</v>
      </c>
      <c r="U40" s="35" t="s">
        <v>1586</v>
      </c>
      <c r="V40" s="35" t="s">
        <v>1652</v>
      </c>
      <c r="W40" s="105">
        <v>67.5</v>
      </c>
      <c r="X40" s="105">
        <v>61.232500000000002</v>
      </c>
      <c r="Y40" s="105">
        <v>30</v>
      </c>
      <c r="Z40" s="35" t="s">
        <v>1576</v>
      </c>
      <c r="AA40">
        <f>VLOOKUP(A40,Cover!A:R,18,0)</f>
        <v>0</v>
      </c>
      <c r="AB40" s="77">
        <f t="shared" si="0"/>
        <v>28.612500000000001</v>
      </c>
      <c r="AC40" s="77">
        <f t="shared" si="1"/>
        <v>19.892499999999998</v>
      </c>
      <c r="AD40" s="77">
        <f t="shared" si="2"/>
        <v>82.03125</v>
      </c>
      <c r="AE40" s="77">
        <f t="shared" si="3"/>
        <v>76.041666666666657</v>
      </c>
      <c r="AF40" s="77">
        <f t="shared" si="4"/>
        <v>21.855699999999999</v>
      </c>
      <c r="AG40" s="77">
        <f t="shared" si="5"/>
        <v>77.714129259828184</v>
      </c>
      <c r="AH40" s="346">
        <f>AVERAGE(W40:W41)</f>
        <v>67.5</v>
      </c>
      <c r="AI40" s="346">
        <f>SUM(J40:J41)</f>
        <v>19.5655</v>
      </c>
      <c r="AJ40" s="346">
        <f t="shared" si="8"/>
        <v>47.9345</v>
      </c>
      <c r="AK40" s="346">
        <f>SUM(AA40:AA41)</f>
        <v>0</v>
      </c>
      <c r="AL40" s="346">
        <f t="shared" si="10"/>
        <v>47.9345</v>
      </c>
      <c r="AM40" s="345">
        <f t="shared" si="11"/>
        <v>71.014074074074074</v>
      </c>
      <c r="AO40" t="s">
        <v>1634</v>
      </c>
      <c r="AP40" t="str">
        <f t="shared" si="12"/>
        <v>DDm100-33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>IFERROR(LEFT(R40,FIND("(",R40,1)-1),R40)</f>
        <v>DDm100-33</v>
      </c>
    </row>
    <row r="41" spans="1:53">
      <c r="A41" s="35" t="s">
        <v>57</v>
      </c>
      <c r="B41" s="35" t="s">
        <v>1620</v>
      </c>
      <c r="C41" s="35" t="s">
        <v>1647</v>
      </c>
      <c r="D41" s="35" t="s">
        <v>1568</v>
      </c>
      <c r="E41" s="35" t="s">
        <v>957</v>
      </c>
      <c r="F41" s="35" t="s">
        <v>1667</v>
      </c>
      <c r="G41" s="105">
        <v>100</v>
      </c>
      <c r="H41" s="105">
        <v>9</v>
      </c>
      <c r="I41" s="105">
        <v>244</v>
      </c>
      <c r="J41" s="105">
        <v>13.298</v>
      </c>
      <c r="K41" s="106">
        <v>44498.5</v>
      </c>
      <c r="L41" s="105">
        <v>34.880000000000003</v>
      </c>
      <c r="M41" s="105">
        <v>21.582000000000001</v>
      </c>
      <c r="N41" s="105">
        <v>26.16</v>
      </c>
      <c r="O41" s="105">
        <v>12.862</v>
      </c>
      <c r="P41" s="35" t="s">
        <v>1574</v>
      </c>
      <c r="Q41" s="35" t="s">
        <v>1581</v>
      </c>
      <c r="R41" s="35" t="s">
        <v>1644</v>
      </c>
      <c r="S41" s="105">
        <v>28.123200000000001</v>
      </c>
      <c r="T41" s="105">
        <v>14.825200000000001</v>
      </c>
      <c r="U41" s="35" t="s">
        <v>1586</v>
      </c>
      <c r="V41" s="35" t="s">
        <v>1652</v>
      </c>
      <c r="W41" s="105">
        <v>67.5</v>
      </c>
      <c r="X41" s="105">
        <v>54.201999999999998</v>
      </c>
      <c r="Y41" s="105">
        <v>30</v>
      </c>
      <c r="Z41" s="35" t="s">
        <v>1576</v>
      </c>
      <c r="AA41">
        <f>VLOOKUP(A41,Cover!A:R,18,0)</f>
        <v>0</v>
      </c>
      <c r="AB41" s="77">
        <f t="shared" si="0"/>
        <v>21.582000000000001</v>
      </c>
      <c r="AC41" s="77">
        <f t="shared" si="1"/>
        <v>12.862</v>
      </c>
      <c r="AD41" s="77">
        <f t="shared" si="2"/>
        <v>61.875</v>
      </c>
      <c r="AE41" s="77">
        <f t="shared" si="3"/>
        <v>49.166666666666664</v>
      </c>
      <c r="AF41" s="77">
        <f t="shared" si="4"/>
        <v>14.825200000000001</v>
      </c>
      <c r="AG41" s="77">
        <f t="shared" si="5"/>
        <v>52.715195994765892</v>
      </c>
      <c r="AH41" s="346"/>
      <c r="AI41" s="346"/>
      <c r="AJ41" s="346"/>
      <c r="AK41" s="346"/>
      <c r="AL41" s="346"/>
      <c r="AM41" s="345"/>
      <c r="AO41" t="s">
        <v>1634</v>
      </c>
      <c r="AP41" t="str">
        <f t="shared" si="12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3"/>
        <v>DDm100-33</v>
      </c>
    </row>
    <row r="42" spans="1:53">
      <c r="A42" s="35" t="s">
        <v>58</v>
      </c>
      <c r="B42" s="35" t="s">
        <v>1668</v>
      </c>
      <c r="C42" s="35" t="s">
        <v>1669</v>
      </c>
      <c r="D42" s="35" t="s">
        <v>1631</v>
      </c>
      <c r="E42" s="35" t="s">
        <v>1670</v>
      </c>
      <c r="F42" s="35" t="s">
        <v>1671</v>
      </c>
      <c r="G42" s="105">
        <v>27.8</v>
      </c>
      <c r="H42" s="105">
        <v>8</v>
      </c>
      <c r="I42" s="105">
        <v>105</v>
      </c>
      <c r="J42" s="105">
        <v>5.7225000000000001</v>
      </c>
      <c r="K42" s="106">
        <v>44879</v>
      </c>
      <c r="L42" s="105">
        <v>8.4845600000000001</v>
      </c>
      <c r="M42" s="105">
        <v>2.76206</v>
      </c>
      <c r="N42" s="105">
        <v>9.1930598910000008</v>
      </c>
      <c r="O42" s="105">
        <v>3.4705598910000002</v>
      </c>
      <c r="P42" s="35" t="s">
        <v>1574</v>
      </c>
      <c r="Q42" s="35" t="s">
        <v>1572</v>
      </c>
      <c r="R42" s="35" t="s">
        <v>1672</v>
      </c>
      <c r="S42" s="105">
        <v>2.9159999999999999</v>
      </c>
      <c r="T42" s="105">
        <v>-2.8065000000000002</v>
      </c>
      <c r="U42" s="35" t="s">
        <v>1574</v>
      </c>
      <c r="V42" s="35" t="s">
        <v>1673</v>
      </c>
      <c r="W42" s="105">
        <v>11.25</v>
      </c>
      <c r="X42" s="105">
        <v>5.5274999999999999</v>
      </c>
      <c r="Y42" s="105">
        <v>2</v>
      </c>
      <c r="Z42" s="35" t="s">
        <v>8</v>
      </c>
      <c r="AA42">
        <f>VLOOKUP(A42,Cover!A:R,18,0)</f>
        <v>0.5</v>
      </c>
      <c r="AB42" s="77">
        <f t="shared" si="0"/>
        <v>2.26206</v>
      </c>
      <c r="AC42" s="77">
        <f t="shared" si="1"/>
        <v>2.9705598910000002</v>
      </c>
      <c r="AD42" s="77">
        <f t="shared" si="2"/>
        <v>26.660899327719996</v>
      </c>
      <c r="AE42" s="77">
        <f t="shared" si="3"/>
        <v>32.313070144448602</v>
      </c>
      <c r="AF42" s="77">
        <f t="shared" si="4"/>
        <v>-3.3065000000000002</v>
      </c>
      <c r="AG42" s="77">
        <f t="shared" si="5"/>
        <v>-113.39163237311386</v>
      </c>
      <c r="AH42" s="77">
        <f t="shared" si="6"/>
        <v>11.25</v>
      </c>
      <c r="AI42" s="77">
        <f t="shared" si="7"/>
        <v>5.7225000000000001</v>
      </c>
      <c r="AJ42" s="77">
        <f t="shared" si="8"/>
        <v>5.5274999999999999</v>
      </c>
      <c r="AK42" s="77">
        <f t="shared" si="9"/>
        <v>0.5</v>
      </c>
      <c r="AL42" s="77">
        <f t="shared" si="10"/>
        <v>5.0274999999999999</v>
      </c>
      <c r="AM42" s="77">
        <f t="shared" si="11"/>
        <v>44.68888888888889</v>
      </c>
      <c r="AN42" s="52" t="s">
        <v>1563</v>
      </c>
      <c r="AO42" t="s">
        <v>1577</v>
      </c>
      <c r="AP42" t="str">
        <f t="shared" si="12"/>
        <v>EN160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3"/>
        <v>EN160</v>
      </c>
    </row>
    <row r="43" spans="1:53">
      <c r="A43" s="35" t="s">
        <v>59</v>
      </c>
      <c r="B43" s="35" t="s">
        <v>1655</v>
      </c>
      <c r="C43" s="35" t="s">
        <v>1674</v>
      </c>
      <c r="D43" s="35" t="s">
        <v>1613</v>
      </c>
      <c r="E43" s="35" t="s">
        <v>1118</v>
      </c>
      <c r="F43" s="35" t="s">
        <v>1570</v>
      </c>
      <c r="G43" s="105">
        <v>36.6</v>
      </c>
      <c r="H43" s="105">
        <v>6</v>
      </c>
      <c r="I43" s="105">
        <v>43</v>
      </c>
      <c r="J43" s="105">
        <v>2.3435000000000001</v>
      </c>
      <c r="K43" s="106">
        <v>45264</v>
      </c>
      <c r="L43" s="105">
        <v>7.9787999999999997</v>
      </c>
      <c r="M43" s="105">
        <v>5.6353</v>
      </c>
      <c r="N43" s="105">
        <v>6.1585000000000001</v>
      </c>
      <c r="O43" s="105">
        <v>3.8149999999999999</v>
      </c>
      <c r="P43" s="35" t="s">
        <v>1622</v>
      </c>
      <c r="Q43" s="35" t="s">
        <v>1581</v>
      </c>
      <c r="R43" s="35" t="s">
        <v>1675</v>
      </c>
      <c r="S43" s="105">
        <v>6.2747999999999804</v>
      </c>
      <c r="T43" s="105">
        <v>3.9312999999999798</v>
      </c>
      <c r="U43" s="35" t="s">
        <v>1571</v>
      </c>
      <c r="V43" s="35" t="s">
        <v>1591</v>
      </c>
      <c r="W43" s="105">
        <v>6</v>
      </c>
      <c r="X43" s="105">
        <v>3.6564999999999999</v>
      </c>
      <c r="Y43" s="105">
        <v>6</v>
      </c>
      <c r="Z43" s="35" t="s">
        <v>1576</v>
      </c>
      <c r="AA43">
        <f>VLOOKUP(A43,Cover!A:R,18,0)</f>
        <v>1</v>
      </c>
      <c r="AB43" s="77">
        <f t="shared" si="0"/>
        <v>4.6353</v>
      </c>
      <c r="AC43" s="77">
        <f t="shared" si="1"/>
        <v>2.8149999999999999</v>
      </c>
      <c r="AD43" s="77">
        <f t="shared" si="2"/>
        <v>58.095202286058054</v>
      </c>
      <c r="AE43" s="77">
        <f t="shared" si="3"/>
        <v>45.709182430786718</v>
      </c>
      <c r="AF43" s="77">
        <f t="shared" si="4"/>
        <v>2.9312999999999798</v>
      </c>
      <c r="AG43" s="77">
        <f t="shared" si="5"/>
        <v>46.715433161216119</v>
      </c>
      <c r="AH43" s="77">
        <f t="shared" si="6"/>
        <v>6</v>
      </c>
      <c r="AI43" s="77">
        <f t="shared" si="7"/>
        <v>2.3435000000000001</v>
      </c>
      <c r="AJ43" s="77">
        <f t="shared" si="8"/>
        <v>3.6564999999999999</v>
      </c>
      <c r="AK43" s="77">
        <f t="shared" si="9"/>
        <v>1</v>
      </c>
      <c r="AL43" s="77">
        <f t="shared" si="10"/>
        <v>2.6564999999999999</v>
      </c>
      <c r="AM43" s="77">
        <f t="shared" si="11"/>
        <v>44.274999999999999</v>
      </c>
      <c r="AO43" t="s">
        <v>1577</v>
      </c>
      <c r="AP43" t="str">
        <f t="shared" si="12"/>
        <v>12V101F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3"/>
        <v xml:space="preserve">12V101F </v>
      </c>
    </row>
    <row r="44" spans="1:53">
      <c r="A44" s="35" t="s">
        <v>60</v>
      </c>
      <c r="B44" s="35" t="s">
        <v>1578</v>
      </c>
      <c r="C44" s="35" t="s">
        <v>1676</v>
      </c>
      <c r="D44" s="35" t="s">
        <v>1568</v>
      </c>
      <c r="E44" s="35" t="s">
        <v>1677</v>
      </c>
      <c r="F44" s="35" t="s">
        <v>1678</v>
      </c>
      <c r="G44" s="105">
        <v>20</v>
      </c>
      <c r="H44" s="105">
        <v>4</v>
      </c>
      <c r="I44" s="105">
        <v>2</v>
      </c>
      <c r="J44" s="105">
        <v>0.109</v>
      </c>
      <c r="K44" s="106">
        <v>44538.548611111102</v>
      </c>
      <c r="L44" s="105">
        <v>2.6160000000000001</v>
      </c>
      <c r="M44" s="105">
        <v>2.5070000000000001</v>
      </c>
      <c r="N44" s="105">
        <v>2.3980000000000001</v>
      </c>
      <c r="O44" s="105">
        <v>2.2890000000000001</v>
      </c>
      <c r="P44" s="35" t="s">
        <v>1574</v>
      </c>
      <c r="Q44" s="35" t="s">
        <v>1599</v>
      </c>
      <c r="R44" s="35" t="s">
        <v>1679</v>
      </c>
      <c r="S44" s="105">
        <v>1.9526399999999999</v>
      </c>
      <c r="T44" s="105">
        <v>1.8436399999999999</v>
      </c>
      <c r="U44" s="35" t="s">
        <v>1574</v>
      </c>
      <c r="V44" s="35" t="s">
        <v>1601</v>
      </c>
      <c r="W44" s="105">
        <v>5.0250000000000004</v>
      </c>
      <c r="X44" s="105">
        <v>4.9160000000000004</v>
      </c>
      <c r="Y44" s="105">
        <v>9</v>
      </c>
      <c r="Z44" s="35" t="s">
        <v>1576</v>
      </c>
      <c r="AA44">
        <f>VLOOKUP(A44,Cover!A:R,18,0)</f>
        <v>0.5</v>
      </c>
      <c r="AB44" s="77">
        <f t="shared" si="0"/>
        <v>2.0070000000000001</v>
      </c>
      <c r="AC44" s="77">
        <f t="shared" si="1"/>
        <v>1.7890000000000001</v>
      </c>
      <c r="AD44" s="77">
        <f t="shared" si="2"/>
        <v>76.720183486238525</v>
      </c>
      <c r="AE44" s="77">
        <f t="shared" si="3"/>
        <v>74.603836530442038</v>
      </c>
      <c r="AF44" s="77">
        <f t="shared" si="4"/>
        <v>1.3436399999999999</v>
      </c>
      <c r="AG44" s="77">
        <f t="shared" si="5"/>
        <v>68.811455260570298</v>
      </c>
      <c r="AH44" s="77">
        <f t="shared" si="6"/>
        <v>5.0250000000000004</v>
      </c>
      <c r="AI44" s="77">
        <f t="shared" si="7"/>
        <v>0.109</v>
      </c>
      <c r="AJ44" s="77">
        <f t="shared" si="8"/>
        <v>4.9160000000000004</v>
      </c>
      <c r="AK44" s="77">
        <f t="shared" si="9"/>
        <v>0.5</v>
      </c>
      <c r="AL44" s="77">
        <f t="shared" si="10"/>
        <v>4.4160000000000004</v>
      </c>
      <c r="AM44" s="77">
        <f t="shared" si="11"/>
        <v>87.880597014925371</v>
      </c>
      <c r="AO44" t="s">
        <v>1577</v>
      </c>
      <c r="AP44" t="str">
        <f t="shared" si="12"/>
        <v>12V100F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3"/>
        <v>12V100F</v>
      </c>
    </row>
    <row r="45" spans="1:53">
      <c r="A45" s="35" t="s">
        <v>61</v>
      </c>
      <c r="B45" s="35" t="s">
        <v>1595</v>
      </c>
      <c r="C45" s="35" t="s">
        <v>1680</v>
      </c>
      <c r="D45" s="35" t="s">
        <v>1568</v>
      </c>
      <c r="E45" s="35" t="s">
        <v>1681</v>
      </c>
      <c r="F45" s="35" t="s">
        <v>1570</v>
      </c>
      <c r="G45" s="105">
        <v>36.6</v>
      </c>
      <c r="H45" s="105">
        <v>2</v>
      </c>
      <c r="I45" s="105">
        <v>12</v>
      </c>
      <c r="J45" s="105">
        <v>0.65400000000000003</v>
      </c>
      <c r="K45" s="106">
        <v>45264</v>
      </c>
      <c r="L45" s="105">
        <v>1.5957600000000001</v>
      </c>
      <c r="M45" s="105">
        <v>0.94176000000000004</v>
      </c>
      <c r="N45" s="105">
        <v>-0.11445016349999999</v>
      </c>
      <c r="O45" s="107">
        <v>-0.76845016349999995</v>
      </c>
      <c r="P45" s="35" t="s">
        <v>1571</v>
      </c>
      <c r="Q45" s="35" t="s">
        <v>1599</v>
      </c>
      <c r="R45" s="35" t="s">
        <v>1605</v>
      </c>
      <c r="S45" s="105">
        <v>4.2119999999999997</v>
      </c>
      <c r="T45" s="105">
        <v>3.5579999999999998</v>
      </c>
      <c r="U45" s="35" t="s">
        <v>1658</v>
      </c>
      <c r="V45" s="35" t="s">
        <v>1610</v>
      </c>
      <c r="W45" s="105">
        <v>3.75</v>
      </c>
      <c r="X45" s="105">
        <v>3.0960000000000001</v>
      </c>
      <c r="Y45" s="105">
        <v>2</v>
      </c>
      <c r="Z45" s="35" t="s">
        <v>1576</v>
      </c>
      <c r="AA45">
        <f>VLOOKUP(A45,Cover!A:R,18,0)</f>
        <v>0</v>
      </c>
      <c r="AB45" s="77">
        <f t="shared" si="0"/>
        <v>0.94176000000000004</v>
      </c>
      <c r="AC45" s="77">
        <f t="shared" si="1"/>
        <v>-0.76845016349999995</v>
      </c>
      <c r="AD45" s="77">
        <f t="shared" si="2"/>
        <v>59.016393442622942</v>
      </c>
      <c r="AE45" s="77">
        <f t="shared" si="3"/>
        <v>671.42775510320701</v>
      </c>
      <c r="AF45" s="77">
        <f t="shared" si="4"/>
        <v>3.5579999999999998</v>
      </c>
      <c r="AG45" s="77">
        <f t="shared" si="5"/>
        <v>84.472934472934469</v>
      </c>
      <c r="AH45" s="77">
        <f t="shared" si="6"/>
        <v>3.75</v>
      </c>
      <c r="AI45" s="77">
        <f t="shared" si="7"/>
        <v>0.65400000000000003</v>
      </c>
      <c r="AJ45" s="77">
        <f t="shared" si="8"/>
        <v>3.0960000000000001</v>
      </c>
      <c r="AK45" s="77">
        <f t="shared" si="9"/>
        <v>0</v>
      </c>
      <c r="AL45" s="77">
        <f t="shared" si="10"/>
        <v>3.0960000000000001</v>
      </c>
      <c r="AM45" s="77">
        <f t="shared" si="11"/>
        <v>82.56</v>
      </c>
      <c r="AO45" t="s">
        <v>1577</v>
      </c>
      <c r="AP45" t="str">
        <f t="shared" si="12"/>
        <v>12V155F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3"/>
        <v>12V155F</v>
      </c>
    </row>
    <row r="46" spans="1:53">
      <c r="A46" s="35" t="s">
        <v>62</v>
      </c>
      <c r="B46" s="35" t="s">
        <v>1607</v>
      </c>
      <c r="C46" s="35" t="s">
        <v>1682</v>
      </c>
      <c r="D46" s="35" t="s">
        <v>1568</v>
      </c>
      <c r="E46" s="35" t="s">
        <v>1409</v>
      </c>
      <c r="F46" s="35" t="s">
        <v>1570</v>
      </c>
      <c r="G46" s="105">
        <v>36.6</v>
      </c>
      <c r="H46" s="105">
        <v>21</v>
      </c>
      <c r="I46" s="105">
        <v>287</v>
      </c>
      <c r="J46" s="105">
        <v>15.641500000000001</v>
      </c>
      <c r="K46" s="106">
        <v>45091</v>
      </c>
      <c r="L46" s="105">
        <v>31.915199999999999</v>
      </c>
      <c r="M46" s="105">
        <v>16.273700000000002</v>
      </c>
      <c r="N46" s="105">
        <v>22.454000000000001</v>
      </c>
      <c r="O46" s="105">
        <v>6.8125</v>
      </c>
      <c r="P46" s="35" t="s">
        <v>1574</v>
      </c>
      <c r="Q46" s="35" t="s">
        <v>1581</v>
      </c>
      <c r="R46" s="35" t="s">
        <v>1644</v>
      </c>
      <c r="S46" s="105">
        <v>28.123200000000001</v>
      </c>
      <c r="T46" s="105">
        <v>12.4817</v>
      </c>
      <c r="U46" s="35" t="s">
        <v>1571</v>
      </c>
      <c r="V46" s="35" t="s">
        <v>1683</v>
      </c>
      <c r="W46" s="105">
        <v>33</v>
      </c>
      <c r="X46" s="105">
        <v>17.358499999999999</v>
      </c>
      <c r="Y46" s="105">
        <v>57</v>
      </c>
      <c r="Z46" s="35" t="s">
        <v>1576</v>
      </c>
      <c r="AA46">
        <f>VLOOKUP(A46,Cover!A:R,18,0)</f>
        <v>4</v>
      </c>
      <c r="AB46" s="77">
        <f t="shared" si="0"/>
        <v>12.273700000000002</v>
      </c>
      <c r="AC46" s="77">
        <f t="shared" si="1"/>
        <v>2.8125</v>
      </c>
      <c r="AD46" s="77">
        <f t="shared" si="2"/>
        <v>38.457224143981556</v>
      </c>
      <c r="AE46" s="77">
        <f t="shared" si="3"/>
        <v>12.525607909503874</v>
      </c>
      <c r="AF46" s="77">
        <f t="shared" si="4"/>
        <v>8.4817</v>
      </c>
      <c r="AG46" s="77">
        <f t="shared" si="5"/>
        <v>30.159085737042727</v>
      </c>
      <c r="AH46" s="77">
        <f t="shared" si="6"/>
        <v>33</v>
      </c>
      <c r="AI46" s="77">
        <f t="shared" si="7"/>
        <v>15.641500000000001</v>
      </c>
      <c r="AJ46" s="77">
        <f t="shared" si="8"/>
        <v>17.358499999999999</v>
      </c>
      <c r="AK46" s="77">
        <f t="shared" si="9"/>
        <v>4</v>
      </c>
      <c r="AL46" s="77">
        <f t="shared" si="10"/>
        <v>13.358499999999999</v>
      </c>
      <c r="AM46" s="77">
        <f t="shared" si="11"/>
        <v>40.480303030303027</v>
      </c>
      <c r="AO46" t="s">
        <v>1577</v>
      </c>
      <c r="AP46" t="str">
        <f t="shared" si="12"/>
        <v>DDm100-33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3"/>
        <v>DDm100-33</v>
      </c>
    </row>
    <row r="47" spans="1:53">
      <c r="A47" s="35" t="s">
        <v>63</v>
      </c>
      <c r="B47" s="35" t="s">
        <v>1620</v>
      </c>
      <c r="C47" s="35" t="s">
        <v>1647</v>
      </c>
      <c r="D47" s="35" t="s">
        <v>1568</v>
      </c>
      <c r="E47" s="35" t="s">
        <v>1024</v>
      </c>
      <c r="F47" s="35" t="s">
        <v>1570</v>
      </c>
      <c r="G47" s="105">
        <v>36.6</v>
      </c>
      <c r="H47" s="105">
        <v>57</v>
      </c>
      <c r="I47" s="105">
        <v>582</v>
      </c>
      <c r="J47" s="105">
        <v>31.719000000000001</v>
      </c>
      <c r="K47" s="106">
        <v>45264</v>
      </c>
      <c r="L47" s="105">
        <v>87.766800000000003</v>
      </c>
      <c r="M47" s="105">
        <v>56.047800000000002</v>
      </c>
      <c r="N47" s="105">
        <v>44.308500000000002</v>
      </c>
      <c r="O47" s="105">
        <v>12.589499999999999</v>
      </c>
      <c r="P47" s="35" t="s">
        <v>1618</v>
      </c>
      <c r="Q47" s="35" t="s">
        <v>1581</v>
      </c>
      <c r="R47" s="35" t="s">
        <v>1592</v>
      </c>
      <c r="S47" s="105">
        <v>106.66079999999999</v>
      </c>
      <c r="T47" s="105">
        <v>74.9418000000001</v>
      </c>
      <c r="U47" s="35" t="s">
        <v>1586</v>
      </c>
      <c r="V47" s="35" t="s">
        <v>1684</v>
      </c>
      <c r="W47" s="105">
        <v>101.25</v>
      </c>
      <c r="X47" s="105">
        <v>69.531000000000006</v>
      </c>
      <c r="Y47" s="105">
        <v>33</v>
      </c>
      <c r="Z47" s="35" t="s">
        <v>1576</v>
      </c>
      <c r="AA47">
        <f>VLOOKUP(A47,Cover!A:R,18,0)</f>
        <v>21</v>
      </c>
      <c r="AB47" s="77">
        <f t="shared" si="0"/>
        <v>35.047800000000002</v>
      </c>
      <c r="AC47" s="77">
        <f t="shared" si="1"/>
        <v>-8.4105000000000008</v>
      </c>
      <c r="AD47" s="77">
        <f t="shared" si="2"/>
        <v>39.932867553562396</v>
      </c>
      <c r="AE47" s="77">
        <f t="shared" si="3"/>
        <v>-18.981685229696335</v>
      </c>
      <c r="AF47" s="77">
        <f t="shared" si="4"/>
        <v>53.9418000000001</v>
      </c>
      <c r="AG47" s="77">
        <f t="shared" si="5"/>
        <v>50.573219027046584</v>
      </c>
      <c r="AH47" s="77">
        <f t="shared" si="6"/>
        <v>101.25</v>
      </c>
      <c r="AI47" s="77">
        <f t="shared" si="7"/>
        <v>31.719000000000001</v>
      </c>
      <c r="AJ47" s="77">
        <f t="shared" si="8"/>
        <v>69.531000000000006</v>
      </c>
      <c r="AK47" s="77">
        <f t="shared" si="9"/>
        <v>21</v>
      </c>
      <c r="AL47" s="77">
        <f t="shared" si="10"/>
        <v>48.531000000000006</v>
      </c>
      <c r="AM47" s="77">
        <f t="shared" si="11"/>
        <v>47.93185185185186</v>
      </c>
      <c r="AO47" t="s">
        <v>1577</v>
      </c>
      <c r="AP47" t="str">
        <f t="shared" si="12"/>
        <v>DDm125-33</v>
      </c>
      <c r="AQ47" t="str">
        <f>_xlfn.XLOOKUP(A47,'SYS Allocations'!A:A,'SYS Allocations'!B:B)</f>
        <v>P-Core</v>
      </c>
      <c r="AR47" t="str">
        <f>_xlfn.XLOOKUP(A47,'SYS Allocations'!A:A,'SYS Allocations'!C:C)</f>
        <v>RA</v>
      </c>
      <c r="AS47" t="str">
        <f>_xlfn.XLOOKUP(A47,'SYS Allocations'!A:A,'SYS Allocations'!D:D)</f>
        <v>PX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3"/>
        <v>DDm125-33</v>
      </c>
    </row>
    <row r="48" spans="1:53">
      <c r="A48" s="35" t="s">
        <v>64</v>
      </c>
      <c r="B48" s="35" t="s">
        <v>1620</v>
      </c>
      <c r="C48" s="35" t="s">
        <v>1647</v>
      </c>
      <c r="D48" s="35" t="s">
        <v>1568</v>
      </c>
      <c r="E48" s="35" t="s">
        <v>1024</v>
      </c>
      <c r="F48" s="35" t="s">
        <v>1570</v>
      </c>
      <c r="G48" s="105">
        <v>36.6</v>
      </c>
      <c r="H48" s="105">
        <v>57</v>
      </c>
      <c r="I48" s="105">
        <v>753</v>
      </c>
      <c r="J48" s="105">
        <v>41.038499999999999</v>
      </c>
      <c r="K48" s="106">
        <v>45264</v>
      </c>
      <c r="L48" s="105">
        <v>87.766800000000003</v>
      </c>
      <c r="M48" s="105">
        <v>46.728299999999997</v>
      </c>
      <c r="N48" s="105">
        <v>44.308500000000002</v>
      </c>
      <c r="O48" s="105">
        <v>3.27</v>
      </c>
      <c r="P48" s="35" t="s">
        <v>1618</v>
      </c>
      <c r="Q48" s="35" t="s">
        <v>1581</v>
      </c>
      <c r="R48" s="35" t="s">
        <v>1592</v>
      </c>
      <c r="S48" s="105">
        <v>106.66079999999999</v>
      </c>
      <c r="T48" s="105">
        <v>65.622300000000095</v>
      </c>
      <c r="U48" s="35" t="s">
        <v>1586</v>
      </c>
      <c r="V48" s="35" t="s">
        <v>1684</v>
      </c>
      <c r="W48" s="105">
        <v>101.25</v>
      </c>
      <c r="X48" s="105">
        <v>60.211500000000001</v>
      </c>
      <c r="Y48" s="105">
        <v>33</v>
      </c>
      <c r="Z48" s="35" t="s">
        <v>1576</v>
      </c>
      <c r="AA48">
        <f>VLOOKUP(A48,Cover!A:R,18,0)</f>
        <v>20.9</v>
      </c>
      <c r="AB48" s="77">
        <f t="shared" si="0"/>
        <v>25.828299999999999</v>
      </c>
      <c r="AC48" s="77">
        <f t="shared" si="1"/>
        <v>-17.63</v>
      </c>
      <c r="AD48" s="77">
        <f t="shared" si="2"/>
        <v>29.428325972919144</v>
      </c>
      <c r="AE48" s="77">
        <f t="shared" si="3"/>
        <v>-39.789205231501853</v>
      </c>
      <c r="AF48" s="77">
        <f t="shared" si="4"/>
        <v>44.722300000000097</v>
      </c>
      <c r="AG48" s="77">
        <f t="shared" si="5"/>
        <v>41.929462370430464</v>
      </c>
      <c r="AH48" s="77">
        <f t="shared" si="6"/>
        <v>101.25</v>
      </c>
      <c r="AI48" s="77">
        <f t="shared" si="7"/>
        <v>41.038499999999999</v>
      </c>
      <c r="AJ48" s="77">
        <f t="shared" si="8"/>
        <v>60.211500000000001</v>
      </c>
      <c r="AK48" s="77">
        <f t="shared" si="9"/>
        <v>20.9</v>
      </c>
      <c r="AL48" s="77">
        <f t="shared" si="10"/>
        <v>39.311500000000002</v>
      </c>
      <c r="AM48" s="77">
        <f t="shared" si="11"/>
        <v>38.826172839506178</v>
      </c>
      <c r="AO48" t="s">
        <v>1577</v>
      </c>
      <c r="AP48" t="str">
        <f t="shared" si="12"/>
        <v>DDm125-33</v>
      </c>
      <c r="AQ48" t="str">
        <f>_xlfn.XLOOKUP(A48,'SYS Allocations'!A:A,'SYS Allocations'!B:B)</f>
        <v>P-Core</v>
      </c>
      <c r="AR48">
        <f>_xlfn.XLOOKUP(A48,'SYS Allocations'!A:A,'SYS Allocations'!C:C)</f>
        <v>0</v>
      </c>
      <c r="AS48">
        <f>_xlfn.XLOOKUP(A48,'SYS Allocations'!A:A,'SYS Allocations'!D:D)</f>
        <v>0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3"/>
        <v>DDm125-33</v>
      </c>
    </row>
    <row r="49" spans="1:53">
      <c r="A49" s="35" t="s">
        <v>65</v>
      </c>
      <c r="B49" s="35" t="s">
        <v>1620</v>
      </c>
      <c r="C49" s="35" t="s">
        <v>1647</v>
      </c>
      <c r="D49" s="35" t="s">
        <v>1568</v>
      </c>
      <c r="E49" s="35" t="s">
        <v>1024</v>
      </c>
      <c r="F49" s="35" t="s">
        <v>1570</v>
      </c>
      <c r="G49" s="105">
        <v>36.6</v>
      </c>
      <c r="H49" s="105">
        <v>57</v>
      </c>
      <c r="I49" s="105">
        <v>797</v>
      </c>
      <c r="J49" s="105">
        <v>43.436500000000002</v>
      </c>
      <c r="K49" s="106">
        <v>45264</v>
      </c>
      <c r="L49" s="105">
        <v>87.766800000000003</v>
      </c>
      <c r="M49" s="105">
        <v>44.330300000000001</v>
      </c>
      <c r="N49" s="105">
        <v>66.108500000000006</v>
      </c>
      <c r="O49" s="105">
        <v>22.672000000000001</v>
      </c>
      <c r="P49" s="35" t="s">
        <v>1586</v>
      </c>
      <c r="Q49" s="35" t="s">
        <v>1581</v>
      </c>
      <c r="R49" s="35" t="s">
        <v>1592</v>
      </c>
      <c r="S49" s="105">
        <v>71.107200000000205</v>
      </c>
      <c r="T49" s="105">
        <v>27.670700000000199</v>
      </c>
      <c r="U49" s="35" t="s">
        <v>1586</v>
      </c>
      <c r="V49" s="35" t="s">
        <v>1684</v>
      </c>
      <c r="W49" s="105">
        <v>101.25</v>
      </c>
      <c r="X49" s="105">
        <v>57.813499999999998</v>
      </c>
      <c r="Y49" s="105">
        <v>33</v>
      </c>
      <c r="Z49" s="35" t="s">
        <v>1576</v>
      </c>
      <c r="AA49">
        <f>VLOOKUP(A49,Cover!A:R,18,0)</f>
        <v>3.6</v>
      </c>
      <c r="AB49" s="77">
        <f t="shared" si="0"/>
        <v>40.7303</v>
      </c>
      <c r="AC49" s="77">
        <f t="shared" si="1"/>
        <v>19.071999999999999</v>
      </c>
      <c r="AD49" s="77">
        <f t="shared" si="2"/>
        <v>46.407411458546967</v>
      </c>
      <c r="AE49" s="77">
        <f t="shared" si="3"/>
        <v>28.849542797068452</v>
      </c>
      <c r="AF49" s="77">
        <f t="shared" si="4"/>
        <v>24.070700000000198</v>
      </c>
      <c r="AG49" s="77">
        <f t="shared" si="5"/>
        <v>33.851283695603442</v>
      </c>
      <c r="AH49" s="77">
        <f t="shared" si="6"/>
        <v>101.25</v>
      </c>
      <c r="AI49" s="77">
        <f t="shared" si="7"/>
        <v>43.436500000000002</v>
      </c>
      <c r="AJ49" s="77">
        <f t="shared" si="8"/>
        <v>57.813499999999998</v>
      </c>
      <c r="AK49" s="77">
        <f t="shared" si="9"/>
        <v>3.6</v>
      </c>
      <c r="AL49" s="77">
        <f t="shared" si="10"/>
        <v>54.213499999999996</v>
      </c>
      <c r="AM49" s="77">
        <f t="shared" si="11"/>
        <v>53.544197530864196</v>
      </c>
      <c r="AO49" t="s">
        <v>1577</v>
      </c>
      <c r="AP49" t="str">
        <f t="shared" si="12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3"/>
        <v>DDm125-33</v>
      </c>
    </row>
    <row r="50" spans="1:53">
      <c r="A50" s="35" t="s">
        <v>66</v>
      </c>
      <c r="B50" s="35" t="s">
        <v>1620</v>
      </c>
      <c r="C50" s="35" t="s">
        <v>1647</v>
      </c>
      <c r="D50" s="35" t="s">
        <v>1568</v>
      </c>
      <c r="E50" s="35" t="s">
        <v>1011</v>
      </c>
      <c r="F50" s="35" t="s">
        <v>1625</v>
      </c>
      <c r="G50" s="105">
        <v>55</v>
      </c>
      <c r="H50" s="105">
        <v>88</v>
      </c>
      <c r="I50" s="105">
        <v>1215</v>
      </c>
      <c r="J50" s="105">
        <v>66.217500000000001</v>
      </c>
      <c r="K50" s="106">
        <v>45264</v>
      </c>
      <c r="L50" s="105">
        <v>208.626</v>
      </c>
      <c r="M50" s="105">
        <v>142.4085</v>
      </c>
      <c r="N50" s="105">
        <v>198.6525</v>
      </c>
      <c r="O50" s="105">
        <v>132.435</v>
      </c>
      <c r="P50" s="35" t="s">
        <v>1618</v>
      </c>
      <c r="Q50" s="35" t="s">
        <v>1581</v>
      </c>
      <c r="R50" s="35" t="s">
        <v>1651</v>
      </c>
      <c r="S50" s="105">
        <v>96.137280000000203</v>
      </c>
      <c r="T50" s="105">
        <v>29.919780000000198</v>
      </c>
      <c r="U50" s="35" t="s">
        <v>1606</v>
      </c>
      <c r="V50" s="35" t="s">
        <v>1685</v>
      </c>
      <c r="W50" s="105">
        <v>405</v>
      </c>
      <c r="X50" s="105">
        <v>338.78250000000003</v>
      </c>
      <c r="Y50" s="105">
        <v>130</v>
      </c>
      <c r="Z50" s="35" t="s">
        <v>1576</v>
      </c>
      <c r="AA50">
        <f>VLOOKUP(A50,Cover!A:R,18,0)</f>
        <v>13.299999999999999</v>
      </c>
      <c r="AB50" s="77">
        <f t="shared" si="0"/>
        <v>129.10849999999999</v>
      </c>
      <c r="AC50" s="77">
        <f t="shared" si="1"/>
        <v>119.13500000000001</v>
      </c>
      <c r="AD50" s="77">
        <f t="shared" si="2"/>
        <v>61.885143750059903</v>
      </c>
      <c r="AE50" s="77">
        <f t="shared" si="3"/>
        <v>59.971558374548522</v>
      </c>
      <c r="AF50" s="77">
        <f t="shared" si="4"/>
        <v>16.619780000000198</v>
      </c>
      <c r="AG50" s="77">
        <f t="shared" si="5"/>
        <v>17.28754963735209</v>
      </c>
      <c r="AH50" s="345">
        <f>AVERAGE(W50:W51)</f>
        <v>405</v>
      </c>
      <c r="AI50" s="345">
        <f>SUM(J50:J51)</f>
        <v>131.07249999999999</v>
      </c>
      <c r="AJ50" s="345">
        <f t="shared" si="8"/>
        <v>273.92750000000001</v>
      </c>
      <c r="AK50" s="345">
        <f>SUM(AA50:AA51)</f>
        <v>24.599999999999998</v>
      </c>
      <c r="AL50" s="345">
        <f t="shared" si="10"/>
        <v>249.32750000000001</v>
      </c>
      <c r="AM50" s="345">
        <f t="shared" si="11"/>
        <v>61.562345679012353</v>
      </c>
      <c r="AO50" t="s">
        <v>1577</v>
      </c>
      <c r="AP50" t="str">
        <f t="shared" si="12"/>
        <v>2CP2000</v>
      </c>
      <c r="AQ50">
        <f>_xlfn.XLOOKUP(A50,'SYS Allocations'!A:A,'SYS Allocations'!B:B)</f>
        <v>0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3"/>
        <v>2CP2000</v>
      </c>
    </row>
    <row r="51" spans="1:53">
      <c r="A51" s="35" t="s">
        <v>67</v>
      </c>
      <c r="B51" s="35" t="s">
        <v>1620</v>
      </c>
      <c r="C51" s="35" t="s">
        <v>1647</v>
      </c>
      <c r="D51" s="35" t="s">
        <v>1568</v>
      </c>
      <c r="E51" s="35" t="s">
        <v>1011</v>
      </c>
      <c r="F51" s="35" t="s">
        <v>1625</v>
      </c>
      <c r="G51" s="105">
        <v>55</v>
      </c>
      <c r="H51" s="105">
        <v>88</v>
      </c>
      <c r="I51" s="105">
        <v>1190</v>
      </c>
      <c r="J51" s="105">
        <v>64.855000000000004</v>
      </c>
      <c r="K51" s="106">
        <v>45264</v>
      </c>
      <c r="L51" s="105">
        <v>208.626</v>
      </c>
      <c r="M51" s="105">
        <v>143.77099999999999</v>
      </c>
      <c r="N51" s="105">
        <v>198.6525</v>
      </c>
      <c r="O51" s="105">
        <v>133.79750000000001</v>
      </c>
      <c r="P51" s="35" t="s">
        <v>1618</v>
      </c>
      <c r="Q51" s="35" t="s">
        <v>1581</v>
      </c>
      <c r="R51" s="35" t="s">
        <v>1651</v>
      </c>
      <c r="S51" s="105">
        <v>96.137280000000203</v>
      </c>
      <c r="T51" s="105">
        <v>31.282280000000199</v>
      </c>
      <c r="U51" s="35" t="s">
        <v>1606</v>
      </c>
      <c r="V51" s="35" t="s">
        <v>1685</v>
      </c>
      <c r="W51" s="105">
        <v>405</v>
      </c>
      <c r="X51" s="105">
        <v>340.14499999999998</v>
      </c>
      <c r="Y51" s="105">
        <v>130</v>
      </c>
      <c r="Z51" s="35" t="s">
        <v>1576</v>
      </c>
      <c r="AA51">
        <f>VLOOKUP(A51,Cover!A:R,18,0)</f>
        <v>11.299999999999999</v>
      </c>
      <c r="AB51" s="77">
        <f t="shared" ref="AB51" si="44">M51-AA51</f>
        <v>132.47099999999998</v>
      </c>
      <c r="AC51" s="77">
        <f t="shared" ref="AC51" si="45">O51-AA51</f>
        <v>122.49750000000002</v>
      </c>
      <c r="AD51" s="77">
        <f t="shared" ref="AD51" si="46">AB51/L51%</f>
        <v>63.496879583560997</v>
      </c>
      <c r="AE51" s="77">
        <f t="shared" ref="AE51" si="47">AC51/N51%</f>
        <v>61.664212632612227</v>
      </c>
      <c r="AF51" s="77">
        <f t="shared" ref="AF51" si="48">T51-AA51</f>
        <v>19.982280000000202</v>
      </c>
      <c r="AG51" s="77">
        <f t="shared" ref="AG51" si="49">AF51/S51%</f>
        <v>20.785152232307965</v>
      </c>
      <c r="AH51" s="345"/>
      <c r="AI51" s="345"/>
      <c r="AJ51" s="345"/>
      <c r="AK51" s="345"/>
      <c r="AL51" s="345"/>
      <c r="AM51" s="345"/>
      <c r="AO51" t="s">
        <v>1577</v>
      </c>
      <c r="AP51" t="str">
        <f t="shared" si="12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3"/>
        <v>2CP2000</v>
      </c>
    </row>
    <row r="52" spans="1:53">
      <c r="A52" s="35" t="s">
        <v>68</v>
      </c>
      <c r="B52" s="35" t="s">
        <v>1590</v>
      </c>
      <c r="C52" s="35" t="s">
        <v>1686</v>
      </c>
      <c r="D52" s="35" t="s">
        <v>1631</v>
      </c>
      <c r="E52" s="35" t="s">
        <v>811</v>
      </c>
      <c r="F52" s="35" t="s">
        <v>1570</v>
      </c>
      <c r="G52" s="105">
        <v>36.6</v>
      </c>
      <c r="H52" s="105">
        <v>53</v>
      </c>
      <c r="I52" s="105">
        <v>1231</v>
      </c>
      <c r="J52" s="105">
        <v>67.089500000000001</v>
      </c>
      <c r="K52" s="106">
        <v>45264</v>
      </c>
      <c r="L52" s="105">
        <v>82.979519999999994</v>
      </c>
      <c r="M52" s="105">
        <v>15.89002</v>
      </c>
      <c r="N52" s="105">
        <v>60.124400000000001</v>
      </c>
      <c r="O52" s="107">
        <v>-6.9650999999999996</v>
      </c>
      <c r="P52" s="35" t="s">
        <v>1610</v>
      </c>
      <c r="Q52" s="35" t="s">
        <v>1581</v>
      </c>
      <c r="R52" s="35" t="s">
        <v>1644</v>
      </c>
      <c r="S52" s="105">
        <v>70.308000000000007</v>
      </c>
      <c r="T52" s="105">
        <v>3.2185000000000201</v>
      </c>
      <c r="U52" s="35" t="s">
        <v>1610</v>
      </c>
      <c r="V52" s="35" t="s">
        <v>1687</v>
      </c>
      <c r="W52" s="105">
        <v>139.5</v>
      </c>
      <c r="X52" s="105">
        <v>72.410499999999999</v>
      </c>
      <c r="Y52" s="105">
        <v>18</v>
      </c>
      <c r="Z52" s="35" t="s">
        <v>1688</v>
      </c>
      <c r="AA52">
        <f>VLOOKUP(A52,Cover!A:R,18,0)</f>
        <v>0</v>
      </c>
      <c r="AB52" s="77">
        <f t="shared" si="0"/>
        <v>15.89002</v>
      </c>
      <c r="AC52" s="77">
        <f t="shared" si="1"/>
        <v>-6.9650999999999996</v>
      </c>
      <c r="AD52" s="77">
        <f t="shared" si="2"/>
        <v>19.149327448507776</v>
      </c>
      <c r="AE52" s="77">
        <f t="shared" si="3"/>
        <v>-11.584481508339376</v>
      </c>
      <c r="AF52" s="77">
        <f t="shared" si="4"/>
        <v>3.2185000000000201</v>
      </c>
      <c r="AG52" s="77">
        <f t="shared" si="5"/>
        <v>4.5777151959947942</v>
      </c>
      <c r="AH52" s="77">
        <f t="shared" si="6"/>
        <v>139.5</v>
      </c>
      <c r="AI52" s="77">
        <f t="shared" si="7"/>
        <v>67.089500000000001</v>
      </c>
      <c r="AJ52" s="77">
        <f t="shared" si="8"/>
        <v>72.410499999999999</v>
      </c>
      <c r="AK52" s="77">
        <f t="shared" si="9"/>
        <v>0</v>
      </c>
      <c r="AL52" s="77">
        <f t="shared" si="10"/>
        <v>72.410499999999999</v>
      </c>
      <c r="AM52" s="77">
        <f t="shared" si="11"/>
        <v>51.907168458781364</v>
      </c>
      <c r="AN52" s="52" t="s">
        <v>1563</v>
      </c>
      <c r="AO52" t="s">
        <v>1577</v>
      </c>
      <c r="AP52" t="str">
        <f t="shared" si="12"/>
        <v>DDm100-33</v>
      </c>
      <c r="AQ52" t="str">
        <f>_xlfn.XLOOKUP(A52,'SYS Allocations'!A:A,'SYS Allocations'!B:B)</f>
        <v>P-Core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3"/>
        <v>DDm100-33</v>
      </c>
    </row>
    <row r="53" spans="1:53">
      <c r="A53" s="35" t="s">
        <v>69</v>
      </c>
      <c r="B53" s="35" t="s">
        <v>1590</v>
      </c>
      <c r="C53" s="35" t="s">
        <v>1686</v>
      </c>
      <c r="D53" s="35" t="s">
        <v>1631</v>
      </c>
      <c r="E53" s="35" t="s">
        <v>811</v>
      </c>
      <c r="F53" s="35" t="s">
        <v>1570</v>
      </c>
      <c r="G53" s="105">
        <v>36.6</v>
      </c>
      <c r="H53" s="105">
        <v>61</v>
      </c>
      <c r="I53" s="105">
        <v>546</v>
      </c>
      <c r="J53" s="105">
        <v>29.757000000000001</v>
      </c>
      <c r="K53" s="106">
        <v>45264</v>
      </c>
      <c r="L53" s="105">
        <v>95.745599999999996</v>
      </c>
      <c r="M53" s="105">
        <v>65.988600000000005</v>
      </c>
      <c r="N53" s="105">
        <v>65.182000000000002</v>
      </c>
      <c r="O53" s="105">
        <v>35.424999999999997</v>
      </c>
      <c r="P53" s="35" t="s">
        <v>1610</v>
      </c>
      <c r="Q53" s="35" t="s">
        <v>1581</v>
      </c>
      <c r="R53" s="35" t="s">
        <v>1592</v>
      </c>
      <c r="S53" s="105">
        <v>88.884000000000199</v>
      </c>
      <c r="T53" s="105">
        <v>59.127000000000201</v>
      </c>
      <c r="U53" s="35" t="s">
        <v>1610</v>
      </c>
      <c r="V53" s="35" t="s">
        <v>1687</v>
      </c>
      <c r="W53" s="105">
        <v>139.5</v>
      </c>
      <c r="X53" s="105">
        <v>109.74299999999999</v>
      </c>
      <c r="Y53" s="105">
        <v>18</v>
      </c>
      <c r="Z53" s="35" t="s">
        <v>1688</v>
      </c>
      <c r="AA53">
        <f>VLOOKUP(A53,Cover!A:R,18,0)</f>
        <v>36.15</v>
      </c>
      <c r="AB53" s="77">
        <f t="shared" si="0"/>
        <v>29.838600000000007</v>
      </c>
      <c r="AC53" s="77">
        <f t="shared" si="1"/>
        <v>-0.72500000000000142</v>
      </c>
      <c r="AD53" s="77">
        <f t="shared" si="2"/>
        <v>31.164460821176124</v>
      </c>
      <c r="AE53" s="77">
        <f t="shared" si="3"/>
        <v>-1.1122702586603683</v>
      </c>
      <c r="AF53" s="77">
        <f t="shared" si="4"/>
        <v>22.977000000000203</v>
      </c>
      <c r="AG53" s="77">
        <f t="shared" si="5"/>
        <v>25.850546780073074</v>
      </c>
      <c r="AH53" s="77">
        <f t="shared" si="6"/>
        <v>139.5</v>
      </c>
      <c r="AI53" s="77">
        <f t="shared" si="7"/>
        <v>29.757000000000001</v>
      </c>
      <c r="AJ53" s="77">
        <f t="shared" si="8"/>
        <v>109.74299999999999</v>
      </c>
      <c r="AK53" s="77">
        <f t="shared" si="9"/>
        <v>36.15</v>
      </c>
      <c r="AL53" s="77">
        <f t="shared" si="10"/>
        <v>73.592999999999989</v>
      </c>
      <c r="AM53" s="77">
        <f t="shared" si="11"/>
        <v>52.754838709677408</v>
      </c>
      <c r="AN53" s="52" t="s">
        <v>1563</v>
      </c>
      <c r="AO53" t="s">
        <v>1577</v>
      </c>
      <c r="AP53" t="str">
        <f t="shared" si="12"/>
        <v>DDm125-33</v>
      </c>
      <c r="AQ53">
        <f>_xlfn.XLOOKUP(A53,'SYS Allocations'!A:A,'SYS Allocations'!B:B)</f>
        <v>0</v>
      </c>
      <c r="AR53" t="str">
        <f>_xlfn.XLOOKUP(A53,'SYS Allocations'!A:A,'SYS Allocations'!C:C)</f>
        <v>RA</v>
      </c>
      <c r="AS53" t="str">
        <f>_xlfn.XLOOKUP(A53,'SYS Allocations'!A:A,'SYS Allocations'!D:D)</f>
        <v>PX</v>
      </c>
      <c r="AT53">
        <f>_xlfn.XLOOKUP(A53,'SYS Allocations'!A:A,'SYS Allocations'!E:E)</f>
        <v>0</v>
      </c>
      <c r="AU53" t="str">
        <f>_xlfn.XLOOKUP(A53,'SYS Allocations'!A:A,'SYS Allocations'!F:F)</f>
        <v>OPEX</v>
      </c>
      <c r="BA53" t="str">
        <f t="shared" si="13"/>
        <v>DDm125-33</v>
      </c>
    </row>
    <row r="54" spans="1:53">
      <c r="A54" s="35" t="s">
        <v>70</v>
      </c>
      <c r="B54" s="35" t="s">
        <v>1616</v>
      </c>
      <c r="C54" s="35" t="s">
        <v>1617</v>
      </c>
      <c r="D54" s="35" t="s">
        <v>1563</v>
      </c>
      <c r="E54" s="35" t="s">
        <v>1304</v>
      </c>
      <c r="F54" s="35" t="s">
        <v>1625</v>
      </c>
      <c r="G54" s="105">
        <v>55</v>
      </c>
      <c r="H54" s="105">
        <v>29</v>
      </c>
      <c r="I54" s="105">
        <v>529</v>
      </c>
      <c r="J54" s="105">
        <v>28.830500000000001</v>
      </c>
      <c r="K54" s="106">
        <v>45264</v>
      </c>
      <c r="L54" s="105">
        <v>67.144000000000005</v>
      </c>
      <c r="M54" s="105">
        <v>38.313499999999998</v>
      </c>
      <c r="N54" s="105">
        <v>49.05</v>
      </c>
      <c r="O54" s="105">
        <v>20.2195</v>
      </c>
      <c r="P54" s="35" t="s">
        <v>1586</v>
      </c>
      <c r="Q54" s="35" t="s">
        <v>1581</v>
      </c>
      <c r="R54" s="35" t="s">
        <v>1644</v>
      </c>
      <c r="S54" s="105">
        <v>56.246400000000101</v>
      </c>
      <c r="T54" s="105">
        <v>27.4159000000001</v>
      </c>
      <c r="U54" s="35" t="s">
        <v>1610</v>
      </c>
      <c r="V54" s="35" t="s">
        <v>1689</v>
      </c>
      <c r="W54" s="105">
        <v>87.75</v>
      </c>
      <c r="X54" s="105">
        <v>58.919499999999999</v>
      </c>
      <c r="Y54" s="105">
        <v>45</v>
      </c>
      <c r="Z54" s="35" t="s">
        <v>1690</v>
      </c>
      <c r="AA54">
        <f>VLOOKUP(A54,Cover!A:R,18,0)</f>
        <v>2.25</v>
      </c>
      <c r="AB54" s="77">
        <f t="shared" si="0"/>
        <v>36.063499999999998</v>
      </c>
      <c r="AC54" s="77">
        <f t="shared" si="1"/>
        <v>17.9695</v>
      </c>
      <c r="AD54" s="77">
        <f t="shared" si="2"/>
        <v>53.710681520314544</v>
      </c>
      <c r="AE54" s="77">
        <f t="shared" si="3"/>
        <v>36.635066258919473</v>
      </c>
      <c r="AF54" s="77">
        <f t="shared" si="4"/>
        <v>25.1659000000001</v>
      </c>
      <c r="AG54" s="77">
        <f t="shared" si="5"/>
        <v>44.742241281219876</v>
      </c>
      <c r="AH54" s="77">
        <f t="shared" si="6"/>
        <v>87.75</v>
      </c>
      <c r="AI54" s="77">
        <f t="shared" si="7"/>
        <v>28.830500000000001</v>
      </c>
      <c r="AJ54" s="77">
        <f t="shared" si="8"/>
        <v>58.919499999999999</v>
      </c>
      <c r="AK54" s="77">
        <f t="shared" si="9"/>
        <v>2.25</v>
      </c>
      <c r="AL54" s="77">
        <f t="shared" si="10"/>
        <v>56.669499999999999</v>
      </c>
      <c r="AM54" s="77">
        <f t="shared" si="11"/>
        <v>64.580626780626787</v>
      </c>
      <c r="AN54" s="52" t="s">
        <v>1563</v>
      </c>
      <c r="AO54" t="s">
        <v>1577</v>
      </c>
      <c r="AP54" t="str">
        <f t="shared" si="12"/>
        <v>DDm100-33</v>
      </c>
      <c r="AQ54">
        <f>_xlfn.XLOOKUP(A54,'SYS Allocations'!A:A,'SYS Allocations'!B:B)</f>
        <v>0</v>
      </c>
      <c r="AR54">
        <f>_xlfn.XLOOKUP(A54,'SYS Allocations'!A:A,'SYS Allocations'!C:C)</f>
        <v>0</v>
      </c>
      <c r="AS54">
        <f>_xlfn.XLOOKUP(A54,'SYS Allocations'!A:A,'SYS Allocations'!D:D)</f>
        <v>0</v>
      </c>
      <c r="AT54">
        <f>_xlfn.XLOOKUP(A54,'SYS Allocations'!A:A,'SYS Allocations'!E:E)</f>
        <v>0</v>
      </c>
      <c r="AU54">
        <f>_xlfn.XLOOKUP(A54,'SYS Allocations'!A:A,'SYS Allocations'!F:F)</f>
        <v>0</v>
      </c>
      <c r="BA54" t="str">
        <f t="shared" si="13"/>
        <v>DDm100-33</v>
      </c>
    </row>
    <row r="55" spans="1:53">
      <c r="A55" s="35" t="s">
        <v>71</v>
      </c>
      <c r="B55" s="35" t="s">
        <v>1616</v>
      </c>
      <c r="C55" s="35" t="s">
        <v>1617</v>
      </c>
      <c r="D55" s="35" t="s">
        <v>1563</v>
      </c>
      <c r="E55" s="35" t="s">
        <v>1313</v>
      </c>
      <c r="F55" s="35" t="s">
        <v>1570</v>
      </c>
      <c r="G55" s="105">
        <v>36.6</v>
      </c>
      <c r="H55" s="105">
        <v>41</v>
      </c>
      <c r="I55" s="105">
        <v>1061</v>
      </c>
      <c r="J55" s="105">
        <v>57.8245</v>
      </c>
      <c r="K55" s="106">
        <v>45001</v>
      </c>
      <c r="L55" s="105">
        <v>63.830399999999997</v>
      </c>
      <c r="M55" s="105">
        <v>6.0058999999999996</v>
      </c>
      <c r="N55" s="105">
        <v>36.188000000000002</v>
      </c>
      <c r="O55" s="107">
        <v>-21.636500000000002</v>
      </c>
      <c r="P55" s="35" t="s">
        <v>1586</v>
      </c>
      <c r="Q55" s="35" t="s">
        <v>1581</v>
      </c>
      <c r="R55" s="35" t="s">
        <v>1592</v>
      </c>
      <c r="S55" s="105">
        <v>71.107200000000205</v>
      </c>
      <c r="T55" s="105">
        <v>13.282700000000199</v>
      </c>
      <c r="U55" s="35" t="s">
        <v>1591</v>
      </c>
      <c r="V55" s="35" t="s">
        <v>1691</v>
      </c>
      <c r="W55" s="105">
        <v>94.5</v>
      </c>
      <c r="X55" s="105">
        <v>36.6755</v>
      </c>
      <c r="Y55" s="105">
        <v>14</v>
      </c>
      <c r="Z55" s="35" t="s">
        <v>1526</v>
      </c>
      <c r="AA55">
        <f>VLOOKUP(A55,Cover!A:R,18,0)</f>
        <v>5</v>
      </c>
      <c r="AB55" s="77">
        <f t="shared" si="0"/>
        <v>1.0058999999999996</v>
      </c>
      <c r="AC55" s="77">
        <f t="shared" si="1"/>
        <v>-26.636500000000002</v>
      </c>
      <c r="AD55" s="77">
        <f t="shared" si="2"/>
        <v>1.5758948714092338</v>
      </c>
      <c r="AE55" s="77">
        <f t="shared" si="3"/>
        <v>-73.605891455731182</v>
      </c>
      <c r="AF55" s="77">
        <f t="shared" si="4"/>
        <v>8.2827000000001991</v>
      </c>
      <c r="AG55" s="77">
        <f t="shared" si="5"/>
        <v>11.648187525314139</v>
      </c>
      <c r="AH55" s="77">
        <f t="shared" si="6"/>
        <v>94.5</v>
      </c>
      <c r="AI55" s="77">
        <f t="shared" si="7"/>
        <v>57.8245</v>
      </c>
      <c r="AJ55" s="77">
        <f t="shared" si="8"/>
        <v>36.6755</v>
      </c>
      <c r="AK55" s="77">
        <f t="shared" si="9"/>
        <v>5</v>
      </c>
      <c r="AL55" s="77">
        <f t="shared" si="10"/>
        <v>31.6755</v>
      </c>
      <c r="AM55" s="77">
        <f t="shared" si="11"/>
        <v>33.519047619047619</v>
      </c>
      <c r="AN55" s="52" t="s">
        <v>1563</v>
      </c>
      <c r="AO55" t="s">
        <v>1577</v>
      </c>
      <c r="AP55" t="str">
        <f t="shared" si="12"/>
        <v>DDm125-33</v>
      </c>
      <c r="AQ55" t="str">
        <f>_xlfn.XLOOKUP(A55,'SYS Allocations'!A:A,'SYS Allocations'!B:B)</f>
        <v>P-Core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3"/>
        <v>DDm125-33</v>
      </c>
    </row>
    <row r="56" spans="1:53">
      <c r="A56" s="35" t="s">
        <v>72</v>
      </c>
      <c r="B56" s="35" t="s">
        <v>1616</v>
      </c>
      <c r="C56" s="35" t="s">
        <v>1617</v>
      </c>
      <c r="D56" s="35" t="s">
        <v>1568</v>
      </c>
      <c r="E56" s="35" t="s">
        <v>1320</v>
      </c>
      <c r="F56" s="35" t="s">
        <v>1570</v>
      </c>
      <c r="G56" s="105">
        <v>36.6</v>
      </c>
      <c r="H56" s="105">
        <v>56</v>
      </c>
      <c r="I56" s="105">
        <v>484</v>
      </c>
      <c r="J56" s="105">
        <v>26.378</v>
      </c>
      <c r="K56" s="106">
        <v>45048</v>
      </c>
      <c r="L56" s="105">
        <v>87.766800000000003</v>
      </c>
      <c r="M56" s="105">
        <v>61.388800000000003</v>
      </c>
      <c r="N56" s="105">
        <v>55.208500000000001</v>
      </c>
      <c r="O56" s="105">
        <v>28.830500000000001</v>
      </c>
      <c r="P56" s="35" t="s">
        <v>1610</v>
      </c>
      <c r="Q56" s="35" t="s">
        <v>1581</v>
      </c>
      <c r="R56" s="35" t="s">
        <v>1592</v>
      </c>
      <c r="S56" s="105">
        <v>88.884000000000199</v>
      </c>
      <c r="T56" s="105">
        <v>62.506000000000199</v>
      </c>
      <c r="U56" s="35" t="s">
        <v>1610</v>
      </c>
      <c r="V56" s="35" t="s">
        <v>1692</v>
      </c>
      <c r="W56" s="105">
        <v>106.5</v>
      </c>
      <c r="X56" s="105">
        <v>80.122</v>
      </c>
      <c r="Y56" s="105">
        <v>20</v>
      </c>
      <c r="Z56" s="35" t="s">
        <v>1576</v>
      </c>
      <c r="AA56">
        <f>VLOOKUP(A56,Cover!A:R,18,0)</f>
        <v>42.23</v>
      </c>
      <c r="AB56" s="77">
        <f t="shared" si="0"/>
        <v>19.158800000000006</v>
      </c>
      <c r="AC56" s="77">
        <f t="shared" si="1"/>
        <v>-13.399499999999996</v>
      </c>
      <c r="AD56" s="77">
        <f t="shared" si="2"/>
        <v>21.829211045634576</v>
      </c>
      <c r="AE56" s="77">
        <f t="shared" si="3"/>
        <v>-24.270719182734535</v>
      </c>
      <c r="AF56" s="77">
        <f t="shared" si="4"/>
        <v>20.276000000000202</v>
      </c>
      <c r="AG56" s="77">
        <f t="shared" si="5"/>
        <v>22.811754646505737</v>
      </c>
      <c r="AH56" s="77">
        <f t="shared" si="6"/>
        <v>106.5</v>
      </c>
      <c r="AI56" s="77">
        <f t="shared" si="7"/>
        <v>26.378</v>
      </c>
      <c r="AJ56" s="77">
        <f t="shared" si="8"/>
        <v>80.122</v>
      </c>
      <c r="AK56" s="77">
        <f t="shared" si="9"/>
        <v>42.23</v>
      </c>
      <c r="AL56" s="77">
        <f t="shared" si="10"/>
        <v>37.892000000000003</v>
      </c>
      <c r="AM56" s="77">
        <f t="shared" si="11"/>
        <v>35.5793427230047</v>
      </c>
      <c r="AO56" t="s">
        <v>1577</v>
      </c>
      <c r="AP56" t="str">
        <f t="shared" si="12"/>
        <v>DDm125-33</v>
      </c>
      <c r="AQ56">
        <f>_xlfn.XLOOKUP(A56,'SYS Allocations'!A:A,'SYS Allocations'!B:B)</f>
        <v>0</v>
      </c>
      <c r="AR56" t="str">
        <f>_xlfn.XLOOKUP(A56,'SYS Allocations'!A:A,'SYS Allocations'!C:C)</f>
        <v>RA</v>
      </c>
      <c r="AS56" t="str">
        <f>_xlfn.XLOOKUP(A56,'SYS Allocations'!A:A,'SYS Allocations'!D:D)</f>
        <v>PX</v>
      </c>
      <c r="AT56" t="str">
        <f>_xlfn.XLOOKUP(A56,'SYS Allocations'!A:A,'SYS Allocations'!E:E)</f>
        <v>AM</v>
      </c>
      <c r="AU56" t="str">
        <f>_xlfn.XLOOKUP(A56,'SYS Allocations'!A:A,'SYS Allocations'!F:F)</f>
        <v>OPEX</v>
      </c>
      <c r="BA56" t="str">
        <f t="shared" si="13"/>
        <v>DDm125-33</v>
      </c>
    </row>
    <row r="57" spans="1:53">
      <c r="A57" s="35" t="s">
        <v>73</v>
      </c>
      <c r="B57" s="35" t="s">
        <v>1668</v>
      </c>
      <c r="C57" s="35" t="s">
        <v>1693</v>
      </c>
      <c r="D57" s="35" t="s">
        <v>1568</v>
      </c>
      <c r="E57" s="35" t="s">
        <v>1412</v>
      </c>
      <c r="F57" s="35" t="s">
        <v>1570</v>
      </c>
      <c r="G57" s="105">
        <v>36.6</v>
      </c>
      <c r="H57" s="105">
        <v>33</v>
      </c>
      <c r="I57" s="105">
        <v>348</v>
      </c>
      <c r="J57" s="105">
        <v>18.966000000000001</v>
      </c>
      <c r="K57" s="106">
        <v>44491.6875</v>
      </c>
      <c r="L57" s="105">
        <v>51.064320000000002</v>
      </c>
      <c r="M57" s="105">
        <v>32.098320000000001</v>
      </c>
      <c r="N57" s="105">
        <v>34.182400000000001</v>
      </c>
      <c r="O57" s="105">
        <v>15.2164</v>
      </c>
      <c r="P57" s="35" t="s">
        <v>1586</v>
      </c>
      <c r="Q57" s="35" t="s">
        <v>1581</v>
      </c>
      <c r="R57" s="35" t="s">
        <v>1694</v>
      </c>
      <c r="S57" s="105">
        <v>45.964799999999997</v>
      </c>
      <c r="T57" s="105">
        <v>26.998799999999999</v>
      </c>
      <c r="U57" s="35" t="s">
        <v>1571</v>
      </c>
      <c r="V57" s="35" t="s">
        <v>1695</v>
      </c>
      <c r="W57" s="105">
        <v>60</v>
      </c>
      <c r="X57" s="105">
        <v>41.033999999999999</v>
      </c>
      <c r="Y57" s="105">
        <v>59</v>
      </c>
      <c r="Z57" s="35" t="s">
        <v>1576</v>
      </c>
      <c r="AA57">
        <f>VLOOKUP(A57,Cover!A:R,18,0)</f>
        <v>2.7</v>
      </c>
      <c r="AB57" s="77">
        <f t="shared" si="0"/>
        <v>29.398320000000002</v>
      </c>
      <c r="AC57" s="77">
        <f t="shared" si="1"/>
        <v>12.516400000000001</v>
      </c>
      <c r="AD57" s="77">
        <f t="shared" si="2"/>
        <v>57.571157316889753</v>
      </c>
      <c r="AE57" s="77">
        <f t="shared" si="3"/>
        <v>36.616504399925105</v>
      </c>
      <c r="AF57" s="77">
        <f t="shared" si="4"/>
        <v>24.2988</v>
      </c>
      <c r="AG57" s="77">
        <f t="shared" si="5"/>
        <v>52.863930659983296</v>
      </c>
      <c r="AH57" s="77">
        <f t="shared" si="6"/>
        <v>60</v>
      </c>
      <c r="AI57" s="77">
        <f t="shared" si="7"/>
        <v>18.966000000000001</v>
      </c>
      <c r="AJ57" s="77">
        <f t="shared" si="8"/>
        <v>41.033999999999999</v>
      </c>
      <c r="AK57" s="77">
        <f t="shared" si="9"/>
        <v>2.7</v>
      </c>
      <c r="AL57" s="77">
        <f t="shared" si="10"/>
        <v>38.333999999999996</v>
      </c>
      <c r="AM57" s="77">
        <f t="shared" si="11"/>
        <v>63.889999999999993</v>
      </c>
      <c r="AO57" t="s">
        <v>1577</v>
      </c>
      <c r="AP57" t="str">
        <f t="shared" si="12"/>
        <v>DDm85-33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>
        <f>_xlfn.XLOOKUP(A57,'SYS Allocations'!A:A,'SYS Allocations'!D:D)</f>
        <v>0</v>
      </c>
      <c r="AT57">
        <f>_xlfn.XLOOKUP(A57,'SYS Allocations'!A:A,'SYS Allocations'!E:E)</f>
        <v>0</v>
      </c>
      <c r="AU57">
        <f>_xlfn.XLOOKUP(A57,'SYS Allocations'!A:A,'SYS Allocations'!F:F)</f>
        <v>0</v>
      </c>
      <c r="BA57" t="str">
        <f t="shared" si="13"/>
        <v>DDm85-33</v>
      </c>
    </row>
    <row r="58" spans="1:53">
      <c r="A58" s="35" t="s">
        <v>74</v>
      </c>
      <c r="B58" s="35" t="s">
        <v>1620</v>
      </c>
      <c r="C58" s="35" t="s">
        <v>1696</v>
      </c>
      <c r="D58" s="35" t="s">
        <v>1657</v>
      </c>
      <c r="E58" s="35" t="s">
        <v>937</v>
      </c>
      <c r="F58" s="35" t="s">
        <v>1570</v>
      </c>
      <c r="G58" s="105">
        <v>36.6</v>
      </c>
      <c r="H58" s="105">
        <v>5</v>
      </c>
      <c r="I58" s="105">
        <v>71</v>
      </c>
      <c r="J58" s="105">
        <v>3.8694999999999999</v>
      </c>
      <c r="K58" s="106">
        <v>45264</v>
      </c>
      <c r="L58" s="105">
        <v>6.3830400000000003</v>
      </c>
      <c r="M58" s="105">
        <v>2.5135399999999999</v>
      </c>
      <c r="N58" s="105">
        <v>4.4908000000000001</v>
      </c>
      <c r="O58" s="105">
        <v>0.62129999999999996</v>
      </c>
      <c r="P58" s="35" t="s">
        <v>1591</v>
      </c>
      <c r="Q58" s="35" t="s">
        <v>1599</v>
      </c>
      <c r="R58" s="35" t="s">
        <v>1679</v>
      </c>
      <c r="S58" s="105">
        <v>7.8105600000000104</v>
      </c>
      <c r="T58" s="105">
        <v>3.94106000000001</v>
      </c>
      <c r="U58" s="35" t="s">
        <v>1574</v>
      </c>
      <c r="V58" s="35" t="s">
        <v>1697</v>
      </c>
      <c r="W58" s="105">
        <v>7.125</v>
      </c>
      <c r="X58" s="105">
        <v>3.2555000000000001</v>
      </c>
      <c r="Y58" s="105">
        <v>1</v>
      </c>
      <c r="Z58" s="35" t="s">
        <v>8</v>
      </c>
      <c r="AA58">
        <f>VLOOKUP(A58,Cover!A:R,18,0)</f>
        <v>0</v>
      </c>
      <c r="AB58" s="77">
        <f t="shared" si="0"/>
        <v>2.5135399999999999</v>
      </c>
      <c r="AC58" s="77">
        <f t="shared" si="1"/>
        <v>0.62129999999999996</v>
      </c>
      <c r="AD58" s="77">
        <f t="shared" si="2"/>
        <v>39.378415300546443</v>
      </c>
      <c r="AE58" s="77">
        <f t="shared" si="3"/>
        <v>13.834951456310678</v>
      </c>
      <c r="AF58" s="77">
        <f t="shared" si="4"/>
        <v>3.94106000000001</v>
      </c>
      <c r="AG58" s="77">
        <f t="shared" si="5"/>
        <v>50.45809775483454</v>
      </c>
      <c r="AH58" s="77">
        <f t="shared" si="6"/>
        <v>7.125</v>
      </c>
      <c r="AI58" s="77">
        <f t="shared" si="7"/>
        <v>3.8694999999999999</v>
      </c>
      <c r="AJ58" s="77">
        <f t="shared" si="8"/>
        <v>3.2555000000000001</v>
      </c>
      <c r="AK58" s="77">
        <f t="shared" si="9"/>
        <v>0</v>
      </c>
      <c r="AL58" s="77">
        <f t="shared" si="10"/>
        <v>3.2555000000000001</v>
      </c>
      <c r="AM58" s="77">
        <f t="shared" si="11"/>
        <v>45.691228070175441</v>
      </c>
      <c r="AN58" s="52" t="s">
        <v>1563</v>
      </c>
      <c r="AO58" t="s">
        <v>1577</v>
      </c>
      <c r="AP58" t="str">
        <f t="shared" si="12"/>
        <v>12V100F</v>
      </c>
      <c r="AQ58">
        <f>_xlfn.XLOOKUP(A58,'SYS Allocations'!A:A,'SYS Allocations'!B:B)</f>
        <v>0</v>
      </c>
      <c r="AR58">
        <f>_xlfn.XLOOKUP(A58,'SYS Allocations'!A:A,'SYS Allocations'!C:C)</f>
        <v>0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3"/>
        <v>12V100F</v>
      </c>
    </row>
    <row r="59" spans="1:53">
      <c r="A59" s="35" t="s">
        <v>75</v>
      </c>
      <c r="B59" s="35" t="s">
        <v>1578</v>
      </c>
      <c r="C59" s="35" t="s">
        <v>1698</v>
      </c>
      <c r="D59" s="35" t="s">
        <v>1568</v>
      </c>
      <c r="E59" s="35" t="s">
        <v>1239</v>
      </c>
      <c r="F59" s="35" t="s">
        <v>1699</v>
      </c>
      <c r="G59" s="105">
        <v>60.4</v>
      </c>
      <c r="H59" s="105">
        <v>11</v>
      </c>
      <c r="I59" s="105">
        <v>148</v>
      </c>
      <c r="J59" s="105">
        <v>8.0660000000000007</v>
      </c>
      <c r="K59" s="106">
        <v>45264</v>
      </c>
      <c r="L59" s="105">
        <v>26.334399999999999</v>
      </c>
      <c r="M59" s="105">
        <v>18.2684</v>
      </c>
      <c r="N59" s="105">
        <v>15.478</v>
      </c>
      <c r="O59" s="105">
        <v>7.4119999999999999</v>
      </c>
      <c r="P59" s="35" t="s">
        <v>1574</v>
      </c>
      <c r="Q59" s="35" t="s">
        <v>1581</v>
      </c>
      <c r="R59" s="35" t="s">
        <v>1644</v>
      </c>
      <c r="S59" s="105">
        <v>28.123200000000001</v>
      </c>
      <c r="T59" s="105">
        <v>20.057200000000002</v>
      </c>
      <c r="U59" s="35" t="s">
        <v>1610</v>
      </c>
      <c r="V59" s="35" t="s">
        <v>1653</v>
      </c>
      <c r="W59" s="105">
        <v>90</v>
      </c>
      <c r="X59" s="105">
        <v>81.933999999999997</v>
      </c>
      <c r="Y59" s="105">
        <v>3</v>
      </c>
      <c r="Z59" s="35" t="s">
        <v>1576</v>
      </c>
      <c r="AA59">
        <f>VLOOKUP(A59,Cover!A:R,18,0)</f>
        <v>0</v>
      </c>
      <c r="AB59" s="77">
        <f t="shared" si="0"/>
        <v>18.2684</v>
      </c>
      <c r="AC59" s="77">
        <f t="shared" si="1"/>
        <v>7.4119999999999999</v>
      </c>
      <c r="AD59" s="77">
        <f t="shared" si="2"/>
        <v>69.370860927152322</v>
      </c>
      <c r="AE59" s="77">
        <f t="shared" si="3"/>
        <v>47.887323943661968</v>
      </c>
      <c r="AF59" s="77">
        <f t="shared" si="4"/>
        <v>20.057200000000002</v>
      </c>
      <c r="AG59" s="77">
        <f t="shared" si="5"/>
        <v>71.319053308300624</v>
      </c>
      <c r="AH59" s="77">
        <f t="shared" si="6"/>
        <v>90</v>
      </c>
      <c r="AI59" s="77">
        <f t="shared" si="7"/>
        <v>8.0660000000000007</v>
      </c>
      <c r="AJ59" s="77">
        <f t="shared" si="8"/>
        <v>81.933999999999997</v>
      </c>
      <c r="AK59" s="77">
        <f t="shared" si="9"/>
        <v>0</v>
      </c>
      <c r="AL59" s="77">
        <f t="shared" si="10"/>
        <v>81.933999999999997</v>
      </c>
      <c r="AM59" s="77">
        <f t="shared" si="11"/>
        <v>91.037777777777777</v>
      </c>
      <c r="AO59" t="s">
        <v>1577</v>
      </c>
      <c r="AP59" t="str">
        <f t="shared" si="12"/>
        <v>DDm100-33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3"/>
        <v>DDm100-33</v>
      </c>
    </row>
    <row r="60" spans="1:53">
      <c r="A60" s="35" t="s">
        <v>76</v>
      </c>
      <c r="B60" s="35" t="s">
        <v>1642</v>
      </c>
      <c r="C60" s="35" t="s">
        <v>1700</v>
      </c>
      <c r="D60" s="35" t="s">
        <v>1568</v>
      </c>
      <c r="E60" s="35" t="s">
        <v>1701</v>
      </c>
      <c r="F60" s="35" t="s">
        <v>1580</v>
      </c>
      <c r="G60" s="105">
        <v>75</v>
      </c>
      <c r="H60" s="105">
        <v>2</v>
      </c>
      <c r="I60" s="105">
        <v>5</v>
      </c>
      <c r="J60" s="105">
        <v>0.27250000000000002</v>
      </c>
      <c r="K60" s="106">
        <v>44873</v>
      </c>
      <c r="L60" s="105">
        <v>3.27</v>
      </c>
      <c r="M60" s="105">
        <v>2.9975000000000001</v>
      </c>
      <c r="N60" s="105">
        <v>1.9075</v>
      </c>
      <c r="O60" s="105">
        <v>1.635</v>
      </c>
      <c r="P60" s="35" t="s">
        <v>1586</v>
      </c>
      <c r="Q60" s="35" t="s">
        <v>1581</v>
      </c>
      <c r="R60" s="35" t="s">
        <v>1675</v>
      </c>
      <c r="S60" s="105">
        <v>3.5855999999999999</v>
      </c>
      <c r="T60" s="105">
        <v>3.3130999999999999</v>
      </c>
      <c r="U60" s="35" t="s">
        <v>1586</v>
      </c>
      <c r="V60" s="35" t="s">
        <v>1673</v>
      </c>
      <c r="W60" s="105">
        <v>11.25</v>
      </c>
      <c r="X60" s="105">
        <v>10.977499999999999</v>
      </c>
      <c r="Y60" s="105">
        <v>4</v>
      </c>
      <c r="Z60" s="35" t="s">
        <v>1576</v>
      </c>
      <c r="AA60">
        <f>VLOOKUP(A60,Cover!A:R,18,0)</f>
        <v>0</v>
      </c>
      <c r="AB60" s="77">
        <f t="shared" si="0"/>
        <v>2.9975000000000001</v>
      </c>
      <c r="AC60" s="77">
        <f t="shared" si="1"/>
        <v>1.635</v>
      </c>
      <c r="AD60" s="77">
        <f t="shared" si="2"/>
        <v>91.666666666666671</v>
      </c>
      <c r="AE60" s="77">
        <f t="shared" si="3"/>
        <v>85.714285714285722</v>
      </c>
      <c r="AF60" s="77">
        <f t="shared" si="4"/>
        <v>3.3130999999999999</v>
      </c>
      <c r="AG60" s="77">
        <f t="shared" si="5"/>
        <v>92.400156180276667</v>
      </c>
      <c r="AH60" s="77">
        <f t="shared" si="6"/>
        <v>11.25</v>
      </c>
      <c r="AI60" s="77">
        <f t="shared" si="7"/>
        <v>0.27250000000000002</v>
      </c>
      <c r="AJ60" s="77">
        <f t="shared" si="8"/>
        <v>10.977499999999999</v>
      </c>
      <c r="AK60" s="77">
        <f t="shared" si="9"/>
        <v>0</v>
      </c>
      <c r="AL60" s="77">
        <f t="shared" si="10"/>
        <v>10.977499999999999</v>
      </c>
      <c r="AM60" s="77">
        <f t="shared" si="11"/>
        <v>97.577777777777769</v>
      </c>
      <c r="AO60" t="s">
        <v>1577</v>
      </c>
      <c r="AP60" t="str">
        <f t="shared" si="12"/>
        <v>12V101F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3"/>
        <v xml:space="preserve">12V101F </v>
      </c>
    </row>
    <row r="61" spans="1:53">
      <c r="A61" s="35" t="s">
        <v>77</v>
      </c>
      <c r="B61" s="35" t="s">
        <v>1566</v>
      </c>
      <c r="C61" s="35" t="s">
        <v>1702</v>
      </c>
      <c r="D61" s="35" t="s">
        <v>1657</v>
      </c>
      <c r="E61" s="35" t="s">
        <v>768</v>
      </c>
      <c r="F61" s="35" t="s">
        <v>1580</v>
      </c>
      <c r="G61" s="105">
        <v>75</v>
      </c>
      <c r="H61" s="105">
        <v>6</v>
      </c>
      <c r="I61" s="105">
        <v>140</v>
      </c>
      <c r="J61" s="105">
        <v>7.63</v>
      </c>
      <c r="K61" s="106">
        <v>44686.541666666701</v>
      </c>
      <c r="L61" s="105">
        <v>16.350000000000001</v>
      </c>
      <c r="M61" s="105">
        <v>8.7200000000000006</v>
      </c>
      <c r="N61" s="105">
        <v>10.709250000000001</v>
      </c>
      <c r="O61" s="105">
        <v>3.07925</v>
      </c>
      <c r="P61" s="35" t="s">
        <v>1571</v>
      </c>
      <c r="Q61" s="35" t="s">
        <v>1581</v>
      </c>
      <c r="R61" s="35" t="s">
        <v>1609</v>
      </c>
      <c r="S61" s="105">
        <v>15.1632</v>
      </c>
      <c r="T61" s="105">
        <v>7.5331999999999901</v>
      </c>
      <c r="U61" s="35" t="s">
        <v>1571</v>
      </c>
      <c r="V61" s="35" t="s">
        <v>1583</v>
      </c>
      <c r="W61" s="105">
        <v>22.5</v>
      </c>
      <c r="X61" s="105">
        <v>14.87</v>
      </c>
      <c r="Y61" s="105">
        <v>1</v>
      </c>
      <c r="Z61" s="35" t="s">
        <v>8</v>
      </c>
      <c r="AA61">
        <f>VLOOKUP(A61,Cover!A:R,18,0)</f>
        <v>1</v>
      </c>
      <c r="AB61" s="77">
        <f t="shared" si="0"/>
        <v>7.7200000000000006</v>
      </c>
      <c r="AC61" s="77">
        <f t="shared" si="1"/>
        <v>2.07925</v>
      </c>
      <c r="AD61" s="77">
        <f t="shared" si="2"/>
        <v>47.217125382262999</v>
      </c>
      <c r="AE61" s="77">
        <f t="shared" si="3"/>
        <v>19.415458598874803</v>
      </c>
      <c r="AF61" s="77">
        <f t="shared" si="4"/>
        <v>6.5331999999999901</v>
      </c>
      <c r="AG61" s="77">
        <f t="shared" si="5"/>
        <v>43.085892159966171</v>
      </c>
      <c r="AH61" s="77">
        <f t="shared" si="6"/>
        <v>22.5</v>
      </c>
      <c r="AI61" s="77">
        <f t="shared" si="7"/>
        <v>7.63</v>
      </c>
      <c r="AJ61" s="77">
        <f t="shared" si="8"/>
        <v>14.870000000000001</v>
      </c>
      <c r="AK61" s="77">
        <f t="shared" si="9"/>
        <v>1</v>
      </c>
      <c r="AL61" s="77">
        <f t="shared" si="10"/>
        <v>13.870000000000001</v>
      </c>
      <c r="AM61" s="77">
        <f t="shared" si="11"/>
        <v>61.644444444444446</v>
      </c>
      <c r="AN61" s="52" t="s">
        <v>1563</v>
      </c>
      <c r="AO61" t="s">
        <v>1577</v>
      </c>
      <c r="AP61" t="str">
        <f t="shared" si="12"/>
        <v>2DDm85-15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3"/>
        <v>2DDm85-15</v>
      </c>
    </row>
    <row r="62" spans="1:53">
      <c r="A62" s="35" t="s">
        <v>78</v>
      </c>
      <c r="B62" s="35" t="s">
        <v>1566</v>
      </c>
      <c r="C62" s="35" t="s">
        <v>1702</v>
      </c>
      <c r="D62" s="35" t="s">
        <v>1613</v>
      </c>
      <c r="E62" s="35" t="s">
        <v>772</v>
      </c>
      <c r="F62" s="35" t="s">
        <v>1570</v>
      </c>
      <c r="G62" s="105">
        <v>36.6</v>
      </c>
      <c r="H62" s="105">
        <v>9</v>
      </c>
      <c r="I62" s="105">
        <v>69</v>
      </c>
      <c r="J62" s="105">
        <v>3.7605</v>
      </c>
      <c r="K62" s="106">
        <v>44596.541666666701</v>
      </c>
      <c r="L62" s="105">
        <v>12.766080000000001</v>
      </c>
      <c r="M62" s="105">
        <v>9.0055800000000001</v>
      </c>
      <c r="N62" s="105">
        <v>9.4720999999999993</v>
      </c>
      <c r="O62" s="105">
        <v>5.7115999999999998</v>
      </c>
      <c r="P62" s="35" t="s">
        <v>1574</v>
      </c>
      <c r="Q62" s="35" t="s">
        <v>1581</v>
      </c>
      <c r="R62" s="35" t="s">
        <v>1609</v>
      </c>
      <c r="S62" s="105">
        <v>10.1088</v>
      </c>
      <c r="T62" s="105">
        <v>6.3482999999999796</v>
      </c>
      <c r="U62" s="35" t="s">
        <v>1574</v>
      </c>
      <c r="V62" s="35" t="s">
        <v>1673</v>
      </c>
      <c r="W62" s="105">
        <v>11.25</v>
      </c>
      <c r="X62" s="105">
        <v>7.4894999999999996</v>
      </c>
      <c r="Y62" s="105">
        <v>12</v>
      </c>
      <c r="Z62" s="35" t="s">
        <v>1576</v>
      </c>
      <c r="AA62">
        <f>VLOOKUP(A62,Cover!A:R,18,0)</f>
        <v>0</v>
      </c>
      <c r="AB62" s="77">
        <f t="shared" si="0"/>
        <v>9.0055800000000001</v>
      </c>
      <c r="AC62" s="77">
        <f t="shared" si="1"/>
        <v>5.7115999999999998</v>
      </c>
      <c r="AD62" s="77">
        <f t="shared" si="2"/>
        <v>70.543032786885234</v>
      </c>
      <c r="AE62" s="77">
        <f t="shared" si="3"/>
        <v>60.299194476409667</v>
      </c>
      <c r="AF62" s="77">
        <f t="shared" si="4"/>
        <v>6.3482999999999796</v>
      </c>
      <c r="AG62" s="77">
        <f t="shared" si="5"/>
        <v>62.799738841405301</v>
      </c>
      <c r="AH62" s="77">
        <f t="shared" si="6"/>
        <v>11.25</v>
      </c>
      <c r="AI62" s="77">
        <f t="shared" si="7"/>
        <v>3.7605</v>
      </c>
      <c r="AJ62" s="77">
        <f t="shared" si="8"/>
        <v>7.4894999999999996</v>
      </c>
      <c r="AK62" s="77">
        <f t="shared" si="9"/>
        <v>0</v>
      </c>
      <c r="AL62" s="77">
        <f t="shared" si="10"/>
        <v>7.4894999999999996</v>
      </c>
      <c r="AM62" s="77">
        <f t="shared" si="11"/>
        <v>66.573333333333323</v>
      </c>
      <c r="AO62" t="s">
        <v>1577</v>
      </c>
      <c r="AP62" t="str">
        <f t="shared" si="12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3"/>
        <v>2DDm85-15</v>
      </c>
    </row>
    <row r="63" spans="1:53">
      <c r="A63" s="35" t="s">
        <v>79</v>
      </c>
      <c r="B63" s="35" t="s">
        <v>1602</v>
      </c>
      <c r="C63" s="35" t="s">
        <v>1703</v>
      </c>
      <c r="D63" s="35" t="s">
        <v>1568</v>
      </c>
      <c r="E63" s="35" t="s">
        <v>1269</v>
      </c>
      <c r="F63" s="35" t="s">
        <v>1570</v>
      </c>
      <c r="G63" s="105">
        <v>36.6</v>
      </c>
      <c r="H63" s="105">
        <v>15</v>
      </c>
      <c r="I63" s="105">
        <v>132</v>
      </c>
      <c r="J63" s="105">
        <v>7.194</v>
      </c>
      <c r="K63" s="106">
        <v>44448.708333333299</v>
      </c>
      <c r="L63" s="105">
        <v>22.34064</v>
      </c>
      <c r="M63" s="105">
        <v>15.14664</v>
      </c>
      <c r="N63" s="105">
        <v>14.0283</v>
      </c>
      <c r="O63" s="105">
        <v>6.8342999999999998</v>
      </c>
      <c r="P63" s="35" t="s">
        <v>1610</v>
      </c>
      <c r="Q63" s="35" t="s">
        <v>1581</v>
      </c>
      <c r="R63" s="35" t="s">
        <v>1704</v>
      </c>
      <c r="S63" s="105">
        <v>21.815999999999999</v>
      </c>
      <c r="T63" s="105">
        <v>14.622</v>
      </c>
      <c r="U63" s="35" t="s">
        <v>1586</v>
      </c>
      <c r="V63" s="35" t="s">
        <v>1705</v>
      </c>
      <c r="W63" s="105">
        <v>16.875</v>
      </c>
      <c r="X63" s="105">
        <v>9.6809999999999992</v>
      </c>
      <c r="Y63" s="105">
        <v>13</v>
      </c>
      <c r="Z63" s="35" t="s">
        <v>1576</v>
      </c>
      <c r="AA63">
        <f>VLOOKUP(A63,Cover!A:R,18,0)</f>
        <v>1</v>
      </c>
      <c r="AB63" s="77">
        <f t="shared" si="0"/>
        <v>14.14664</v>
      </c>
      <c r="AC63" s="77">
        <f t="shared" si="1"/>
        <v>5.8342999999999998</v>
      </c>
      <c r="AD63" s="77">
        <f t="shared" si="2"/>
        <v>63.322447342600746</v>
      </c>
      <c r="AE63" s="77">
        <f t="shared" si="3"/>
        <v>41.589501222528746</v>
      </c>
      <c r="AF63" s="77">
        <f t="shared" si="4"/>
        <v>13.622</v>
      </c>
      <c r="AG63" s="77">
        <f t="shared" si="5"/>
        <v>62.440410707737442</v>
      </c>
      <c r="AH63" s="77">
        <f t="shared" si="6"/>
        <v>16.875</v>
      </c>
      <c r="AI63" s="77">
        <f t="shared" si="7"/>
        <v>7.194</v>
      </c>
      <c r="AJ63" s="77">
        <f t="shared" si="8"/>
        <v>9.6810000000000009</v>
      </c>
      <c r="AK63" s="77">
        <f t="shared" si="9"/>
        <v>1</v>
      </c>
      <c r="AL63" s="77">
        <f t="shared" si="10"/>
        <v>8.6810000000000009</v>
      </c>
      <c r="AM63" s="77">
        <f t="shared" si="11"/>
        <v>51.442962962962966</v>
      </c>
      <c r="AO63" t="s">
        <v>1577</v>
      </c>
      <c r="AP63" t="str">
        <f t="shared" si="12"/>
        <v>2DDm85-13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3"/>
        <v>2DDm85-13</v>
      </c>
    </row>
    <row r="64" spans="1:53">
      <c r="A64" s="35" t="s">
        <v>80</v>
      </c>
      <c r="B64" s="35" t="s">
        <v>1706</v>
      </c>
      <c r="C64" s="35" t="s">
        <v>1707</v>
      </c>
      <c r="D64" s="35" t="s">
        <v>1568</v>
      </c>
      <c r="E64" s="35" t="s">
        <v>1332</v>
      </c>
      <c r="F64" s="35" t="s">
        <v>1570</v>
      </c>
      <c r="G64" s="105">
        <v>36.6</v>
      </c>
      <c r="H64" s="105">
        <v>27</v>
      </c>
      <c r="I64" s="105">
        <v>318</v>
      </c>
      <c r="J64" s="105">
        <v>17.331</v>
      </c>
      <c r="K64" s="106">
        <v>45264</v>
      </c>
      <c r="L64" s="105">
        <v>41.489759999999997</v>
      </c>
      <c r="M64" s="105">
        <v>24.158760000000001</v>
      </c>
      <c r="N64" s="105">
        <v>30.062200000000001</v>
      </c>
      <c r="O64" s="105">
        <v>12.731199999999999</v>
      </c>
      <c r="P64" s="35" t="s">
        <v>1574</v>
      </c>
      <c r="Q64" s="35" t="s">
        <v>1581</v>
      </c>
      <c r="R64" s="35" t="s">
        <v>1592</v>
      </c>
      <c r="S64" s="105">
        <v>35.553600000000003</v>
      </c>
      <c r="T64" s="105">
        <v>18.2226</v>
      </c>
      <c r="U64" s="35" t="s">
        <v>1571</v>
      </c>
      <c r="V64" s="35" t="s">
        <v>1583</v>
      </c>
      <c r="W64" s="105">
        <v>22.5</v>
      </c>
      <c r="X64" s="105">
        <v>5.1689999999999996</v>
      </c>
      <c r="Y64" s="105">
        <v>15</v>
      </c>
      <c r="Z64" s="35" t="s">
        <v>1576</v>
      </c>
      <c r="AA64">
        <f>VLOOKUP(A64,Cover!A:R,18,0)</f>
        <v>3</v>
      </c>
      <c r="AB64" s="77">
        <f t="shared" si="0"/>
        <v>21.158760000000001</v>
      </c>
      <c r="AC64" s="77">
        <f t="shared" si="1"/>
        <v>9.7311999999999994</v>
      </c>
      <c r="AD64" s="77">
        <f t="shared" si="2"/>
        <v>50.997547346622397</v>
      </c>
      <c r="AE64" s="77">
        <f t="shared" si="3"/>
        <v>32.370219079109312</v>
      </c>
      <c r="AF64" s="77">
        <f t="shared" si="4"/>
        <v>15.2226</v>
      </c>
      <c r="AG64" s="77">
        <f t="shared" si="5"/>
        <v>42.815917375455648</v>
      </c>
      <c r="AH64" s="77">
        <f t="shared" si="6"/>
        <v>22.5</v>
      </c>
      <c r="AI64" s="77">
        <f t="shared" si="7"/>
        <v>17.331</v>
      </c>
      <c r="AJ64" s="77">
        <f t="shared" si="8"/>
        <v>5.1690000000000005</v>
      </c>
      <c r="AK64" s="77">
        <f t="shared" si="9"/>
        <v>3</v>
      </c>
      <c r="AL64" s="77">
        <f t="shared" si="10"/>
        <v>2.1690000000000005</v>
      </c>
      <c r="AM64" s="77">
        <f t="shared" si="11"/>
        <v>9.6400000000000023</v>
      </c>
      <c r="AO64" t="s">
        <v>1577</v>
      </c>
      <c r="AP64" t="str">
        <f t="shared" si="12"/>
        <v>DDm125-33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3"/>
        <v>DDm125-33</v>
      </c>
    </row>
    <row r="65" spans="1:53">
      <c r="A65" s="35" t="s">
        <v>81</v>
      </c>
      <c r="B65" s="35" t="s">
        <v>1620</v>
      </c>
      <c r="C65" s="35" t="s">
        <v>1708</v>
      </c>
      <c r="D65" s="35" t="s">
        <v>1613</v>
      </c>
      <c r="E65" s="35" t="s">
        <v>979</v>
      </c>
      <c r="F65" s="35" t="s">
        <v>1570</v>
      </c>
      <c r="G65" s="105">
        <v>36.6</v>
      </c>
      <c r="H65" s="105">
        <v>5</v>
      </c>
      <c r="I65" s="105">
        <v>39</v>
      </c>
      <c r="J65" s="105">
        <v>2.1255000000000002</v>
      </c>
      <c r="K65" s="106">
        <v>44501.458333333299</v>
      </c>
      <c r="L65" s="105">
        <v>6.3830400000000003</v>
      </c>
      <c r="M65" s="105">
        <v>4.2575399999999997</v>
      </c>
      <c r="N65" s="105">
        <v>4.4908000000000001</v>
      </c>
      <c r="O65" s="105">
        <v>2.3653</v>
      </c>
      <c r="P65" s="35" t="s">
        <v>1591</v>
      </c>
      <c r="Q65" s="35" t="s">
        <v>1599</v>
      </c>
      <c r="R65" s="35" t="s">
        <v>1679</v>
      </c>
      <c r="S65" s="105">
        <v>7.8105600000000104</v>
      </c>
      <c r="T65" s="105">
        <v>5.6850600000000098</v>
      </c>
      <c r="U65" s="35" t="s">
        <v>1574</v>
      </c>
      <c r="V65" s="35" t="s">
        <v>1591</v>
      </c>
      <c r="W65" s="105">
        <v>6</v>
      </c>
      <c r="X65" s="105">
        <v>3.8744999999999998</v>
      </c>
      <c r="Y65" s="105">
        <v>8</v>
      </c>
      <c r="Z65" s="35" t="s">
        <v>1576</v>
      </c>
      <c r="AA65">
        <f>VLOOKUP(A65,Cover!A:R,18,0)</f>
        <v>0</v>
      </c>
      <c r="AB65" s="77">
        <f t="shared" si="0"/>
        <v>4.2575399999999997</v>
      </c>
      <c r="AC65" s="77">
        <f t="shared" si="1"/>
        <v>2.3653</v>
      </c>
      <c r="AD65" s="77">
        <f t="shared" si="2"/>
        <v>66.700819672131132</v>
      </c>
      <c r="AE65" s="77">
        <f t="shared" si="3"/>
        <v>52.669902912621353</v>
      </c>
      <c r="AF65" s="77">
        <f t="shared" si="4"/>
        <v>5.6850600000000098</v>
      </c>
      <c r="AG65" s="77">
        <f t="shared" si="5"/>
        <v>72.786842428711921</v>
      </c>
      <c r="AH65" s="77">
        <f t="shared" si="6"/>
        <v>6</v>
      </c>
      <c r="AI65" s="77">
        <f t="shared" si="7"/>
        <v>2.1255000000000002</v>
      </c>
      <c r="AJ65" s="77">
        <f t="shared" si="8"/>
        <v>3.8744999999999998</v>
      </c>
      <c r="AK65" s="77">
        <f t="shared" si="9"/>
        <v>0</v>
      </c>
      <c r="AL65" s="77">
        <f t="shared" si="10"/>
        <v>3.8744999999999998</v>
      </c>
      <c r="AM65" s="77">
        <f t="shared" si="11"/>
        <v>64.575000000000003</v>
      </c>
      <c r="AO65" t="s">
        <v>1577</v>
      </c>
      <c r="AP65" t="str">
        <f t="shared" si="12"/>
        <v>12V100F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3"/>
        <v>12V100F</v>
      </c>
    </row>
    <row r="66" spans="1:53">
      <c r="A66" s="35" t="s">
        <v>82</v>
      </c>
      <c r="B66" s="35" t="s">
        <v>1566</v>
      </c>
      <c r="C66" s="35" t="s">
        <v>1709</v>
      </c>
      <c r="D66" s="35" t="s">
        <v>1568</v>
      </c>
      <c r="E66" s="35" t="s">
        <v>774</v>
      </c>
      <c r="F66" s="35" t="s">
        <v>1570</v>
      </c>
      <c r="G66" s="105">
        <v>36.6</v>
      </c>
      <c r="H66" s="105">
        <v>16</v>
      </c>
      <c r="I66" s="105">
        <v>220</v>
      </c>
      <c r="J66" s="105">
        <v>11.99</v>
      </c>
      <c r="K66" s="106">
        <v>45058</v>
      </c>
      <c r="L66" s="105">
        <v>23.936399999999999</v>
      </c>
      <c r="M66" s="105">
        <v>11.946400000000001</v>
      </c>
      <c r="N66" s="105">
        <v>0.27250000000000002</v>
      </c>
      <c r="O66" s="107">
        <v>-11.717499999999999</v>
      </c>
      <c r="P66" s="35" t="s">
        <v>1586</v>
      </c>
      <c r="Q66" s="35" t="s">
        <v>1581</v>
      </c>
      <c r="R66" s="35" t="s">
        <v>1694</v>
      </c>
      <c r="S66" s="105">
        <v>45.964799999999997</v>
      </c>
      <c r="T66" s="105">
        <v>33.974800000000002</v>
      </c>
      <c r="U66" s="35" t="s">
        <v>1574</v>
      </c>
      <c r="V66" s="35" t="s">
        <v>1710</v>
      </c>
      <c r="W66" s="105">
        <v>16.5</v>
      </c>
      <c r="X66" s="105">
        <v>4.51</v>
      </c>
      <c r="Y66" s="105">
        <v>6</v>
      </c>
      <c r="Z66" s="35" t="s">
        <v>1576</v>
      </c>
      <c r="AA66">
        <f>VLOOKUP(A66,Cover!A:R,18,0)</f>
        <v>1.5</v>
      </c>
      <c r="AB66" s="77">
        <f t="shared" si="0"/>
        <v>10.446400000000001</v>
      </c>
      <c r="AC66" s="77">
        <f t="shared" si="1"/>
        <v>-13.217499999999999</v>
      </c>
      <c r="AD66" s="77">
        <f t="shared" si="2"/>
        <v>43.642318811517193</v>
      </c>
      <c r="AE66" s="77">
        <f t="shared" si="3"/>
        <v>-4850.45871559633</v>
      </c>
      <c r="AF66" s="77">
        <f t="shared" si="4"/>
        <v>32.474800000000002</v>
      </c>
      <c r="AG66" s="77">
        <f t="shared" si="5"/>
        <v>70.651455026455039</v>
      </c>
      <c r="AH66" s="77">
        <f t="shared" si="6"/>
        <v>16.5</v>
      </c>
      <c r="AI66" s="77">
        <f t="shared" si="7"/>
        <v>11.99</v>
      </c>
      <c r="AJ66" s="77">
        <f t="shared" si="8"/>
        <v>4.51</v>
      </c>
      <c r="AK66" s="77">
        <f t="shared" si="9"/>
        <v>1.5</v>
      </c>
      <c r="AL66" s="77">
        <f t="shared" si="10"/>
        <v>3.01</v>
      </c>
      <c r="AM66" s="77">
        <f t="shared" si="11"/>
        <v>18.242424242424239</v>
      </c>
      <c r="AO66" t="s">
        <v>1577</v>
      </c>
      <c r="AP66" t="str">
        <f t="shared" si="12"/>
        <v>DDm85-33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3"/>
        <v>DDm85-33</v>
      </c>
    </row>
    <row r="67" spans="1:53">
      <c r="A67" s="35" t="s">
        <v>83</v>
      </c>
      <c r="B67" s="35" t="s">
        <v>1636</v>
      </c>
      <c r="C67" s="35" t="s">
        <v>1711</v>
      </c>
      <c r="D67" s="35" t="s">
        <v>1563</v>
      </c>
      <c r="E67" s="35" t="s">
        <v>1044</v>
      </c>
      <c r="F67" s="35" t="s">
        <v>1570</v>
      </c>
      <c r="G67" s="105">
        <v>36.6</v>
      </c>
      <c r="H67" s="105">
        <v>11</v>
      </c>
      <c r="I67" s="105">
        <v>72</v>
      </c>
      <c r="J67" s="105">
        <v>3.9239999999999999</v>
      </c>
      <c r="K67" s="106">
        <v>45264</v>
      </c>
      <c r="L67" s="105">
        <v>15.957599999999999</v>
      </c>
      <c r="M67" s="105">
        <v>12.0336</v>
      </c>
      <c r="N67" s="105">
        <v>14.388</v>
      </c>
      <c r="O67" s="105">
        <v>10.464</v>
      </c>
      <c r="P67" s="35" t="s">
        <v>1574</v>
      </c>
      <c r="Q67" s="35" t="s">
        <v>1581</v>
      </c>
      <c r="R67" s="35" t="s">
        <v>1704</v>
      </c>
      <c r="S67" s="105">
        <v>8.7264000000000301</v>
      </c>
      <c r="T67" s="105">
        <v>4.8024000000000298</v>
      </c>
      <c r="U67" s="35" t="s">
        <v>1574</v>
      </c>
      <c r="V67" s="35" t="s">
        <v>1591</v>
      </c>
      <c r="W67" s="105">
        <v>6</v>
      </c>
      <c r="X67" s="105">
        <v>2.0760000000000001</v>
      </c>
      <c r="Y67" s="105">
        <v>0</v>
      </c>
      <c r="Z67" s="35" t="s">
        <v>8</v>
      </c>
      <c r="AA67">
        <f>VLOOKUP(A67,Cover!A:R,18,0)</f>
        <v>0</v>
      </c>
      <c r="AB67" s="77">
        <f t="shared" si="0"/>
        <v>12.0336</v>
      </c>
      <c r="AC67" s="77">
        <f t="shared" si="1"/>
        <v>10.464</v>
      </c>
      <c r="AD67" s="77">
        <f t="shared" si="2"/>
        <v>75.409836065573771</v>
      </c>
      <c r="AE67" s="77">
        <f t="shared" si="3"/>
        <v>72.72727272727272</v>
      </c>
      <c r="AF67" s="77">
        <f t="shared" si="4"/>
        <v>4.8024000000000298</v>
      </c>
      <c r="AG67" s="77">
        <f t="shared" si="5"/>
        <v>55.033003300330186</v>
      </c>
      <c r="AH67" s="77">
        <f t="shared" si="6"/>
        <v>6</v>
      </c>
      <c r="AI67" s="77">
        <f t="shared" si="7"/>
        <v>3.9239999999999999</v>
      </c>
      <c r="AJ67" s="77">
        <f t="shared" si="8"/>
        <v>2.0760000000000001</v>
      </c>
      <c r="AK67" s="77">
        <f t="shared" si="9"/>
        <v>0</v>
      </c>
      <c r="AL67" s="77">
        <f t="shared" si="10"/>
        <v>2.0760000000000001</v>
      </c>
      <c r="AM67" s="77">
        <f t="shared" si="11"/>
        <v>34.6</v>
      </c>
      <c r="AN67" s="52" t="s">
        <v>1563</v>
      </c>
      <c r="AO67" t="s">
        <v>1577</v>
      </c>
      <c r="AP67" t="str">
        <f t="shared" si="12"/>
        <v>2DDm85-13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3"/>
        <v>2DDm85-13</v>
      </c>
    </row>
    <row r="68" spans="1:53">
      <c r="A68" s="35" t="s">
        <v>84</v>
      </c>
      <c r="B68" s="35" t="s">
        <v>1616</v>
      </c>
      <c r="C68" s="35" t="s">
        <v>1712</v>
      </c>
      <c r="D68" s="35" t="s">
        <v>1613</v>
      </c>
      <c r="E68" s="35" t="s">
        <v>1336</v>
      </c>
      <c r="F68" s="35" t="s">
        <v>1570</v>
      </c>
      <c r="G68" s="105">
        <v>36.6</v>
      </c>
      <c r="H68" s="105">
        <v>7</v>
      </c>
      <c r="I68" s="105">
        <v>39</v>
      </c>
      <c r="J68" s="105">
        <v>2.1255000000000002</v>
      </c>
      <c r="K68" s="106">
        <v>45264</v>
      </c>
      <c r="L68" s="105">
        <v>9.57456</v>
      </c>
      <c r="M68" s="105">
        <v>7.4490600000000002</v>
      </c>
      <c r="N68" s="105">
        <v>5.4827000000000004</v>
      </c>
      <c r="O68" s="105">
        <v>3.3572000000000002</v>
      </c>
      <c r="P68" s="35" t="s">
        <v>1574</v>
      </c>
      <c r="Q68" s="35" t="s">
        <v>1581</v>
      </c>
      <c r="R68" s="35" t="s">
        <v>1609</v>
      </c>
      <c r="S68" s="105">
        <v>10.1088</v>
      </c>
      <c r="T68" s="105">
        <v>7.9832999999999803</v>
      </c>
      <c r="U68" s="35" t="s">
        <v>1574</v>
      </c>
      <c r="V68" s="35" t="s">
        <v>1673</v>
      </c>
      <c r="W68" s="105">
        <v>11.25</v>
      </c>
      <c r="X68" s="105">
        <v>9.1244999999999994</v>
      </c>
      <c r="Y68" s="105">
        <v>25</v>
      </c>
      <c r="Z68" s="35" t="s">
        <v>1576</v>
      </c>
      <c r="AA68">
        <f>VLOOKUP(A68,Cover!A:R,18,0)</f>
        <v>0</v>
      </c>
      <c r="AB68" s="77">
        <f t="shared" si="0"/>
        <v>7.4490600000000002</v>
      </c>
      <c r="AC68" s="77">
        <f t="shared" si="1"/>
        <v>3.3572000000000002</v>
      </c>
      <c r="AD68" s="77">
        <f t="shared" si="2"/>
        <v>77.800546448087431</v>
      </c>
      <c r="AE68" s="77">
        <f t="shared" si="3"/>
        <v>61.232604373757461</v>
      </c>
      <c r="AF68" s="77">
        <f t="shared" si="4"/>
        <v>7.9832999999999803</v>
      </c>
      <c r="AG68" s="77">
        <f t="shared" si="5"/>
        <v>78.97376543209856</v>
      </c>
      <c r="AH68" s="77">
        <f t="shared" si="6"/>
        <v>11.25</v>
      </c>
      <c r="AI68" s="77">
        <f t="shared" si="7"/>
        <v>2.1255000000000002</v>
      </c>
      <c r="AJ68" s="77">
        <f t="shared" si="8"/>
        <v>9.1244999999999994</v>
      </c>
      <c r="AK68" s="77">
        <f t="shared" si="9"/>
        <v>0</v>
      </c>
      <c r="AL68" s="77">
        <f t="shared" si="10"/>
        <v>9.1244999999999994</v>
      </c>
      <c r="AM68" s="77">
        <f t="shared" si="11"/>
        <v>81.106666666666655</v>
      </c>
      <c r="AO68" t="s">
        <v>1577</v>
      </c>
      <c r="AP68" t="str">
        <f t="shared" si="12"/>
        <v>2DDm85-15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3"/>
        <v>2DDm85-15</v>
      </c>
    </row>
    <row r="69" spans="1:53">
      <c r="A69" s="35" t="s">
        <v>85</v>
      </c>
      <c r="B69" s="35" t="s">
        <v>1590</v>
      </c>
      <c r="C69" s="35" t="s">
        <v>1590</v>
      </c>
      <c r="D69" s="35" t="s">
        <v>1563</v>
      </c>
      <c r="E69" s="35" t="s">
        <v>817</v>
      </c>
      <c r="F69" s="35" t="s">
        <v>1580</v>
      </c>
      <c r="G69" s="105">
        <v>75</v>
      </c>
      <c r="H69" s="105">
        <v>28</v>
      </c>
      <c r="I69" s="105">
        <v>850</v>
      </c>
      <c r="J69" s="105">
        <v>46.325000000000003</v>
      </c>
      <c r="K69" s="106">
        <v>44595</v>
      </c>
      <c r="L69" s="105">
        <v>88.29</v>
      </c>
      <c r="M69" s="105">
        <v>41.965000000000003</v>
      </c>
      <c r="N69" s="105">
        <v>77.662499999999994</v>
      </c>
      <c r="O69" s="105">
        <v>31.337499999999999</v>
      </c>
      <c r="P69" s="35" t="s">
        <v>1571</v>
      </c>
      <c r="Q69" s="35" t="s">
        <v>1581</v>
      </c>
      <c r="R69" s="35" t="s">
        <v>1592</v>
      </c>
      <c r="S69" s="105">
        <v>53.330399999999997</v>
      </c>
      <c r="T69" s="105">
        <v>7.0053999999999803</v>
      </c>
      <c r="U69" s="35" t="s">
        <v>1604</v>
      </c>
      <c r="V69" s="35" t="s">
        <v>1713</v>
      </c>
      <c r="W69" s="105">
        <v>180</v>
      </c>
      <c r="X69" s="105">
        <v>133.67500000000001</v>
      </c>
      <c r="Y69" s="105">
        <v>18</v>
      </c>
      <c r="Z69" s="35" t="s">
        <v>8</v>
      </c>
      <c r="AA69">
        <f>VLOOKUP(A69,Cover!A:R,18,0)</f>
        <v>11.1</v>
      </c>
      <c r="AB69" s="77">
        <f t="shared" si="0"/>
        <v>30.865000000000002</v>
      </c>
      <c r="AC69" s="77">
        <f t="shared" si="1"/>
        <v>20.237499999999997</v>
      </c>
      <c r="AD69" s="77">
        <f t="shared" si="2"/>
        <v>34.958658964775175</v>
      </c>
      <c r="AE69" s="77">
        <f t="shared" si="3"/>
        <v>26.058264928375987</v>
      </c>
      <c r="AF69" s="77">
        <f t="shared" si="4"/>
        <v>-4.0946000000000193</v>
      </c>
      <c r="AG69" s="77">
        <f t="shared" si="5"/>
        <v>-7.677797278850373</v>
      </c>
      <c r="AH69" s="346">
        <f>AVERAGE(W69:W70)</f>
        <v>180</v>
      </c>
      <c r="AI69" s="346">
        <f>SUM(J69:J70)</f>
        <v>146.93200000000002</v>
      </c>
      <c r="AJ69" s="346">
        <f t="shared" si="8"/>
        <v>33.067999999999984</v>
      </c>
      <c r="AK69" s="346">
        <f>SUM(AA69:AA70)</f>
        <v>12.6</v>
      </c>
      <c r="AL69" s="346">
        <f t="shared" si="10"/>
        <v>20.467999999999982</v>
      </c>
      <c r="AM69" s="345">
        <f t="shared" si="11"/>
        <v>11.371111111111102</v>
      </c>
      <c r="AN69" s="52" t="s">
        <v>1563</v>
      </c>
      <c r="AO69" t="s">
        <v>1577</v>
      </c>
      <c r="AP69" t="str">
        <f t="shared" si="12"/>
        <v>DDm125-33</v>
      </c>
      <c r="AQ69" t="str">
        <f>_xlfn.XLOOKUP(A69,'SYS Allocations'!A:A,'SYS Allocations'!B:B)</f>
        <v>P-Core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3"/>
        <v>DDm125-33</v>
      </c>
    </row>
    <row r="70" spans="1:53">
      <c r="A70" s="35" t="s">
        <v>86</v>
      </c>
      <c r="B70" s="35" t="s">
        <v>1590</v>
      </c>
      <c r="C70" s="35" t="s">
        <v>1590</v>
      </c>
      <c r="D70" s="35" t="s">
        <v>1563</v>
      </c>
      <c r="E70" s="35" t="s">
        <v>817</v>
      </c>
      <c r="F70" s="35" t="s">
        <v>1625</v>
      </c>
      <c r="G70" s="105">
        <v>55</v>
      </c>
      <c r="H70" s="105">
        <v>54</v>
      </c>
      <c r="I70" s="105">
        <v>1846</v>
      </c>
      <c r="J70" s="105">
        <v>100.607</v>
      </c>
      <c r="K70" s="106">
        <v>44484.625</v>
      </c>
      <c r="L70" s="105">
        <v>127.09399999999999</v>
      </c>
      <c r="M70" s="105">
        <v>26.486999999999998</v>
      </c>
      <c r="N70" s="105">
        <v>93.467500000000001</v>
      </c>
      <c r="O70" s="107">
        <v>-7.1395</v>
      </c>
      <c r="P70" s="35" t="s">
        <v>1618</v>
      </c>
      <c r="Q70" s="35" t="s">
        <v>1581</v>
      </c>
      <c r="R70" s="35" t="s">
        <v>1592</v>
      </c>
      <c r="S70" s="105">
        <v>106.66079999999999</v>
      </c>
      <c r="T70" s="105">
        <v>6.0538000000000798</v>
      </c>
      <c r="U70" s="35" t="s">
        <v>1604</v>
      </c>
      <c r="V70" s="35" t="s">
        <v>1713</v>
      </c>
      <c r="W70" s="105">
        <v>180</v>
      </c>
      <c r="X70" s="105">
        <v>79.393000000000001</v>
      </c>
      <c r="Y70" s="105">
        <v>18</v>
      </c>
      <c r="Z70" s="35" t="s">
        <v>8</v>
      </c>
      <c r="AA70">
        <f>VLOOKUP(A70,Cover!A:R,18,0)</f>
        <v>1.5</v>
      </c>
      <c r="AB70" s="77">
        <f t="shared" si="0"/>
        <v>24.986999999999998</v>
      </c>
      <c r="AC70" s="77">
        <f t="shared" si="1"/>
        <v>-8.6395</v>
      </c>
      <c r="AD70" s="77">
        <f t="shared" si="2"/>
        <v>19.660251467417815</v>
      </c>
      <c r="AE70" s="77">
        <f t="shared" si="3"/>
        <v>-9.2433198705432371</v>
      </c>
      <c r="AF70" s="77">
        <f t="shared" si="4"/>
        <v>4.5538000000000798</v>
      </c>
      <c r="AG70" s="77">
        <f t="shared" si="5"/>
        <v>4.2694223182275772</v>
      </c>
      <c r="AH70" s="346"/>
      <c r="AI70" s="346"/>
      <c r="AJ70" s="346"/>
      <c r="AK70" s="346"/>
      <c r="AL70" s="346"/>
      <c r="AM70" s="345"/>
      <c r="AN70" s="52" t="s">
        <v>1563</v>
      </c>
      <c r="AO70" t="s">
        <v>1577</v>
      </c>
      <c r="AP70" t="str">
        <f t="shared" si="12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3"/>
        <v>DDm125-33</v>
      </c>
    </row>
    <row r="71" spans="1:53">
      <c r="A71" s="35" t="s">
        <v>87</v>
      </c>
      <c r="B71" s="35" t="s">
        <v>1590</v>
      </c>
      <c r="C71" s="35" t="s">
        <v>1590</v>
      </c>
      <c r="D71" s="35" t="s">
        <v>1568</v>
      </c>
      <c r="E71" s="35" t="s">
        <v>831</v>
      </c>
      <c r="F71" s="35" t="s">
        <v>1570</v>
      </c>
      <c r="G71" s="105">
        <v>36.6</v>
      </c>
      <c r="H71" s="105">
        <v>39</v>
      </c>
      <c r="I71" s="105">
        <v>293</v>
      </c>
      <c r="J71" s="105">
        <v>15.968500000000001</v>
      </c>
      <c r="K71" s="106">
        <v>44804</v>
      </c>
      <c r="L71" s="105">
        <v>60.63888</v>
      </c>
      <c r="M71" s="105">
        <v>44.670380000000002</v>
      </c>
      <c r="N71" s="105">
        <v>43.098599999999998</v>
      </c>
      <c r="O71" s="105">
        <v>27.130099999999999</v>
      </c>
      <c r="P71" s="35" t="s">
        <v>1571</v>
      </c>
      <c r="Q71" s="35" t="s">
        <v>1581</v>
      </c>
      <c r="R71" s="35" t="s">
        <v>1592</v>
      </c>
      <c r="S71" s="105">
        <v>53.330399999999997</v>
      </c>
      <c r="T71" s="105">
        <v>37.361899999999999</v>
      </c>
      <c r="U71" s="35" t="s">
        <v>1618</v>
      </c>
      <c r="V71" s="35" t="s">
        <v>1714</v>
      </c>
      <c r="W71" s="105">
        <v>196.5</v>
      </c>
      <c r="X71" s="105">
        <v>180.53149999999999</v>
      </c>
      <c r="Y71" s="105">
        <v>65</v>
      </c>
      <c r="Z71" s="35" t="s">
        <v>1576</v>
      </c>
      <c r="AA71">
        <f>VLOOKUP(A71,Cover!A:R,18,0)</f>
        <v>9</v>
      </c>
      <c r="AB71" s="77">
        <f t="shared" si="0"/>
        <v>35.670380000000002</v>
      </c>
      <c r="AC71" s="77">
        <f t="shared" si="1"/>
        <v>18.130099999999999</v>
      </c>
      <c r="AD71" s="77">
        <f t="shared" si="2"/>
        <v>58.824272479966659</v>
      </c>
      <c r="AE71" s="77">
        <f t="shared" si="3"/>
        <v>42.066563647079022</v>
      </c>
      <c r="AF71" s="77">
        <f t="shared" si="4"/>
        <v>28.361899999999999</v>
      </c>
      <c r="AG71" s="77">
        <f t="shared" si="5"/>
        <v>53.181487481811494</v>
      </c>
      <c r="AH71" s="346">
        <f>AVERAGE(W71:W72)</f>
        <v>196.5</v>
      </c>
      <c r="AI71" s="346">
        <f>SUM(J71:J72)</f>
        <v>31.392000000000003</v>
      </c>
      <c r="AJ71" s="346">
        <f t="shared" si="8"/>
        <v>165.108</v>
      </c>
      <c r="AK71" s="346">
        <f>SUM(AA71:AA72)</f>
        <v>18.7</v>
      </c>
      <c r="AL71" s="346">
        <f t="shared" si="10"/>
        <v>146.40800000000002</v>
      </c>
      <c r="AM71" s="345">
        <f t="shared" si="11"/>
        <v>74.507888040712473</v>
      </c>
      <c r="AO71" t="s">
        <v>1634</v>
      </c>
      <c r="AP71" t="str">
        <f t="shared" si="12"/>
        <v>DDm125-33</v>
      </c>
      <c r="AQ71">
        <f>_xlfn.XLOOKUP(A71,'SYS Allocations'!A:A,'SYS Allocations'!B:B)</f>
        <v>0</v>
      </c>
      <c r="AR71" t="str">
        <f>_xlfn.XLOOKUP(A71,'SYS Allocations'!A:A,'SYS Allocations'!C:C)</f>
        <v>RA</v>
      </c>
      <c r="AS71" t="str">
        <f>_xlfn.XLOOKUP(A71,'SYS Allocations'!A:A,'SYS Allocations'!D:D)</f>
        <v>PX</v>
      </c>
      <c r="AT71">
        <f>_xlfn.XLOOKUP(A71,'SYS Allocations'!A:A,'SYS Allocations'!E:E)</f>
        <v>0</v>
      </c>
      <c r="AU71" t="str">
        <f>_xlfn.XLOOKUP(A71,'SYS Allocations'!A:A,'SYS Allocations'!F:F)</f>
        <v>OPEX</v>
      </c>
      <c r="BA71" t="str">
        <f t="shared" si="13"/>
        <v>DDm125-33</v>
      </c>
    </row>
    <row r="72" spans="1:53">
      <c r="A72" s="35" t="s">
        <v>88</v>
      </c>
      <c r="B72" s="35" t="s">
        <v>1590</v>
      </c>
      <c r="C72" s="35" t="s">
        <v>1590</v>
      </c>
      <c r="D72" s="35" t="s">
        <v>1568</v>
      </c>
      <c r="E72" s="35" t="s">
        <v>831</v>
      </c>
      <c r="F72" s="35" t="s">
        <v>1570</v>
      </c>
      <c r="G72" s="105">
        <v>36.6</v>
      </c>
      <c r="H72" s="105">
        <v>39</v>
      </c>
      <c r="I72" s="105">
        <v>283</v>
      </c>
      <c r="J72" s="105">
        <v>15.423500000000001</v>
      </c>
      <c r="K72" s="106">
        <v>44979</v>
      </c>
      <c r="L72" s="105">
        <v>60.63888</v>
      </c>
      <c r="M72" s="105">
        <v>45.215380000000003</v>
      </c>
      <c r="N72" s="105">
        <v>43.098599999999998</v>
      </c>
      <c r="O72" s="105">
        <v>27.6751</v>
      </c>
      <c r="P72" s="35" t="s">
        <v>1571</v>
      </c>
      <c r="Q72" s="35" t="s">
        <v>1581</v>
      </c>
      <c r="R72" s="35" t="s">
        <v>1592</v>
      </c>
      <c r="S72" s="105">
        <v>53.330399999999997</v>
      </c>
      <c r="T72" s="105">
        <v>37.9069</v>
      </c>
      <c r="U72" s="35" t="s">
        <v>1618</v>
      </c>
      <c r="V72" s="35" t="s">
        <v>1714</v>
      </c>
      <c r="W72" s="105">
        <v>196.5</v>
      </c>
      <c r="X72" s="105">
        <v>181.07650000000001</v>
      </c>
      <c r="Y72" s="105">
        <v>65</v>
      </c>
      <c r="Z72" s="35" t="s">
        <v>1576</v>
      </c>
      <c r="AA72">
        <f>VLOOKUP(A72,Cover!A:R,18,0)</f>
        <v>9.6999999999999993</v>
      </c>
      <c r="AB72" s="77">
        <f t="shared" ref="AB72" si="50">M72-AA72</f>
        <v>35.515380000000007</v>
      </c>
      <c r="AC72" s="77">
        <f t="shared" ref="AC72" si="51">O72-AA72</f>
        <v>17.975100000000001</v>
      </c>
      <c r="AD72" s="77">
        <f t="shared" ref="AD72" si="52">AB72/L72%</f>
        <v>58.568660898750124</v>
      </c>
      <c r="AE72" s="77">
        <f t="shared" ref="AE72" si="53">AC72/N72%</f>
        <v>41.70692319472095</v>
      </c>
      <c r="AF72" s="77">
        <f t="shared" ref="AF72" si="54">T72-AA72</f>
        <v>28.206900000000001</v>
      </c>
      <c r="AG72" s="77">
        <f t="shared" ref="AG72" si="55">AF72/S72%</f>
        <v>52.890846496557316</v>
      </c>
      <c r="AH72" s="346"/>
      <c r="AI72" s="346"/>
      <c r="AJ72" s="346"/>
      <c r="AK72" s="346"/>
      <c r="AL72" s="346"/>
      <c r="AM72" s="345"/>
      <c r="AO72" t="s">
        <v>1634</v>
      </c>
      <c r="AP72" t="str">
        <f t="shared" si="12"/>
        <v>DDm125-33</v>
      </c>
      <c r="AQ72">
        <f>_xlfn.XLOOKUP(A72,'SYS Allocations'!A:A,'SYS Allocations'!B:B)</f>
        <v>0</v>
      </c>
      <c r="AR72">
        <f>_xlfn.XLOOKUP(A72,'SYS Allocations'!A:A,'SYS Allocations'!C:C)</f>
        <v>0</v>
      </c>
      <c r="AS72">
        <f>_xlfn.XLOOKUP(A72,'SYS Allocations'!A:A,'SYS Allocations'!D:D)</f>
        <v>0</v>
      </c>
      <c r="AT72">
        <f>_xlfn.XLOOKUP(A72,'SYS Allocations'!A:A,'SYS Allocations'!E:E)</f>
        <v>0</v>
      </c>
      <c r="AU72">
        <f>_xlfn.XLOOKUP(A72,'SYS Allocations'!A:A,'SYS Allocations'!F:F)</f>
        <v>0</v>
      </c>
      <c r="BA72" t="str">
        <f t="shared" si="13"/>
        <v>DDm125-33</v>
      </c>
    </row>
    <row r="73" spans="1:53">
      <c r="A73" s="35" t="s">
        <v>89</v>
      </c>
      <c r="B73" s="35" t="s">
        <v>1616</v>
      </c>
      <c r="C73" s="35" t="s">
        <v>1715</v>
      </c>
      <c r="D73" s="35" t="s">
        <v>1568</v>
      </c>
      <c r="E73" s="35" t="s">
        <v>1346</v>
      </c>
      <c r="F73" s="35" t="s">
        <v>1570</v>
      </c>
      <c r="G73" s="105">
        <v>36.6</v>
      </c>
      <c r="H73" s="105">
        <v>18</v>
      </c>
      <c r="I73" s="105">
        <v>34</v>
      </c>
      <c r="J73" s="105">
        <v>1.853</v>
      </c>
      <c r="K73" s="106">
        <v>45264</v>
      </c>
      <c r="L73" s="105">
        <v>27.12792</v>
      </c>
      <c r="M73" s="105">
        <v>25.274920000000002</v>
      </c>
      <c r="N73" s="105">
        <v>22.791899999999998</v>
      </c>
      <c r="O73" s="105">
        <v>20.9389</v>
      </c>
      <c r="P73" s="35" t="s">
        <v>1574</v>
      </c>
      <c r="Q73" s="35" t="s">
        <v>1581</v>
      </c>
      <c r="R73" s="35" t="s">
        <v>1582</v>
      </c>
      <c r="S73" s="105">
        <v>17.409600000000001</v>
      </c>
      <c r="T73" s="105">
        <v>15.5566</v>
      </c>
      <c r="U73" s="35" t="s">
        <v>1618</v>
      </c>
      <c r="V73" s="35" t="s">
        <v>1611</v>
      </c>
      <c r="W73" s="105">
        <v>112.5</v>
      </c>
      <c r="X73" s="105">
        <v>110.64700000000001</v>
      </c>
      <c r="Y73" s="105">
        <v>24</v>
      </c>
      <c r="Z73" s="35" t="s">
        <v>1576</v>
      </c>
      <c r="AA73">
        <f>VLOOKUP(A73,Cover!A:R,18,0)</f>
        <v>6.9</v>
      </c>
      <c r="AB73" s="77">
        <f t="shared" si="0"/>
        <v>18.374920000000003</v>
      </c>
      <c r="AC73" s="77">
        <f t="shared" si="1"/>
        <v>14.0389</v>
      </c>
      <c r="AD73" s="77">
        <f t="shared" si="2"/>
        <v>67.734348965936206</v>
      </c>
      <c r="AE73" s="77">
        <f t="shared" si="3"/>
        <v>61.596005598480168</v>
      </c>
      <c r="AF73" s="77">
        <f t="shared" si="4"/>
        <v>8.6565999999999992</v>
      </c>
      <c r="AG73" s="77">
        <f t="shared" si="5"/>
        <v>49.723141255399312</v>
      </c>
      <c r="AH73" s="77">
        <f t="shared" si="6"/>
        <v>112.5</v>
      </c>
      <c r="AI73" s="77">
        <f t="shared" si="7"/>
        <v>1.853</v>
      </c>
      <c r="AJ73" s="77">
        <f t="shared" si="8"/>
        <v>110.64700000000001</v>
      </c>
      <c r="AK73" s="77">
        <f t="shared" si="9"/>
        <v>6.9</v>
      </c>
      <c r="AL73" s="77">
        <f t="shared" si="10"/>
        <v>103.747</v>
      </c>
      <c r="AM73" s="77">
        <f t="shared" si="11"/>
        <v>92.219555555555559</v>
      </c>
      <c r="AO73" t="s">
        <v>1634</v>
      </c>
      <c r="AP73" t="str">
        <f t="shared" si="12"/>
        <v>DDm85-25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 t="str">
        <f>_xlfn.XLOOKUP(A73,'SYS Allocations'!A:A,'SYS Allocations'!E:E)</f>
        <v>AM</v>
      </c>
      <c r="AU73">
        <f>_xlfn.XLOOKUP(A73,'SYS Allocations'!A:A,'SYS Allocations'!F:F)</f>
        <v>0</v>
      </c>
      <c r="BA73" t="str">
        <f t="shared" si="13"/>
        <v>DDm85-25</v>
      </c>
    </row>
    <row r="74" spans="1:53">
      <c r="A74" s="35" t="s">
        <v>90</v>
      </c>
      <c r="B74" s="35" t="s">
        <v>1616</v>
      </c>
      <c r="C74" s="35" t="s">
        <v>1715</v>
      </c>
      <c r="D74" s="35" t="s">
        <v>1568</v>
      </c>
      <c r="E74" s="35" t="s">
        <v>1346</v>
      </c>
      <c r="F74" s="35" t="s">
        <v>1570</v>
      </c>
      <c r="G74" s="105">
        <v>36.6</v>
      </c>
      <c r="H74" s="105">
        <v>18</v>
      </c>
      <c r="I74" s="105">
        <v>52</v>
      </c>
      <c r="J74" s="105">
        <v>2.8340000000000001</v>
      </c>
      <c r="K74" s="106">
        <v>45264</v>
      </c>
      <c r="L74" s="105">
        <v>27.12792</v>
      </c>
      <c r="M74" s="105">
        <v>24.29392</v>
      </c>
      <c r="N74" s="105">
        <v>22.791899999999998</v>
      </c>
      <c r="O74" s="105">
        <v>19.957899999999999</v>
      </c>
      <c r="P74" s="35" t="s">
        <v>1574</v>
      </c>
      <c r="Q74" s="35" t="s">
        <v>1581</v>
      </c>
      <c r="R74" s="35" t="s">
        <v>1582</v>
      </c>
      <c r="S74" s="105">
        <v>17.409600000000001</v>
      </c>
      <c r="T74" s="105">
        <v>14.5756</v>
      </c>
      <c r="U74" s="35" t="s">
        <v>1618</v>
      </c>
      <c r="V74" s="35" t="s">
        <v>1611</v>
      </c>
      <c r="W74" s="105">
        <v>112.5</v>
      </c>
      <c r="X74" s="105">
        <v>109.666</v>
      </c>
      <c r="Y74" s="105">
        <v>24</v>
      </c>
      <c r="Z74" s="35" t="s">
        <v>1576</v>
      </c>
      <c r="AA74">
        <f>VLOOKUP(A74,Cover!A:R,18,0)</f>
        <v>6.8</v>
      </c>
      <c r="AB74" s="77">
        <f t="shared" si="0"/>
        <v>17.493919999999999</v>
      </c>
      <c r="AC74" s="77">
        <f t="shared" si="1"/>
        <v>13.157899999999998</v>
      </c>
      <c r="AD74" s="77">
        <f t="shared" si="2"/>
        <v>64.486772299534948</v>
      </c>
      <c r="AE74" s="77">
        <f t="shared" si="3"/>
        <v>57.730597273592807</v>
      </c>
      <c r="AF74" s="77">
        <f t="shared" si="4"/>
        <v>7.7755999999999998</v>
      </c>
      <c r="AG74" s="77">
        <f t="shared" si="5"/>
        <v>44.662714824005143</v>
      </c>
      <c r="AH74" s="77">
        <f t="shared" si="6"/>
        <v>112.5</v>
      </c>
      <c r="AI74" s="77">
        <f t="shared" si="7"/>
        <v>2.8340000000000001</v>
      </c>
      <c r="AJ74" s="77">
        <f t="shared" si="8"/>
        <v>109.666</v>
      </c>
      <c r="AK74" s="77">
        <f t="shared" si="9"/>
        <v>6.8</v>
      </c>
      <c r="AL74" s="77">
        <f t="shared" si="10"/>
        <v>102.866</v>
      </c>
      <c r="AM74" s="77">
        <f t="shared" si="11"/>
        <v>91.436444444444447</v>
      </c>
      <c r="AO74" t="s">
        <v>1634</v>
      </c>
      <c r="AP74" t="str">
        <f t="shared" ref="AP74:AP141" si="56">TRIM(BA74)</f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>
        <f>_xlfn.XLOOKUP(A74,'SYS Allocations'!A:A,'SYS Allocations'!E:E)</f>
        <v>0</v>
      </c>
      <c r="AU74">
        <f>_xlfn.XLOOKUP(A74,'SYS Allocations'!A:A,'SYS Allocations'!F:F)</f>
        <v>0</v>
      </c>
      <c r="BA74" t="str">
        <f t="shared" ref="BA74:BA141" si="57">IFERROR(LEFT(R74,FIND("(",R74,1)-1),R74)</f>
        <v>DDm85-25</v>
      </c>
    </row>
    <row r="75" spans="1:53">
      <c r="A75" s="35" t="s">
        <v>91</v>
      </c>
      <c r="B75" s="35" t="s">
        <v>1620</v>
      </c>
      <c r="C75" s="35" t="s">
        <v>1716</v>
      </c>
      <c r="D75" s="35" t="s">
        <v>1568</v>
      </c>
      <c r="E75" s="35" t="s">
        <v>984</v>
      </c>
      <c r="F75" s="35" t="s">
        <v>1665</v>
      </c>
      <c r="G75" s="105">
        <v>55</v>
      </c>
      <c r="H75" s="105">
        <v>23</v>
      </c>
      <c r="I75" s="105">
        <v>296</v>
      </c>
      <c r="J75" s="105">
        <v>16.132000000000001</v>
      </c>
      <c r="K75" s="106">
        <v>45223</v>
      </c>
      <c r="L75" s="105">
        <v>52.756</v>
      </c>
      <c r="M75" s="105">
        <v>36.624000000000002</v>
      </c>
      <c r="N75" s="105">
        <v>33.244999999999997</v>
      </c>
      <c r="O75" s="105">
        <v>17.113</v>
      </c>
      <c r="P75" s="35" t="s">
        <v>1571</v>
      </c>
      <c r="Q75" s="35" t="s">
        <v>1581</v>
      </c>
      <c r="R75" s="35" t="s">
        <v>1592</v>
      </c>
      <c r="S75" s="105">
        <v>53.330399999999997</v>
      </c>
      <c r="T75" s="105">
        <v>37.198399999999999</v>
      </c>
      <c r="U75" s="35" t="s">
        <v>1593</v>
      </c>
      <c r="V75" s="35" t="s">
        <v>1653</v>
      </c>
      <c r="W75" s="105">
        <v>90</v>
      </c>
      <c r="X75" s="105">
        <v>73.867999999999995</v>
      </c>
      <c r="Y75" s="105">
        <v>17</v>
      </c>
      <c r="Z75" s="35" t="s">
        <v>1576</v>
      </c>
      <c r="AA75">
        <f>VLOOKUP(A75,Cover!A:R,18,0)</f>
        <v>16.5</v>
      </c>
      <c r="AB75" s="77">
        <f t="shared" si="0"/>
        <v>20.124000000000002</v>
      </c>
      <c r="AC75" s="77">
        <f t="shared" si="1"/>
        <v>0.61299999999999955</v>
      </c>
      <c r="AD75" s="77">
        <f t="shared" si="2"/>
        <v>38.145424217150655</v>
      </c>
      <c r="AE75" s="77">
        <f t="shared" si="3"/>
        <v>1.8438862986915314</v>
      </c>
      <c r="AF75" s="77">
        <f t="shared" si="4"/>
        <v>20.698399999999999</v>
      </c>
      <c r="AG75" s="77">
        <f t="shared" si="5"/>
        <v>38.811634639905193</v>
      </c>
      <c r="AH75" s="345">
        <f>AVERAGE(W75:W76)</f>
        <v>90</v>
      </c>
      <c r="AI75" s="345">
        <f>SUM(J75:J76)</f>
        <v>32.481999999999999</v>
      </c>
      <c r="AJ75" s="345">
        <f t="shared" si="8"/>
        <v>57.518000000000001</v>
      </c>
      <c r="AK75" s="345">
        <f>SUM(AA75:AA76)</f>
        <v>16.5</v>
      </c>
      <c r="AL75" s="345">
        <f t="shared" si="10"/>
        <v>41.018000000000001</v>
      </c>
      <c r="AM75" s="345">
        <f t="shared" si="11"/>
        <v>45.575555555555553</v>
      </c>
      <c r="AO75" t="s">
        <v>1634</v>
      </c>
      <c r="AP75" t="str">
        <f t="shared" si="56"/>
        <v>DDm125-33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 t="str">
        <f>_xlfn.XLOOKUP(A75,'SYS Allocations'!A:A,'SYS Allocations'!F:F)</f>
        <v>OPEX</v>
      </c>
      <c r="BA75" t="str">
        <f t="shared" si="57"/>
        <v>DDm125-33</v>
      </c>
    </row>
    <row r="76" spans="1:53">
      <c r="A76" s="35" t="s">
        <v>92</v>
      </c>
      <c r="B76" s="35" t="s">
        <v>1620</v>
      </c>
      <c r="C76" s="35" t="s">
        <v>1716</v>
      </c>
      <c r="D76" s="35" t="s">
        <v>1568</v>
      </c>
      <c r="E76" s="35" t="s">
        <v>984</v>
      </c>
      <c r="F76" s="35" t="s">
        <v>1665</v>
      </c>
      <c r="G76" s="105">
        <v>55</v>
      </c>
      <c r="H76" s="105">
        <v>23</v>
      </c>
      <c r="I76" s="105">
        <v>300</v>
      </c>
      <c r="J76" s="105">
        <v>16.350000000000001</v>
      </c>
      <c r="K76" s="106">
        <v>45223</v>
      </c>
      <c r="L76" s="105">
        <v>52.756</v>
      </c>
      <c r="M76" s="105">
        <v>36.405999999999999</v>
      </c>
      <c r="N76" s="105">
        <v>33.244999999999997</v>
      </c>
      <c r="O76" s="105">
        <v>16.895</v>
      </c>
      <c r="P76" s="35" t="s">
        <v>1571</v>
      </c>
      <c r="Q76" s="35" t="s">
        <v>1581</v>
      </c>
      <c r="R76" s="35" t="s">
        <v>1592</v>
      </c>
      <c r="S76" s="105">
        <v>53.330399999999997</v>
      </c>
      <c r="T76" s="105">
        <v>36.980400000000003</v>
      </c>
      <c r="U76" s="35" t="s">
        <v>1593</v>
      </c>
      <c r="V76" s="35" t="s">
        <v>1653</v>
      </c>
      <c r="W76" s="105">
        <v>90</v>
      </c>
      <c r="X76" s="105">
        <v>73.650000000000006</v>
      </c>
      <c r="Y76" s="105">
        <v>17</v>
      </c>
      <c r="Z76" s="35" t="s">
        <v>1576</v>
      </c>
      <c r="AA76">
        <f>VLOOKUP(A76,Cover!A:R,18,0)</f>
        <v>0</v>
      </c>
      <c r="AB76" s="77">
        <f t="shared" ref="AB76" si="58">M76-AA76</f>
        <v>36.405999999999999</v>
      </c>
      <c r="AC76" s="77">
        <f t="shared" ref="AC76" si="59">O76-AA76</f>
        <v>16.895</v>
      </c>
      <c r="AD76" s="77">
        <f t="shared" ref="AD76" si="60">AB76/L76%</f>
        <v>69.008264462809905</v>
      </c>
      <c r="AE76" s="77">
        <f t="shared" ref="AE76" si="61">AC76/N76%</f>
        <v>50.819672131147541</v>
      </c>
      <c r="AF76" s="77">
        <f t="shared" ref="AF76" si="62">T76-AA76</f>
        <v>36.980400000000003</v>
      </c>
      <c r="AG76" s="77">
        <f t="shared" ref="AG76" si="63">AF76/S76%</f>
        <v>69.342063813509753</v>
      </c>
      <c r="AH76" s="345"/>
      <c r="AI76" s="345"/>
      <c r="AJ76" s="345"/>
      <c r="AK76" s="345"/>
      <c r="AL76" s="345"/>
      <c r="AM76" s="345"/>
      <c r="AO76" t="s">
        <v>1634</v>
      </c>
      <c r="AP76" t="str">
        <f t="shared" ref="AP76" si="64">TRIM(BA76)</f>
        <v>DDm125-33</v>
      </c>
      <c r="BA76" t="str">
        <f t="shared" si="57"/>
        <v>DDm125-33</v>
      </c>
    </row>
    <row r="77" spans="1:53">
      <c r="A77" s="35" t="s">
        <v>93</v>
      </c>
      <c r="B77" s="35" t="s">
        <v>1607</v>
      </c>
      <c r="C77" s="35" t="s">
        <v>1717</v>
      </c>
      <c r="D77" s="35" t="s">
        <v>1718</v>
      </c>
      <c r="E77" s="35" t="s">
        <v>1719</v>
      </c>
      <c r="F77" s="35" t="s">
        <v>1720</v>
      </c>
      <c r="G77" s="105">
        <v>37.5</v>
      </c>
      <c r="H77" s="105">
        <v>8</v>
      </c>
      <c r="I77" s="105">
        <v>84</v>
      </c>
      <c r="J77" s="105">
        <v>4.5780000000000003</v>
      </c>
      <c r="K77" s="106">
        <v>45264</v>
      </c>
      <c r="L77" s="105">
        <v>11.445</v>
      </c>
      <c r="M77" s="105">
        <v>6.867</v>
      </c>
      <c r="N77" s="105">
        <v>9.5647500000000001</v>
      </c>
      <c r="O77" s="105">
        <v>4.9867499999999998</v>
      </c>
      <c r="P77" s="35" t="s">
        <v>1575</v>
      </c>
      <c r="Q77" s="35" t="s">
        <v>1599</v>
      </c>
      <c r="R77" s="35" t="s">
        <v>1721</v>
      </c>
      <c r="S77" s="105">
        <v>8.9639999999999702</v>
      </c>
      <c r="T77" s="105">
        <v>4.3859999999999699</v>
      </c>
      <c r="U77" s="35" t="s">
        <v>1574</v>
      </c>
      <c r="V77" s="35" t="s">
        <v>1722</v>
      </c>
      <c r="W77" s="105">
        <v>10.5</v>
      </c>
      <c r="X77" s="105">
        <v>5.9219999999999997</v>
      </c>
      <c r="Y77" s="105">
        <v>7</v>
      </c>
      <c r="Z77" s="35" t="s">
        <v>1576</v>
      </c>
      <c r="AA77">
        <f>VLOOKUP(A77,Cover!A:R,18,0)</f>
        <v>0</v>
      </c>
      <c r="AB77" s="77">
        <f t="shared" ref="AB77:AB143" si="65">M77-AA77</f>
        <v>6.867</v>
      </c>
      <c r="AC77" s="77">
        <f t="shared" ref="AC77:AC143" si="66">O77-AA77</f>
        <v>4.9867499999999998</v>
      </c>
      <c r="AD77" s="77">
        <f t="shared" ref="AD77:AD143" si="67">AB77/L77%</f>
        <v>60</v>
      </c>
      <c r="AE77" s="77">
        <f t="shared" ref="AE77:AE143" si="68">AC77/N77%</f>
        <v>52.136752136752136</v>
      </c>
      <c r="AF77" s="77">
        <f t="shared" ref="AF77:AF143" si="69">T77-AA77</f>
        <v>4.3859999999999699</v>
      </c>
      <c r="AG77" s="77">
        <f t="shared" ref="AG77:AG143" si="70">AF77/S77%</f>
        <v>48.929049531458993</v>
      </c>
      <c r="AH77" s="77">
        <f t="shared" ref="AH77:AH138" si="71">W77</f>
        <v>10.5</v>
      </c>
      <c r="AI77" s="77">
        <f t="shared" ref="AI77:AI139" si="72">J77</f>
        <v>4.5780000000000003</v>
      </c>
      <c r="AJ77" s="77">
        <f t="shared" ref="AJ77:AJ142" si="73">AH77-AI77</f>
        <v>5.9219999999999997</v>
      </c>
      <c r="AK77" s="77">
        <f t="shared" ref="AK77:AK139" si="74">AA77</f>
        <v>0</v>
      </c>
      <c r="AL77" s="77">
        <f t="shared" ref="AL77:AL142" si="75">AJ77-AK77</f>
        <v>5.9219999999999997</v>
      </c>
      <c r="AM77" s="77">
        <f t="shared" ref="AM77:AM142" si="76">AL77/AH77%</f>
        <v>56.4</v>
      </c>
      <c r="AO77" t="s">
        <v>1577</v>
      </c>
      <c r="AP77" t="str">
        <f t="shared" si="56"/>
        <v>12V105F</v>
      </c>
      <c r="AQ77">
        <f>_xlfn.XLOOKUP(A77,'SYS Allocations'!A:A,'SYS Allocations'!B:B)</f>
        <v>0</v>
      </c>
      <c r="AR77">
        <f>_xlfn.XLOOKUP(A77,'SYS Allocations'!A:A,'SYS Allocations'!C:C)</f>
        <v>0</v>
      </c>
      <c r="AS77">
        <f>_xlfn.XLOOKUP(A77,'SYS Allocations'!A:A,'SYS Allocations'!D:D)</f>
        <v>0</v>
      </c>
      <c r="AT77">
        <f>_xlfn.XLOOKUP(A77,'SYS Allocations'!A:A,'SYS Allocations'!E:E)</f>
        <v>0</v>
      </c>
      <c r="AU77">
        <f>_xlfn.XLOOKUP(A77,'SYS Allocations'!A:A,'SYS Allocations'!F:F)</f>
        <v>0</v>
      </c>
      <c r="BA77" t="str">
        <f t="shared" si="57"/>
        <v>12V105F</v>
      </c>
    </row>
    <row r="78" spans="1:53">
      <c r="A78" s="35" t="s">
        <v>94</v>
      </c>
      <c r="B78" s="35" t="s">
        <v>1655</v>
      </c>
      <c r="C78" s="35" t="s">
        <v>1723</v>
      </c>
      <c r="D78" s="35" t="s">
        <v>1718</v>
      </c>
      <c r="E78" s="35" t="s">
        <v>1124</v>
      </c>
      <c r="F78" s="35" t="s">
        <v>1570</v>
      </c>
      <c r="G78" s="105">
        <v>36.6</v>
      </c>
      <c r="H78" s="105">
        <v>9</v>
      </c>
      <c r="I78" s="105">
        <v>114</v>
      </c>
      <c r="J78" s="105">
        <v>6.2130000000000001</v>
      </c>
      <c r="K78" s="106">
        <v>45264</v>
      </c>
      <c r="L78" s="105">
        <v>12.766080000000001</v>
      </c>
      <c r="M78" s="105">
        <v>6.5530799999999996</v>
      </c>
      <c r="N78" s="105">
        <v>9.4720999999999993</v>
      </c>
      <c r="O78" s="105">
        <v>3.2591000000000001</v>
      </c>
      <c r="P78" s="35" t="s">
        <v>1574</v>
      </c>
      <c r="Q78" s="35" t="s">
        <v>1581</v>
      </c>
      <c r="R78" s="35" t="s">
        <v>1609</v>
      </c>
      <c r="S78" s="105">
        <v>10.1088</v>
      </c>
      <c r="T78" s="105">
        <v>3.8957999999999799</v>
      </c>
      <c r="U78" s="35" t="s">
        <v>1571</v>
      </c>
      <c r="V78" s="35" t="s">
        <v>1724</v>
      </c>
      <c r="W78" s="105">
        <v>30</v>
      </c>
      <c r="X78" s="105">
        <v>23.786999999999999</v>
      </c>
      <c r="Y78" s="105">
        <v>8</v>
      </c>
      <c r="Z78" s="35" t="s">
        <v>1576</v>
      </c>
      <c r="AA78">
        <f>VLOOKUP(A78,Cover!A:R,18,0)</f>
        <v>2</v>
      </c>
      <c r="AB78" s="77">
        <f t="shared" si="65"/>
        <v>4.5530799999999996</v>
      </c>
      <c r="AC78" s="77">
        <f t="shared" si="66"/>
        <v>1.2591000000000001</v>
      </c>
      <c r="AD78" s="77">
        <f t="shared" si="67"/>
        <v>35.665450945004253</v>
      </c>
      <c r="AE78" s="77">
        <f t="shared" si="68"/>
        <v>13.292722838652464</v>
      </c>
      <c r="AF78" s="77">
        <f t="shared" si="69"/>
        <v>1.8957999999999799</v>
      </c>
      <c r="AG78" s="77">
        <f t="shared" si="70"/>
        <v>18.753956948401193</v>
      </c>
      <c r="AH78" s="77">
        <f t="shared" si="71"/>
        <v>30</v>
      </c>
      <c r="AI78" s="77">
        <f t="shared" si="72"/>
        <v>6.2130000000000001</v>
      </c>
      <c r="AJ78" s="77">
        <f t="shared" si="73"/>
        <v>23.786999999999999</v>
      </c>
      <c r="AK78" s="77">
        <f t="shared" si="74"/>
        <v>2</v>
      </c>
      <c r="AL78" s="77">
        <f t="shared" si="75"/>
        <v>21.786999999999999</v>
      </c>
      <c r="AM78" s="77">
        <f t="shared" si="76"/>
        <v>72.623333333333335</v>
      </c>
      <c r="AO78" t="s">
        <v>1577</v>
      </c>
      <c r="AP78" t="str">
        <f t="shared" si="56"/>
        <v>2DDm85-15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57"/>
        <v>2DDm85-15</v>
      </c>
    </row>
    <row r="79" spans="1:53">
      <c r="A79" s="35" t="s">
        <v>95</v>
      </c>
      <c r="B79" s="35" t="s">
        <v>1616</v>
      </c>
      <c r="C79" s="35" t="s">
        <v>1725</v>
      </c>
      <c r="D79" s="35" t="s">
        <v>1568</v>
      </c>
      <c r="E79" s="35" t="s">
        <v>1339</v>
      </c>
      <c r="F79" s="35" t="s">
        <v>1570</v>
      </c>
      <c r="G79" s="105">
        <v>36.6</v>
      </c>
      <c r="H79" s="105">
        <v>17</v>
      </c>
      <c r="I79" s="105">
        <v>49</v>
      </c>
      <c r="J79" s="105">
        <v>2.6705000000000001</v>
      </c>
      <c r="K79" s="106">
        <v>45264</v>
      </c>
      <c r="L79" s="105">
        <v>25.532160000000001</v>
      </c>
      <c r="M79" s="105">
        <v>22.861660000000001</v>
      </c>
      <c r="N79" s="105">
        <v>20.7972</v>
      </c>
      <c r="O79" s="105">
        <v>18.1267</v>
      </c>
      <c r="P79" s="35" t="s">
        <v>1574</v>
      </c>
      <c r="Q79" s="35" t="s">
        <v>1581</v>
      </c>
      <c r="R79" s="35" t="s">
        <v>1582</v>
      </c>
      <c r="S79" s="105">
        <v>17.409600000000001</v>
      </c>
      <c r="T79" s="105">
        <v>14.739100000000001</v>
      </c>
      <c r="U79" s="35" t="s">
        <v>1586</v>
      </c>
      <c r="V79" s="35" t="s">
        <v>1726</v>
      </c>
      <c r="W79" s="105">
        <v>49.5</v>
      </c>
      <c r="X79" s="105">
        <v>46.829500000000003</v>
      </c>
      <c r="Y79" s="105">
        <v>20</v>
      </c>
      <c r="Z79" s="35" t="s">
        <v>1576</v>
      </c>
      <c r="AA79">
        <f>VLOOKUP(A79,Cover!A:R,18,0)</f>
        <v>6.8</v>
      </c>
      <c r="AB79" s="77">
        <f t="shared" si="65"/>
        <v>16.06166</v>
      </c>
      <c r="AC79" s="77">
        <f t="shared" si="66"/>
        <v>11.326699999999999</v>
      </c>
      <c r="AD79" s="77">
        <f t="shared" si="67"/>
        <v>62.907564420714884</v>
      </c>
      <c r="AE79" s="77">
        <f t="shared" si="68"/>
        <v>54.462619968072623</v>
      </c>
      <c r="AF79" s="77">
        <f t="shared" si="69"/>
        <v>7.9391000000000007</v>
      </c>
      <c r="AG79" s="77">
        <f t="shared" si="70"/>
        <v>45.601851851851855</v>
      </c>
      <c r="AH79" s="346">
        <f>AVERAGE(W79:W80)</f>
        <v>49.5</v>
      </c>
      <c r="AI79" s="346">
        <f>SUM(J79:J80)</f>
        <v>4.5780000000000003</v>
      </c>
      <c r="AJ79" s="346">
        <f>AH79-AI79</f>
        <v>44.921999999999997</v>
      </c>
      <c r="AK79" s="346">
        <f>SUM(AA79:AA80)</f>
        <v>13.7</v>
      </c>
      <c r="AL79" s="346">
        <f t="shared" si="75"/>
        <v>31.221999999999998</v>
      </c>
      <c r="AM79" s="345">
        <f t="shared" si="76"/>
        <v>63.074747474747468</v>
      </c>
      <c r="AO79" t="s">
        <v>1634</v>
      </c>
      <c r="AP79" t="str">
        <f t="shared" si="56"/>
        <v>DDm85-25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 t="str">
        <f>_xlfn.XLOOKUP(A79,'SYS Allocations'!A:A,'SYS Allocations'!E:E)</f>
        <v>AM</v>
      </c>
      <c r="AU79">
        <f>_xlfn.XLOOKUP(A79,'SYS Allocations'!A:A,'SYS Allocations'!F:F)</f>
        <v>0</v>
      </c>
      <c r="BA79" t="str">
        <f t="shared" si="57"/>
        <v>DDm85-25</v>
      </c>
    </row>
    <row r="80" spans="1:53">
      <c r="A80" s="35" t="s">
        <v>96</v>
      </c>
      <c r="B80" s="35" t="s">
        <v>1616</v>
      </c>
      <c r="C80" s="35" t="s">
        <v>1725</v>
      </c>
      <c r="D80" s="35" t="s">
        <v>1568</v>
      </c>
      <c r="E80" s="35" t="s">
        <v>1339</v>
      </c>
      <c r="F80" s="35" t="s">
        <v>1570</v>
      </c>
      <c r="G80" s="105">
        <v>36.6</v>
      </c>
      <c r="H80" s="105">
        <v>17</v>
      </c>
      <c r="I80" s="105">
        <v>35</v>
      </c>
      <c r="J80" s="105">
        <v>1.9075</v>
      </c>
      <c r="K80" s="106">
        <v>45264</v>
      </c>
      <c r="L80" s="105">
        <v>25.532160000000001</v>
      </c>
      <c r="M80" s="105">
        <v>23.624659999999999</v>
      </c>
      <c r="N80" s="105">
        <v>20.7972</v>
      </c>
      <c r="O80" s="105">
        <v>18.889700000000001</v>
      </c>
      <c r="P80" s="35" t="s">
        <v>1574</v>
      </c>
      <c r="Q80" s="35" t="s">
        <v>1581</v>
      </c>
      <c r="R80" s="35" t="s">
        <v>1582</v>
      </c>
      <c r="S80" s="105">
        <v>17.409600000000001</v>
      </c>
      <c r="T80" s="105">
        <v>15.5021</v>
      </c>
      <c r="U80" s="35" t="s">
        <v>1586</v>
      </c>
      <c r="V80" s="35" t="s">
        <v>1726</v>
      </c>
      <c r="W80" s="105">
        <v>49.5</v>
      </c>
      <c r="X80" s="105">
        <v>47.592500000000001</v>
      </c>
      <c r="Y80" s="105">
        <v>20</v>
      </c>
      <c r="Z80" s="35" t="s">
        <v>1576</v>
      </c>
      <c r="AA80">
        <f>VLOOKUP(A80,Cover!A:R,18,0)</f>
        <v>6.9</v>
      </c>
      <c r="AB80" s="77">
        <f t="shared" si="65"/>
        <v>16.72466</v>
      </c>
      <c r="AC80" s="77">
        <f t="shared" si="66"/>
        <v>11.989700000000001</v>
      </c>
      <c r="AD80" s="77">
        <f t="shared" ref="AD80" si="77">AB80/L80%</f>
        <v>65.5042894921542</v>
      </c>
      <c r="AE80" s="77">
        <f t="shared" ref="AE80" si="78">AC80/N80%</f>
        <v>57.650549112380517</v>
      </c>
      <c r="AF80" s="77">
        <f t="shared" ref="AF80" si="79">T80-AA80</f>
        <v>8.6021000000000001</v>
      </c>
      <c r="AG80" s="77">
        <f t="shared" ref="AG80" si="80">AF80/S80%</f>
        <v>49.41009557945042</v>
      </c>
      <c r="AH80" s="346"/>
      <c r="AI80" s="346"/>
      <c r="AJ80" s="346"/>
      <c r="AK80" s="346"/>
      <c r="AL80" s="346"/>
      <c r="AM80" s="345"/>
      <c r="AO80" t="s">
        <v>1634</v>
      </c>
      <c r="AP80" t="str">
        <f t="shared" si="56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>
        <f>_xlfn.XLOOKUP(A80,'SYS Allocations'!A:A,'SYS Allocations'!E:E)</f>
        <v>0</v>
      </c>
      <c r="AU80">
        <f>_xlfn.XLOOKUP(A80,'SYS Allocations'!A:A,'SYS Allocations'!F:F)</f>
        <v>0</v>
      </c>
      <c r="BA80" t="str">
        <f t="shared" si="57"/>
        <v>DDm85-25</v>
      </c>
    </row>
    <row r="81" spans="1:53">
      <c r="A81" s="35" t="s">
        <v>97</v>
      </c>
      <c r="B81" s="35" t="s">
        <v>1655</v>
      </c>
      <c r="C81" s="35" t="s">
        <v>1727</v>
      </c>
      <c r="D81" s="35" t="s">
        <v>1718</v>
      </c>
      <c r="E81" s="35" t="s">
        <v>1126</v>
      </c>
      <c r="F81" s="35" t="s">
        <v>1639</v>
      </c>
      <c r="G81" s="105">
        <v>50</v>
      </c>
      <c r="H81" s="105">
        <v>12</v>
      </c>
      <c r="I81" s="105">
        <v>54.7</v>
      </c>
      <c r="J81" s="105">
        <v>2.98115</v>
      </c>
      <c r="K81" s="106">
        <v>44594.708333333299</v>
      </c>
      <c r="L81" s="105">
        <v>23.98</v>
      </c>
      <c r="M81" s="105">
        <v>20.998850000000001</v>
      </c>
      <c r="N81" s="105">
        <v>23.4895</v>
      </c>
      <c r="O81" s="105">
        <v>20.50835</v>
      </c>
      <c r="P81" s="35" t="s">
        <v>1574</v>
      </c>
      <c r="Q81" s="35" t="s">
        <v>1581</v>
      </c>
      <c r="R81" s="35" t="s">
        <v>1609</v>
      </c>
      <c r="S81" s="105">
        <v>10.1088</v>
      </c>
      <c r="T81" s="105">
        <v>7.1276499999999796</v>
      </c>
      <c r="U81" s="35" t="s">
        <v>1586</v>
      </c>
      <c r="V81" s="35" t="s">
        <v>1705</v>
      </c>
      <c r="W81" s="105">
        <v>16.875</v>
      </c>
      <c r="X81" s="105">
        <v>13.89385</v>
      </c>
      <c r="Y81" s="105">
        <v>7</v>
      </c>
      <c r="Z81" s="35" t="s">
        <v>1576</v>
      </c>
      <c r="AA81">
        <f>VLOOKUP(A81,Cover!A:R,18,0)</f>
        <v>0</v>
      </c>
      <c r="AB81" s="77">
        <f t="shared" si="65"/>
        <v>20.998850000000001</v>
      </c>
      <c r="AC81" s="77">
        <f t="shared" si="66"/>
        <v>20.50835</v>
      </c>
      <c r="AD81" s="77">
        <f t="shared" si="67"/>
        <v>87.568181818181813</v>
      </c>
      <c r="AE81" s="77">
        <f t="shared" si="68"/>
        <v>87.30858468677495</v>
      </c>
      <c r="AF81" s="77">
        <f t="shared" si="69"/>
        <v>7.1276499999999796</v>
      </c>
      <c r="AG81" s="77">
        <f t="shared" si="70"/>
        <v>70.509358182969081</v>
      </c>
      <c r="AH81" s="77">
        <f t="shared" si="71"/>
        <v>16.875</v>
      </c>
      <c r="AI81" s="77">
        <f t="shared" si="72"/>
        <v>2.98115</v>
      </c>
      <c r="AJ81" s="77">
        <f t="shared" si="73"/>
        <v>13.89385</v>
      </c>
      <c r="AK81" s="77">
        <f t="shared" si="74"/>
        <v>0</v>
      </c>
      <c r="AL81" s="77">
        <f t="shared" si="75"/>
        <v>13.89385</v>
      </c>
      <c r="AM81" s="77">
        <f t="shared" si="76"/>
        <v>82.333925925925925</v>
      </c>
      <c r="AO81" t="s">
        <v>1577</v>
      </c>
      <c r="AP81" t="str">
        <f t="shared" si="56"/>
        <v>2DDm85-15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57"/>
        <v>2DDm85-15</v>
      </c>
    </row>
    <row r="82" spans="1:53">
      <c r="A82" s="35" t="s">
        <v>98</v>
      </c>
      <c r="B82" s="35" t="s">
        <v>1655</v>
      </c>
      <c r="C82" s="35" t="s">
        <v>1727</v>
      </c>
      <c r="D82" s="35" t="s">
        <v>1568</v>
      </c>
      <c r="E82" s="35" t="s">
        <v>1128</v>
      </c>
      <c r="F82" s="35" t="s">
        <v>1570</v>
      </c>
      <c r="G82" s="105">
        <v>36.6</v>
      </c>
      <c r="H82" s="105">
        <v>9</v>
      </c>
      <c r="I82" s="105">
        <v>153</v>
      </c>
      <c r="J82" s="105">
        <v>8.3384999999999998</v>
      </c>
      <c r="K82" s="106">
        <v>45264</v>
      </c>
      <c r="L82" s="105">
        <v>12.766080000000001</v>
      </c>
      <c r="M82" s="105">
        <v>4.4275799999999998</v>
      </c>
      <c r="N82" s="105">
        <v>9.4720999999999993</v>
      </c>
      <c r="O82" s="105">
        <v>1.1335999999999999</v>
      </c>
      <c r="P82" s="35" t="s">
        <v>1574</v>
      </c>
      <c r="Q82" s="35" t="s">
        <v>1581</v>
      </c>
      <c r="R82" s="35" t="s">
        <v>1609</v>
      </c>
      <c r="S82" s="105">
        <v>10.1088</v>
      </c>
      <c r="T82" s="105">
        <v>1.77029999999998</v>
      </c>
      <c r="U82" s="35" t="s">
        <v>1574</v>
      </c>
      <c r="V82" s="35" t="s">
        <v>1728</v>
      </c>
      <c r="W82" s="105">
        <v>18.75</v>
      </c>
      <c r="X82" s="105">
        <v>10.4115</v>
      </c>
      <c r="Y82" s="105">
        <v>51</v>
      </c>
      <c r="Z82" s="35" t="s">
        <v>1576</v>
      </c>
      <c r="AA82">
        <f>VLOOKUP(A82,Cover!A:R,18,0)</f>
        <v>4</v>
      </c>
      <c r="AB82" s="77">
        <f t="shared" si="65"/>
        <v>0.42757999999999985</v>
      </c>
      <c r="AC82" s="77">
        <f t="shared" si="66"/>
        <v>-2.8664000000000001</v>
      </c>
      <c r="AD82" s="77">
        <f t="shared" si="67"/>
        <v>3.3493445129593407</v>
      </c>
      <c r="AE82" s="77">
        <f t="shared" si="68"/>
        <v>-30.261504840531668</v>
      </c>
      <c r="AF82" s="77">
        <f t="shared" si="69"/>
        <v>-2.2297000000000198</v>
      </c>
      <c r="AG82" s="77">
        <f t="shared" si="70"/>
        <v>-22.057019626464264</v>
      </c>
      <c r="AH82" s="77">
        <f t="shared" si="71"/>
        <v>18.75</v>
      </c>
      <c r="AI82" s="77">
        <f t="shared" si="72"/>
        <v>8.3384999999999998</v>
      </c>
      <c r="AJ82" s="77">
        <f t="shared" si="73"/>
        <v>10.4115</v>
      </c>
      <c r="AK82" s="77">
        <f t="shared" si="74"/>
        <v>4</v>
      </c>
      <c r="AL82" s="77">
        <f t="shared" si="75"/>
        <v>6.4115000000000002</v>
      </c>
      <c r="AM82" s="77">
        <f t="shared" si="76"/>
        <v>34.19466666666667</v>
      </c>
      <c r="AO82" t="s">
        <v>1577</v>
      </c>
      <c r="AP82" t="str">
        <f t="shared" si="56"/>
        <v>2DDm85-15</v>
      </c>
      <c r="AQ82">
        <f>_xlfn.XLOOKUP(A82,'SYS Allocations'!A:A,'SYS Allocations'!B:B)</f>
        <v>0</v>
      </c>
      <c r="AR82" t="str">
        <f>_xlfn.XLOOKUP(A82,'SYS Allocations'!A:A,'SYS Allocations'!C:C)</f>
        <v>RA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57"/>
        <v>2DDm85-15</v>
      </c>
    </row>
    <row r="83" spans="1:53">
      <c r="A83" s="35" t="s">
        <v>99</v>
      </c>
      <c r="B83" s="35" t="s">
        <v>1590</v>
      </c>
      <c r="C83" s="35" t="s">
        <v>1729</v>
      </c>
      <c r="D83" s="35" t="s">
        <v>1563</v>
      </c>
      <c r="E83" s="35" t="s">
        <v>1730</v>
      </c>
      <c r="F83" s="35" t="s">
        <v>1580</v>
      </c>
      <c r="G83" s="105">
        <v>75</v>
      </c>
      <c r="H83" s="105">
        <v>28</v>
      </c>
      <c r="I83" s="105">
        <v>900</v>
      </c>
      <c r="J83" s="105">
        <v>49.05</v>
      </c>
      <c r="K83" s="106">
        <v>45127</v>
      </c>
      <c r="L83" s="105">
        <v>88.29</v>
      </c>
      <c r="M83" s="105">
        <v>39.24</v>
      </c>
      <c r="N83" s="105">
        <v>66.762500000000003</v>
      </c>
      <c r="O83" s="105">
        <v>17.712499999999999</v>
      </c>
      <c r="P83" s="35" t="s">
        <v>1610</v>
      </c>
      <c r="Q83" s="35" t="s">
        <v>1581</v>
      </c>
      <c r="R83" s="35" t="s">
        <v>1644</v>
      </c>
      <c r="S83" s="105">
        <v>70.308000000000007</v>
      </c>
      <c r="T83" s="105">
        <v>21.257999999999999</v>
      </c>
      <c r="U83" s="35" t="s">
        <v>1571</v>
      </c>
      <c r="V83" s="35" t="s">
        <v>1589</v>
      </c>
      <c r="W83" s="105">
        <v>45</v>
      </c>
      <c r="X83" s="105">
        <v>-4.05</v>
      </c>
      <c r="Y83" s="105">
        <v>6</v>
      </c>
      <c r="Z83" s="35" t="s">
        <v>8</v>
      </c>
      <c r="AA83">
        <f>VLOOKUP(A83,Cover!A:R,18,0)</f>
        <v>3</v>
      </c>
      <c r="AB83" s="77">
        <f t="shared" si="65"/>
        <v>36.24</v>
      </c>
      <c r="AC83" s="77">
        <f t="shared" si="66"/>
        <v>14.712499999999999</v>
      </c>
      <c r="AD83" s="77">
        <f t="shared" si="67"/>
        <v>41.046551138294262</v>
      </c>
      <c r="AE83" s="77">
        <f t="shared" si="68"/>
        <v>22.03707170941771</v>
      </c>
      <c r="AF83" s="77">
        <f t="shared" si="69"/>
        <v>18.257999999999999</v>
      </c>
      <c r="AG83" s="77">
        <f t="shared" si="70"/>
        <v>25.96859532343403</v>
      </c>
      <c r="AH83" s="77">
        <f>'Multiroom cooling'!F7</f>
        <v>72</v>
      </c>
      <c r="AI83" s="77">
        <f t="shared" si="72"/>
        <v>49.05</v>
      </c>
      <c r="AJ83" s="77">
        <f t="shared" si="73"/>
        <v>22.950000000000003</v>
      </c>
      <c r="AK83" s="77">
        <f t="shared" si="74"/>
        <v>3</v>
      </c>
      <c r="AL83" s="77">
        <f t="shared" si="75"/>
        <v>19.950000000000003</v>
      </c>
      <c r="AM83" s="77">
        <f t="shared" si="76"/>
        <v>27.708333333333339</v>
      </c>
      <c r="AN83" s="52" t="s">
        <v>1563</v>
      </c>
      <c r="AO83" t="s">
        <v>1577</v>
      </c>
      <c r="AP83" t="str">
        <f t="shared" si="56"/>
        <v>DDm100-33</v>
      </c>
      <c r="AQ83">
        <f>_xlfn.XLOOKUP(A83,'SYS Allocations'!A:A,'SYS Allocations'!B:B)</f>
        <v>0</v>
      </c>
      <c r="AR83">
        <f>_xlfn.XLOOKUP(A83,'SYS Allocations'!A:A,'SYS Allocations'!C:C)</f>
        <v>0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57"/>
        <v>DDm100-33</v>
      </c>
    </row>
    <row r="84" spans="1:53">
      <c r="A84" s="35" t="s">
        <v>100</v>
      </c>
      <c r="B84" s="35" t="s">
        <v>1620</v>
      </c>
      <c r="C84" s="35" t="s">
        <v>1731</v>
      </c>
      <c r="D84" s="35" t="s">
        <v>1568</v>
      </c>
      <c r="E84" s="35" t="s">
        <v>989</v>
      </c>
      <c r="F84" s="35" t="s">
        <v>1570</v>
      </c>
      <c r="G84" s="105">
        <v>36.6</v>
      </c>
      <c r="H84" s="105">
        <v>19</v>
      </c>
      <c r="I84" s="105">
        <v>225</v>
      </c>
      <c r="J84" s="105">
        <v>12.262499999999999</v>
      </c>
      <c r="K84" s="106">
        <v>44530.708333333299</v>
      </c>
      <c r="L84" s="105">
        <v>28.723680000000002</v>
      </c>
      <c r="M84" s="105">
        <v>16.461179999999999</v>
      </c>
      <c r="N84" s="105">
        <v>23.740200000000002</v>
      </c>
      <c r="O84" s="105">
        <v>11.4777</v>
      </c>
      <c r="P84" s="35" t="s">
        <v>1574</v>
      </c>
      <c r="Q84" s="35" t="s">
        <v>1626</v>
      </c>
      <c r="R84" s="35" t="s">
        <v>1632</v>
      </c>
      <c r="S84" s="105">
        <v>25.012799999999999</v>
      </c>
      <c r="T84" s="105">
        <v>12.750299999999999</v>
      </c>
      <c r="U84" s="35" t="s">
        <v>1618</v>
      </c>
      <c r="V84" s="35" t="s">
        <v>1732</v>
      </c>
      <c r="W84" s="105">
        <v>32.25</v>
      </c>
      <c r="X84" s="105">
        <v>19.987500000000001</v>
      </c>
      <c r="Y84" s="105">
        <v>18</v>
      </c>
      <c r="Z84" s="35" t="s">
        <v>1576</v>
      </c>
      <c r="AA84">
        <f>VLOOKUP(A84,Cover!A:R,18,0)</f>
        <v>1</v>
      </c>
      <c r="AB84" s="77">
        <f t="shared" si="65"/>
        <v>15.461179999999999</v>
      </c>
      <c r="AC84" s="77">
        <f t="shared" si="66"/>
        <v>10.4777</v>
      </c>
      <c r="AD84" s="77">
        <f t="shared" si="67"/>
        <v>53.827295109818792</v>
      </c>
      <c r="AE84" s="77">
        <f t="shared" si="68"/>
        <v>44.134843008904731</v>
      </c>
      <c r="AF84" s="77">
        <f t="shared" si="69"/>
        <v>11.750299999999999</v>
      </c>
      <c r="AG84" s="77">
        <f t="shared" si="70"/>
        <v>46.977147700377408</v>
      </c>
      <c r="AH84" s="77">
        <f t="shared" si="71"/>
        <v>32.25</v>
      </c>
      <c r="AI84" s="77">
        <f t="shared" si="72"/>
        <v>12.262499999999999</v>
      </c>
      <c r="AJ84" s="77">
        <f t="shared" si="73"/>
        <v>19.987500000000001</v>
      </c>
      <c r="AK84" s="77">
        <f t="shared" si="74"/>
        <v>1</v>
      </c>
      <c r="AL84" s="77">
        <f t="shared" si="75"/>
        <v>18.987500000000001</v>
      </c>
      <c r="AM84" s="77">
        <f t="shared" si="76"/>
        <v>58.875968992248062</v>
      </c>
      <c r="AO84" t="s">
        <v>1577</v>
      </c>
      <c r="AP84" t="str">
        <f t="shared" si="56"/>
        <v>2SLA1500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57"/>
        <v>2SLA1500</v>
      </c>
    </row>
    <row r="85" spans="1:53">
      <c r="A85" s="35" t="s">
        <v>101</v>
      </c>
      <c r="B85" s="35" t="s">
        <v>1607</v>
      </c>
      <c r="C85" s="35" t="s">
        <v>1733</v>
      </c>
      <c r="D85" s="35" t="s">
        <v>1568</v>
      </c>
      <c r="E85" s="35" t="s">
        <v>1456</v>
      </c>
      <c r="F85" s="35" t="s">
        <v>1625</v>
      </c>
      <c r="G85" s="105">
        <v>55</v>
      </c>
      <c r="H85" s="105">
        <v>8</v>
      </c>
      <c r="I85" s="105">
        <v>79</v>
      </c>
      <c r="J85" s="105">
        <v>4.3055000000000003</v>
      </c>
      <c r="K85" s="106">
        <v>45044</v>
      </c>
      <c r="L85" s="105">
        <v>16.786000000000001</v>
      </c>
      <c r="M85" s="105">
        <v>12.480499999999999</v>
      </c>
      <c r="N85" s="105">
        <v>14.62562</v>
      </c>
      <c r="O85" s="105">
        <v>10.320119999999999</v>
      </c>
      <c r="P85" s="35" t="s">
        <v>1571</v>
      </c>
      <c r="Q85" s="35" t="s">
        <v>1572</v>
      </c>
      <c r="R85" s="35" t="s">
        <v>1573</v>
      </c>
      <c r="S85" s="105">
        <v>13.154400000000001</v>
      </c>
      <c r="T85" s="105">
        <v>8.8489000000000093</v>
      </c>
      <c r="U85" s="35" t="s">
        <v>1618</v>
      </c>
      <c r="V85" s="35" t="s">
        <v>1589</v>
      </c>
      <c r="W85" s="105">
        <v>45</v>
      </c>
      <c r="X85" s="105">
        <v>40.694499999999998</v>
      </c>
      <c r="Y85" s="105">
        <v>11</v>
      </c>
      <c r="Z85" s="35" t="s">
        <v>1576</v>
      </c>
      <c r="AA85">
        <f>VLOOKUP(A85,Cover!A:R,18,0)</f>
        <v>0</v>
      </c>
      <c r="AB85" s="77">
        <f t="shared" si="65"/>
        <v>12.480499999999999</v>
      </c>
      <c r="AC85" s="77">
        <f t="shared" si="66"/>
        <v>10.320119999999999</v>
      </c>
      <c r="AD85" s="77">
        <f t="shared" si="67"/>
        <v>74.350649350649348</v>
      </c>
      <c r="AE85" s="77">
        <f t="shared" si="68"/>
        <v>70.561931733492315</v>
      </c>
      <c r="AF85" s="77">
        <f t="shared" si="69"/>
        <v>8.8489000000000093</v>
      </c>
      <c r="AG85" s="77">
        <f t="shared" si="70"/>
        <v>67.269506781001112</v>
      </c>
      <c r="AH85" s="77">
        <f t="shared" si="71"/>
        <v>45</v>
      </c>
      <c r="AI85" s="77">
        <f t="shared" si="72"/>
        <v>4.3055000000000003</v>
      </c>
      <c r="AJ85" s="77">
        <f t="shared" si="73"/>
        <v>40.694499999999998</v>
      </c>
      <c r="AK85" s="77">
        <f t="shared" si="74"/>
        <v>0</v>
      </c>
      <c r="AL85" s="77">
        <f t="shared" si="75"/>
        <v>40.694499999999998</v>
      </c>
      <c r="AM85" s="77">
        <f t="shared" si="76"/>
        <v>90.432222222222222</v>
      </c>
      <c r="AO85" t="s">
        <v>1577</v>
      </c>
      <c r="AP85" t="str">
        <f t="shared" si="56"/>
        <v>EN480-2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57"/>
        <v>EN480-2</v>
      </c>
    </row>
    <row r="86" spans="1:53">
      <c r="A86" s="35" t="s">
        <v>102</v>
      </c>
      <c r="B86" s="35" t="s">
        <v>1578</v>
      </c>
      <c r="C86" s="35" t="s">
        <v>1734</v>
      </c>
      <c r="D86" s="35" t="s">
        <v>1568</v>
      </c>
      <c r="E86" s="35" t="s">
        <v>1735</v>
      </c>
      <c r="F86" s="35" t="s">
        <v>1570</v>
      </c>
      <c r="G86" s="105">
        <v>36.6</v>
      </c>
      <c r="H86" s="105">
        <v>8</v>
      </c>
      <c r="I86" s="105">
        <v>114</v>
      </c>
      <c r="J86" s="105">
        <v>6.2130000000000001</v>
      </c>
      <c r="K86" s="106">
        <v>45264</v>
      </c>
      <c r="L86" s="105">
        <v>11.17032</v>
      </c>
      <c r="M86" s="105">
        <v>4.9573200000000002</v>
      </c>
      <c r="N86" s="105">
        <v>11.510400000000001</v>
      </c>
      <c r="O86" s="105">
        <v>5.2973999999999997</v>
      </c>
      <c r="P86" s="35" t="s">
        <v>1571</v>
      </c>
      <c r="Q86" s="35" t="s">
        <v>1581</v>
      </c>
      <c r="R86" s="35" t="s">
        <v>1736</v>
      </c>
      <c r="S86" s="105">
        <v>11.689920000000001</v>
      </c>
      <c r="T86" s="105">
        <v>5.4769199999999696</v>
      </c>
      <c r="U86" s="35" t="s">
        <v>1574</v>
      </c>
      <c r="V86" s="35" t="s">
        <v>1722</v>
      </c>
      <c r="W86" s="105">
        <v>10.5</v>
      </c>
      <c r="X86" s="105">
        <v>4.2869999999999999</v>
      </c>
      <c r="Y86" s="105">
        <v>47</v>
      </c>
      <c r="Z86" s="35" t="s">
        <v>1576</v>
      </c>
      <c r="AA86">
        <f>VLOOKUP(A86,Cover!A:R,18,0)</f>
        <v>2</v>
      </c>
      <c r="AB86" s="77">
        <f t="shared" si="65"/>
        <v>2.9573200000000002</v>
      </c>
      <c r="AC86" s="77">
        <f t="shared" si="66"/>
        <v>3.2973999999999997</v>
      </c>
      <c r="AD86" s="77">
        <f t="shared" si="67"/>
        <v>26.47480108000487</v>
      </c>
      <c r="AE86" s="77">
        <f t="shared" si="68"/>
        <v>28.647136502641082</v>
      </c>
      <c r="AF86" s="77">
        <f t="shared" si="69"/>
        <v>3.4769199999999696</v>
      </c>
      <c r="AG86" s="77">
        <f t="shared" si="70"/>
        <v>29.742889600612916</v>
      </c>
      <c r="AH86" s="77">
        <f t="shared" si="71"/>
        <v>10.5</v>
      </c>
      <c r="AI86" s="77">
        <f t="shared" si="72"/>
        <v>6.2130000000000001</v>
      </c>
      <c r="AJ86" s="77">
        <f t="shared" si="73"/>
        <v>4.2869999999999999</v>
      </c>
      <c r="AK86" s="77">
        <f t="shared" si="74"/>
        <v>2</v>
      </c>
      <c r="AL86" s="77">
        <f t="shared" si="75"/>
        <v>2.2869999999999999</v>
      </c>
      <c r="AM86" s="77">
        <f t="shared" si="76"/>
        <v>21.780952380952382</v>
      </c>
      <c r="AO86" t="s">
        <v>1577</v>
      </c>
      <c r="AP86" t="str">
        <f t="shared" si="56"/>
        <v>SBS XL 150F-FT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57"/>
        <v xml:space="preserve">SBS XL 150F-FT </v>
      </c>
    </row>
    <row r="87" spans="1:53">
      <c r="A87" s="35" t="s">
        <v>103</v>
      </c>
      <c r="B87" s="35" t="s">
        <v>1578</v>
      </c>
      <c r="C87" s="35" t="s">
        <v>1734</v>
      </c>
      <c r="D87" s="35" t="s">
        <v>1568</v>
      </c>
      <c r="E87" s="35" t="s">
        <v>1737</v>
      </c>
      <c r="F87" s="35" t="s">
        <v>1598</v>
      </c>
      <c r="G87" s="105">
        <v>22</v>
      </c>
      <c r="H87" s="105">
        <v>6</v>
      </c>
      <c r="I87" s="105">
        <v>33</v>
      </c>
      <c r="J87" s="105">
        <v>1.7985</v>
      </c>
      <c r="K87" s="106">
        <v>44445.381944444402</v>
      </c>
      <c r="L87" s="105">
        <v>4.7960000000000003</v>
      </c>
      <c r="M87" s="105">
        <v>2.9975000000000001</v>
      </c>
      <c r="N87" s="105">
        <v>5.8315000000000001</v>
      </c>
      <c r="O87" s="105">
        <v>4.0330000000000004</v>
      </c>
      <c r="P87" s="35" t="s">
        <v>1571</v>
      </c>
      <c r="Q87" s="35" t="s">
        <v>1581</v>
      </c>
      <c r="R87" s="35" t="s">
        <v>1738</v>
      </c>
      <c r="S87" s="105">
        <v>2.8252799999999998</v>
      </c>
      <c r="T87" s="105">
        <v>1.02678</v>
      </c>
      <c r="U87" s="35" t="s">
        <v>1574</v>
      </c>
      <c r="V87" s="35" t="s">
        <v>1575</v>
      </c>
      <c r="W87" s="105">
        <v>7.5</v>
      </c>
      <c r="X87" s="105">
        <v>5.7015000000000002</v>
      </c>
      <c r="Y87" s="105">
        <v>0</v>
      </c>
      <c r="Z87" s="35" t="s">
        <v>1576</v>
      </c>
      <c r="AA87">
        <f>VLOOKUP(A87,Cover!A:R,18,0)</f>
        <v>0</v>
      </c>
      <c r="AB87" s="77">
        <f t="shared" si="65"/>
        <v>2.9975000000000001</v>
      </c>
      <c r="AC87" s="77">
        <f t="shared" si="66"/>
        <v>4.0330000000000004</v>
      </c>
      <c r="AD87" s="77">
        <f t="shared" si="67"/>
        <v>62.5</v>
      </c>
      <c r="AE87" s="77">
        <f t="shared" si="68"/>
        <v>69.158878504672899</v>
      </c>
      <c r="AF87" s="77">
        <f t="shared" si="69"/>
        <v>1.02678</v>
      </c>
      <c r="AG87" s="77">
        <f t="shared" si="70"/>
        <v>36.342592592592595</v>
      </c>
      <c r="AH87" s="77">
        <f t="shared" si="71"/>
        <v>7.5</v>
      </c>
      <c r="AI87" s="77">
        <f t="shared" si="72"/>
        <v>1.7985</v>
      </c>
      <c r="AJ87" s="77">
        <f t="shared" si="73"/>
        <v>5.7015000000000002</v>
      </c>
      <c r="AK87" s="77">
        <f t="shared" si="74"/>
        <v>0</v>
      </c>
      <c r="AL87" s="77">
        <f t="shared" si="75"/>
        <v>5.7015000000000002</v>
      </c>
      <c r="AM87" s="77">
        <f t="shared" si="76"/>
        <v>76.02000000000001</v>
      </c>
      <c r="AO87" t="s">
        <v>1577</v>
      </c>
      <c r="AP87" t="str">
        <f t="shared" si="56"/>
        <v>SBS 12V100F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57"/>
        <v>SBS 12V100F</v>
      </c>
    </row>
    <row r="88" spans="1:53">
      <c r="A88" s="35" t="s">
        <v>104</v>
      </c>
      <c r="B88" s="35" t="s">
        <v>1655</v>
      </c>
      <c r="C88" s="35" t="s">
        <v>1739</v>
      </c>
      <c r="D88" s="35" t="s">
        <v>1568</v>
      </c>
      <c r="E88" s="35" t="s">
        <v>1133</v>
      </c>
      <c r="F88" s="35" t="s">
        <v>1580</v>
      </c>
      <c r="G88" s="105">
        <v>75</v>
      </c>
      <c r="H88" s="105">
        <v>6</v>
      </c>
      <c r="I88" s="105">
        <v>49</v>
      </c>
      <c r="J88" s="105">
        <v>2.6705000000000001</v>
      </c>
      <c r="K88" s="106">
        <v>45264</v>
      </c>
      <c r="L88" s="105">
        <v>16.350000000000001</v>
      </c>
      <c r="M88" s="105">
        <v>13.679500000000001</v>
      </c>
      <c r="N88" s="105">
        <v>16.7315</v>
      </c>
      <c r="O88" s="105">
        <v>14.061</v>
      </c>
      <c r="P88" s="35" t="s">
        <v>1586</v>
      </c>
      <c r="Q88" s="35" t="s">
        <v>1599</v>
      </c>
      <c r="R88" s="35" t="s">
        <v>1740</v>
      </c>
      <c r="S88" s="105">
        <v>6.6009600000000201</v>
      </c>
      <c r="T88" s="105">
        <v>3.9304600000000098</v>
      </c>
      <c r="U88" s="35" t="s">
        <v>1571</v>
      </c>
      <c r="V88" s="35" t="s">
        <v>1575</v>
      </c>
      <c r="W88" s="105">
        <v>7.5</v>
      </c>
      <c r="X88" s="105">
        <v>4.8295000000000003</v>
      </c>
      <c r="Y88" s="105">
        <v>3</v>
      </c>
      <c r="Z88" s="35" t="s">
        <v>1576</v>
      </c>
      <c r="AA88">
        <f>VLOOKUP(A88,Cover!A:R,18,0)</f>
        <v>0</v>
      </c>
      <c r="AB88" s="77">
        <f t="shared" si="65"/>
        <v>13.679500000000001</v>
      </c>
      <c r="AC88" s="77">
        <f t="shared" si="66"/>
        <v>14.061</v>
      </c>
      <c r="AD88" s="77">
        <f t="shared" si="67"/>
        <v>83.666666666666671</v>
      </c>
      <c r="AE88" s="77">
        <f t="shared" si="68"/>
        <v>84.039087947882734</v>
      </c>
      <c r="AF88" s="77">
        <f t="shared" si="69"/>
        <v>3.9304600000000098</v>
      </c>
      <c r="AG88" s="77">
        <f t="shared" si="70"/>
        <v>59.543763331394196</v>
      </c>
      <c r="AH88" s="77">
        <f t="shared" si="71"/>
        <v>7.5</v>
      </c>
      <c r="AI88" s="77">
        <f t="shared" si="72"/>
        <v>2.6705000000000001</v>
      </c>
      <c r="AJ88" s="77">
        <f t="shared" si="73"/>
        <v>4.8294999999999995</v>
      </c>
      <c r="AK88" s="77">
        <f t="shared" si="74"/>
        <v>0</v>
      </c>
      <c r="AL88" s="77">
        <f t="shared" si="75"/>
        <v>4.8294999999999995</v>
      </c>
      <c r="AM88" s="77">
        <f t="shared" si="76"/>
        <v>64.393333333333331</v>
      </c>
      <c r="AO88" t="s">
        <v>1577</v>
      </c>
      <c r="AP88" t="str">
        <f t="shared" si="56"/>
        <v>12v170FS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57"/>
        <v>12v170FS</v>
      </c>
    </row>
    <row r="89" spans="1:53">
      <c r="A89" s="35" t="s">
        <v>105</v>
      </c>
      <c r="B89" s="35" t="s">
        <v>1636</v>
      </c>
      <c r="C89" s="35" t="s">
        <v>1741</v>
      </c>
      <c r="D89" s="35" t="s">
        <v>1568</v>
      </c>
      <c r="E89" s="35" t="s">
        <v>1742</v>
      </c>
      <c r="F89" s="35" t="s">
        <v>1639</v>
      </c>
      <c r="G89" s="105">
        <v>50</v>
      </c>
      <c r="H89" s="105">
        <v>5</v>
      </c>
      <c r="I89" s="105">
        <v>40</v>
      </c>
      <c r="J89" s="105">
        <v>2.1800000000000002</v>
      </c>
      <c r="K89" s="106">
        <v>44574.541666666701</v>
      </c>
      <c r="L89" s="105">
        <v>8.7200000000000006</v>
      </c>
      <c r="M89" s="105">
        <v>6.54</v>
      </c>
      <c r="N89" s="105">
        <v>8.2840000000000007</v>
      </c>
      <c r="O89" s="105">
        <v>6.1040000000000001</v>
      </c>
      <c r="P89" s="35" t="s">
        <v>1618</v>
      </c>
      <c r="Q89" s="35" t="s">
        <v>1599</v>
      </c>
      <c r="R89" s="35" t="s">
        <v>1679</v>
      </c>
      <c r="S89" s="105">
        <v>5.8579200000000098</v>
      </c>
      <c r="T89" s="105">
        <v>3.6779200000000101</v>
      </c>
      <c r="U89" s="35" t="s">
        <v>1574</v>
      </c>
      <c r="V89" s="35" t="s">
        <v>1673</v>
      </c>
      <c r="W89" s="105">
        <v>11.25</v>
      </c>
      <c r="X89" s="105">
        <v>9.07</v>
      </c>
      <c r="Y89" s="105">
        <v>1</v>
      </c>
      <c r="Z89" s="35" t="s">
        <v>1576</v>
      </c>
      <c r="AA89">
        <f>VLOOKUP(A89,Cover!A:R,18,0)</f>
        <v>0</v>
      </c>
      <c r="AB89" s="77">
        <f t="shared" si="65"/>
        <v>6.54</v>
      </c>
      <c r="AC89" s="77">
        <f t="shared" si="66"/>
        <v>6.1040000000000001</v>
      </c>
      <c r="AD89" s="77">
        <f t="shared" si="67"/>
        <v>75</v>
      </c>
      <c r="AE89" s="77">
        <f t="shared" si="68"/>
        <v>73.68421052631578</v>
      </c>
      <c r="AF89" s="77">
        <f t="shared" si="69"/>
        <v>3.6779200000000101</v>
      </c>
      <c r="AG89" s="77">
        <f t="shared" si="70"/>
        <v>62.785425543537706</v>
      </c>
      <c r="AH89" s="77">
        <f t="shared" si="71"/>
        <v>11.25</v>
      </c>
      <c r="AI89" s="77">
        <f t="shared" si="72"/>
        <v>2.1800000000000002</v>
      </c>
      <c r="AJ89" s="77">
        <f t="shared" si="73"/>
        <v>9.07</v>
      </c>
      <c r="AK89" s="77">
        <f t="shared" si="74"/>
        <v>0</v>
      </c>
      <c r="AL89" s="77">
        <f t="shared" si="75"/>
        <v>9.07</v>
      </c>
      <c r="AM89" s="77">
        <f t="shared" si="76"/>
        <v>80.62222222222222</v>
      </c>
      <c r="AO89" t="s">
        <v>1577</v>
      </c>
      <c r="AP89" t="str">
        <f t="shared" si="56"/>
        <v>12V100F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57"/>
        <v>12V100F</v>
      </c>
    </row>
    <row r="90" spans="1:53">
      <c r="A90" s="35" t="s">
        <v>106</v>
      </c>
      <c r="B90" s="35" t="s">
        <v>1590</v>
      </c>
      <c r="C90" s="35" t="s">
        <v>1590</v>
      </c>
      <c r="D90" s="35" t="s">
        <v>1568</v>
      </c>
      <c r="E90" s="35" t="s">
        <v>842</v>
      </c>
      <c r="F90" s="35" t="s">
        <v>1570</v>
      </c>
      <c r="G90" s="105">
        <v>36.6</v>
      </c>
      <c r="H90" s="105">
        <v>49</v>
      </c>
      <c r="I90" s="105">
        <v>1021</v>
      </c>
      <c r="J90" s="105">
        <v>55.644500000000001</v>
      </c>
      <c r="K90" s="106">
        <v>44154</v>
      </c>
      <c r="L90" s="105">
        <v>76.59648</v>
      </c>
      <c r="M90" s="105">
        <v>20.951979999999999</v>
      </c>
      <c r="N90" s="105">
        <v>52.145600000000002</v>
      </c>
      <c r="O90" s="107">
        <v>-3.4988999999999999</v>
      </c>
      <c r="P90" s="35" t="s">
        <v>1586</v>
      </c>
      <c r="Q90" s="35" t="s">
        <v>1581</v>
      </c>
      <c r="R90" s="35" t="s">
        <v>1592</v>
      </c>
      <c r="S90" s="105">
        <v>71.107200000000205</v>
      </c>
      <c r="T90" s="105">
        <v>15.462700000000201</v>
      </c>
      <c r="U90" s="35" t="s">
        <v>1618</v>
      </c>
      <c r="V90" s="35" t="s">
        <v>1743</v>
      </c>
      <c r="W90" s="105">
        <v>150</v>
      </c>
      <c r="X90" s="105">
        <v>94.355500000000006</v>
      </c>
      <c r="Y90" s="105">
        <v>33</v>
      </c>
      <c r="Z90" s="35" t="s">
        <v>1576</v>
      </c>
      <c r="AA90">
        <f>VLOOKUP(A90,Cover!A:R,18,0)</f>
        <v>7.4</v>
      </c>
      <c r="AB90" s="77">
        <f t="shared" si="65"/>
        <v>13.551979999999999</v>
      </c>
      <c r="AC90" s="77">
        <f t="shared" si="66"/>
        <v>-10.898900000000001</v>
      </c>
      <c r="AD90" s="77">
        <f t="shared" si="67"/>
        <v>17.692692927925666</v>
      </c>
      <c r="AE90" s="77">
        <f t="shared" si="68"/>
        <v>-20.900900555368047</v>
      </c>
      <c r="AF90" s="77">
        <f t="shared" si="69"/>
        <v>8.0627000000002003</v>
      </c>
      <c r="AG90" s="77">
        <f t="shared" si="70"/>
        <v>11.338795508753231</v>
      </c>
      <c r="AH90" s="77">
        <f t="shared" si="71"/>
        <v>150</v>
      </c>
      <c r="AI90" s="77">
        <f t="shared" si="72"/>
        <v>55.644500000000001</v>
      </c>
      <c r="AJ90" s="77">
        <f t="shared" si="73"/>
        <v>94.355500000000006</v>
      </c>
      <c r="AK90" s="77">
        <f t="shared" si="74"/>
        <v>7.4</v>
      </c>
      <c r="AL90" s="77">
        <f t="shared" si="75"/>
        <v>86.955500000000001</v>
      </c>
      <c r="AM90" s="77">
        <f t="shared" si="76"/>
        <v>57.970333333333336</v>
      </c>
      <c r="AO90" t="s">
        <v>1577</v>
      </c>
      <c r="AP90" t="str">
        <f t="shared" si="56"/>
        <v>DDm125-33</v>
      </c>
      <c r="AQ90">
        <f>_xlfn.XLOOKUP(A90,'SYS Allocations'!A:A,'SYS Allocations'!B:B)</f>
        <v>0</v>
      </c>
      <c r="AR90" t="str">
        <f>_xlfn.XLOOKUP(A90,'SYS Allocations'!A:A,'SYS Allocations'!C:C)</f>
        <v>RA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57"/>
        <v>DDm125-33</v>
      </c>
    </row>
    <row r="91" spans="1:53">
      <c r="A91" s="35" t="s">
        <v>107</v>
      </c>
      <c r="B91" s="35" t="s">
        <v>1578</v>
      </c>
      <c r="C91" s="35" t="s">
        <v>1744</v>
      </c>
      <c r="D91" s="35" t="s">
        <v>1568</v>
      </c>
      <c r="E91" s="35" t="s">
        <v>1745</v>
      </c>
      <c r="F91" s="35" t="s">
        <v>1570</v>
      </c>
      <c r="G91" s="105">
        <v>36.6</v>
      </c>
      <c r="H91" s="105">
        <v>6</v>
      </c>
      <c r="I91" s="105">
        <v>60</v>
      </c>
      <c r="J91" s="105">
        <v>3.27</v>
      </c>
      <c r="K91" s="106">
        <v>45264</v>
      </c>
      <c r="L91" s="105">
        <v>7.9787999999999997</v>
      </c>
      <c r="M91" s="105">
        <v>4.7088000000000001</v>
      </c>
      <c r="N91" s="105">
        <v>6.7035</v>
      </c>
      <c r="O91" s="105">
        <v>3.4335</v>
      </c>
      <c r="P91" s="35" t="s">
        <v>1618</v>
      </c>
      <c r="Q91" s="35" t="s">
        <v>1581</v>
      </c>
      <c r="R91" s="35" t="s">
        <v>1675</v>
      </c>
      <c r="S91" s="105">
        <v>5.3784000000000001</v>
      </c>
      <c r="T91" s="105">
        <v>2.1084000000000001</v>
      </c>
      <c r="U91" s="35" t="s">
        <v>1571</v>
      </c>
      <c r="V91" s="35" t="s">
        <v>1575</v>
      </c>
      <c r="W91" s="105">
        <v>7.5</v>
      </c>
      <c r="X91" s="105">
        <v>4.2300000000000004</v>
      </c>
      <c r="Y91" s="105">
        <v>11</v>
      </c>
      <c r="Z91" s="35" t="s">
        <v>1576</v>
      </c>
      <c r="AA91">
        <f>VLOOKUP(A91,Cover!A:R,18,0)</f>
        <v>0</v>
      </c>
      <c r="AB91" s="77">
        <f t="shared" si="65"/>
        <v>4.7088000000000001</v>
      </c>
      <c r="AC91" s="77">
        <f t="shared" si="66"/>
        <v>3.4335</v>
      </c>
      <c r="AD91" s="77">
        <f t="shared" si="67"/>
        <v>59.016393442622956</v>
      </c>
      <c r="AE91" s="77">
        <f t="shared" si="68"/>
        <v>51.219512195121951</v>
      </c>
      <c r="AF91" s="77">
        <f t="shared" si="69"/>
        <v>2.1084000000000001</v>
      </c>
      <c r="AG91" s="77">
        <f t="shared" si="70"/>
        <v>39.201249442213303</v>
      </c>
      <c r="AH91" s="77">
        <f t="shared" si="71"/>
        <v>7.5</v>
      </c>
      <c r="AI91" s="77">
        <f t="shared" si="72"/>
        <v>3.27</v>
      </c>
      <c r="AJ91" s="77">
        <f t="shared" si="73"/>
        <v>4.2300000000000004</v>
      </c>
      <c r="AK91" s="77">
        <f t="shared" si="74"/>
        <v>0</v>
      </c>
      <c r="AL91" s="77">
        <f t="shared" si="75"/>
        <v>4.2300000000000004</v>
      </c>
      <c r="AM91" s="77">
        <f t="shared" si="76"/>
        <v>56.400000000000006</v>
      </c>
      <c r="AO91" t="s">
        <v>1577</v>
      </c>
      <c r="AP91" t="str">
        <f t="shared" si="56"/>
        <v>12V101F</v>
      </c>
      <c r="AQ91">
        <f>_xlfn.XLOOKUP(A91,'SYS Allocations'!A:A,'SYS Allocations'!B:B)</f>
        <v>0</v>
      </c>
      <c r="AR91">
        <f>_xlfn.XLOOKUP(A91,'SYS Allocations'!A:A,'SYS Allocations'!C:C)</f>
        <v>0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57"/>
        <v xml:space="preserve">12V101F </v>
      </c>
    </row>
    <row r="92" spans="1:53">
      <c r="A92" s="35" t="s">
        <v>108</v>
      </c>
      <c r="B92" s="35" t="s">
        <v>1636</v>
      </c>
      <c r="C92" s="35" t="s">
        <v>1746</v>
      </c>
      <c r="D92" s="35" t="s">
        <v>1568</v>
      </c>
      <c r="E92" s="35" t="s">
        <v>1747</v>
      </c>
      <c r="F92" s="35" t="s">
        <v>1639</v>
      </c>
      <c r="G92" s="105">
        <v>50</v>
      </c>
      <c r="H92" s="105">
        <v>6</v>
      </c>
      <c r="I92" s="105">
        <v>54.76</v>
      </c>
      <c r="J92" s="105">
        <v>2.9844200000000001</v>
      </c>
      <c r="K92" s="106">
        <v>44615.489583333299</v>
      </c>
      <c r="L92" s="105">
        <v>10.9</v>
      </c>
      <c r="M92" s="105">
        <v>7.9155800000000003</v>
      </c>
      <c r="N92" s="105">
        <v>10.355</v>
      </c>
      <c r="O92" s="105">
        <v>7.3705800000000004</v>
      </c>
      <c r="P92" s="35" t="s">
        <v>1574</v>
      </c>
      <c r="Q92" s="35" t="s">
        <v>1581</v>
      </c>
      <c r="R92" s="35" t="s">
        <v>1640</v>
      </c>
      <c r="S92" s="105">
        <v>5.2271999999999998</v>
      </c>
      <c r="T92" s="105">
        <v>2.2427800000000002</v>
      </c>
      <c r="U92" s="35" t="s">
        <v>1574</v>
      </c>
      <c r="V92" s="35" t="s">
        <v>1724</v>
      </c>
      <c r="W92" s="105">
        <v>30</v>
      </c>
      <c r="X92" s="105">
        <v>27.01558</v>
      </c>
      <c r="Y92" s="105">
        <v>67</v>
      </c>
      <c r="Z92" s="35" t="s">
        <v>1576</v>
      </c>
      <c r="AA92">
        <f>VLOOKUP(A92,Cover!A:R,18,0)</f>
        <v>1</v>
      </c>
      <c r="AB92" s="77">
        <f t="shared" si="65"/>
        <v>6.9155800000000003</v>
      </c>
      <c r="AC92" s="77">
        <f t="shared" si="66"/>
        <v>6.3705800000000004</v>
      </c>
      <c r="AD92" s="77">
        <f t="shared" si="67"/>
        <v>63.4456880733945</v>
      </c>
      <c r="AE92" s="77">
        <f t="shared" si="68"/>
        <v>61.52177691936263</v>
      </c>
      <c r="AF92" s="77">
        <f t="shared" si="69"/>
        <v>1.2427800000000002</v>
      </c>
      <c r="AG92" s="77">
        <f t="shared" si="70"/>
        <v>23.77525252525253</v>
      </c>
      <c r="AH92" s="77">
        <f t="shared" si="71"/>
        <v>30</v>
      </c>
      <c r="AI92" s="77">
        <f t="shared" si="72"/>
        <v>2.9844200000000001</v>
      </c>
      <c r="AJ92" s="77">
        <f t="shared" si="73"/>
        <v>27.01558</v>
      </c>
      <c r="AK92" s="77">
        <f t="shared" si="74"/>
        <v>1</v>
      </c>
      <c r="AL92" s="77">
        <f t="shared" si="75"/>
        <v>26.01558</v>
      </c>
      <c r="AM92" s="77">
        <f t="shared" si="76"/>
        <v>86.718600000000009</v>
      </c>
      <c r="AO92" t="s">
        <v>1577</v>
      </c>
      <c r="AP92" t="str">
        <f t="shared" si="56"/>
        <v>2DDm50-13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57"/>
        <v>2DDm50-13</v>
      </c>
    </row>
    <row r="93" spans="1:53">
      <c r="A93" s="35" t="s">
        <v>109</v>
      </c>
      <c r="B93" s="35" t="s">
        <v>1578</v>
      </c>
      <c r="C93" s="35" t="s">
        <v>1748</v>
      </c>
      <c r="D93" s="35" t="s">
        <v>1568</v>
      </c>
      <c r="E93" s="35" t="s">
        <v>1222</v>
      </c>
      <c r="F93" s="35" t="s">
        <v>1570</v>
      </c>
      <c r="G93" s="105">
        <v>36.6</v>
      </c>
      <c r="H93" s="105">
        <v>17</v>
      </c>
      <c r="I93" s="105">
        <v>158</v>
      </c>
      <c r="J93" s="105">
        <v>8.6110000000000007</v>
      </c>
      <c r="K93" s="106">
        <v>45264</v>
      </c>
      <c r="L93" s="105">
        <v>25.532160000000001</v>
      </c>
      <c r="M93" s="105">
        <v>16.92116</v>
      </c>
      <c r="N93" s="105">
        <v>18.944199999999999</v>
      </c>
      <c r="O93" s="105">
        <v>10.3332</v>
      </c>
      <c r="P93" s="35" t="s">
        <v>1586</v>
      </c>
      <c r="Q93" s="35" t="s">
        <v>1581</v>
      </c>
      <c r="R93" s="35" t="s">
        <v>1609</v>
      </c>
      <c r="S93" s="105">
        <v>20.217600000000001</v>
      </c>
      <c r="T93" s="105">
        <v>11.6066</v>
      </c>
      <c r="U93" s="35" t="s">
        <v>1571</v>
      </c>
      <c r="V93" s="35" t="s">
        <v>1583</v>
      </c>
      <c r="W93" s="105">
        <v>22.5</v>
      </c>
      <c r="X93" s="105">
        <v>13.888999999999999</v>
      </c>
      <c r="Y93" s="105">
        <v>17</v>
      </c>
      <c r="Z93" s="35" t="s">
        <v>1576</v>
      </c>
      <c r="AA93">
        <f>VLOOKUP(A93,Cover!A:R,18,0)</f>
        <v>4.7</v>
      </c>
      <c r="AB93" s="77">
        <f t="shared" si="65"/>
        <v>12.221160000000001</v>
      </c>
      <c r="AC93" s="77">
        <f t="shared" si="66"/>
        <v>5.6331999999999995</v>
      </c>
      <c r="AD93" s="77">
        <f t="shared" si="67"/>
        <v>47.865750488795307</v>
      </c>
      <c r="AE93" s="77">
        <f t="shared" si="68"/>
        <v>29.735750256015031</v>
      </c>
      <c r="AF93" s="77">
        <f t="shared" si="69"/>
        <v>6.9066000000000001</v>
      </c>
      <c r="AG93" s="77">
        <f t="shared" si="70"/>
        <v>34.161324786324784</v>
      </c>
      <c r="AH93" s="77">
        <f t="shared" si="71"/>
        <v>22.5</v>
      </c>
      <c r="AI93" s="77">
        <f t="shared" si="72"/>
        <v>8.6110000000000007</v>
      </c>
      <c r="AJ93" s="77">
        <f t="shared" si="73"/>
        <v>13.888999999999999</v>
      </c>
      <c r="AK93" s="77">
        <f t="shared" si="74"/>
        <v>4.7</v>
      </c>
      <c r="AL93" s="77">
        <f t="shared" si="75"/>
        <v>9.1890000000000001</v>
      </c>
      <c r="AM93" s="77">
        <f t="shared" si="76"/>
        <v>40.839999999999996</v>
      </c>
      <c r="AO93" t="s">
        <v>1577</v>
      </c>
      <c r="AP93" t="str">
        <f t="shared" si="56"/>
        <v>2DDm85-15</v>
      </c>
      <c r="AQ93">
        <f>_xlfn.XLOOKUP(A93,'SYS Allocations'!A:A,'SYS Allocations'!B:B)</f>
        <v>0</v>
      </c>
      <c r="AR93" t="str">
        <f>_xlfn.XLOOKUP(A93,'SYS Allocations'!A:A,'SYS Allocations'!C:C)</f>
        <v>RA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57"/>
        <v>2DDm85-15</v>
      </c>
    </row>
    <row r="94" spans="1:53">
      <c r="A94" s="35" t="s">
        <v>110</v>
      </c>
      <c r="B94" s="35" t="s">
        <v>1578</v>
      </c>
      <c r="C94" s="35" t="s">
        <v>1748</v>
      </c>
      <c r="D94" s="35" t="s">
        <v>1563</v>
      </c>
      <c r="E94" s="35" t="s">
        <v>1224</v>
      </c>
      <c r="F94" s="35" t="s">
        <v>1570</v>
      </c>
      <c r="G94" s="105">
        <v>36.6</v>
      </c>
      <c r="H94" s="105">
        <v>6</v>
      </c>
      <c r="I94" s="105">
        <v>79</v>
      </c>
      <c r="J94" s="105">
        <v>4.3055000000000003</v>
      </c>
      <c r="K94" s="106">
        <v>45264</v>
      </c>
      <c r="L94" s="105">
        <v>7.9787999999999997</v>
      </c>
      <c r="M94" s="105">
        <v>3.6732999999999998</v>
      </c>
      <c r="N94" s="105">
        <v>5.7551996729999999</v>
      </c>
      <c r="O94" s="105">
        <v>1.449699673</v>
      </c>
      <c r="P94" s="35" t="s">
        <v>1618</v>
      </c>
      <c r="Q94" s="35" t="s">
        <v>1599</v>
      </c>
      <c r="R94" s="35" t="s">
        <v>1605</v>
      </c>
      <c r="S94" s="105">
        <v>8.4240000000000297</v>
      </c>
      <c r="T94" s="105">
        <v>4.1185000000000302</v>
      </c>
      <c r="U94" s="35" t="s">
        <v>1574</v>
      </c>
      <c r="V94" s="35" t="s">
        <v>1575</v>
      </c>
      <c r="W94" s="105">
        <v>7.5</v>
      </c>
      <c r="X94" s="105">
        <v>3.1945000000000001</v>
      </c>
      <c r="Y94" s="105">
        <v>0</v>
      </c>
      <c r="Z94" s="35" t="s">
        <v>8</v>
      </c>
      <c r="AA94">
        <f>VLOOKUP(A94,Cover!A:R,18,0)</f>
        <v>0</v>
      </c>
      <c r="AB94" s="77">
        <f t="shared" si="65"/>
        <v>3.6732999999999998</v>
      </c>
      <c r="AC94" s="77">
        <f t="shared" si="66"/>
        <v>1.449699673</v>
      </c>
      <c r="AD94" s="77">
        <f t="shared" si="67"/>
        <v>46.038251366120214</v>
      </c>
      <c r="AE94" s="77">
        <f t="shared" si="68"/>
        <v>25.189389688791081</v>
      </c>
      <c r="AF94" s="77">
        <f t="shared" si="69"/>
        <v>4.1185000000000302</v>
      </c>
      <c r="AG94" s="77">
        <f t="shared" si="70"/>
        <v>48.890075973409495</v>
      </c>
      <c r="AH94" s="77">
        <f t="shared" si="71"/>
        <v>7.5</v>
      </c>
      <c r="AI94" s="77">
        <f t="shared" si="72"/>
        <v>4.3055000000000003</v>
      </c>
      <c r="AJ94" s="77">
        <f t="shared" si="73"/>
        <v>3.1944999999999997</v>
      </c>
      <c r="AK94" s="77">
        <f t="shared" si="74"/>
        <v>0</v>
      </c>
      <c r="AL94" s="77">
        <f t="shared" si="75"/>
        <v>3.1944999999999997</v>
      </c>
      <c r="AM94" s="77">
        <f t="shared" si="76"/>
        <v>42.593333333333334</v>
      </c>
      <c r="AN94" s="52" t="s">
        <v>1563</v>
      </c>
      <c r="AO94" t="s">
        <v>1577</v>
      </c>
      <c r="AP94" t="str">
        <f t="shared" si="56"/>
        <v>12V155F</v>
      </c>
      <c r="AQ94">
        <f>_xlfn.XLOOKUP(A94,'SYS Allocations'!A:A,'SYS Allocations'!B:B)</f>
        <v>0</v>
      </c>
      <c r="AR94">
        <f>_xlfn.XLOOKUP(A94,'SYS Allocations'!A:A,'SYS Allocations'!C:C)</f>
        <v>0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57"/>
        <v>12V155F</v>
      </c>
    </row>
    <row r="95" spans="1:53">
      <c r="A95" s="35" t="s">
        <v>111</v>
      </c>
      <c r="B95" s="35" t="s">
        <v>1578</v>
      </c>
      <c r="C95" s="35" t="s">
        <v>1749</v>
      </c>
      <c r="D95" s="35" t="s">
        <v>1563</v>
      </c>
      <c r="E95" s="35" t="s">
        <v>1226</v>
      </c>
      <c r="F95" s="35" t="s">
        <v>1570</v>
      </c>
      <c r="G95" s="105">
        <v>36.6</v>
      </c>
      <c r="H95" s="105">
        <v>6</v>
      </c>
      <c r="I95" s="105">
        <v>49</v>
      </c>
      <c r="J95" s="105">
        <v>2.6705000000000001</v>
      </c>
      <c r="K95" s="106">
        <v>45264</v>
      </c>
      <c r="L95" s="105">
        <v>7.9787999999999997</v>
      </c>
      <c r="M95" s="105">
        <v>5.3083</v>
      </c>
      <c r="N95" s="105">
        <v>6.7035</v>
      </c>
      <c r="O95" s="105">
        <v>4.0330000000000004</v>
      </c>
      <c r="P95" s="35" t="s">
        <v>1618</v>
      </c>
      <c r="Q95" s="35" t="s">
        <v>1581</v>
      </c>
      <c r="R95" s="35" t="s">
        <v>1675</v>
      </c>
      <c r="S95" s="105">
        <v>5.3784000000000001</v>
      </c>
      <c r="T95" s="105">
        <v>2.7079</v>
      </c>
      <c r="U95" s="35" t="s">
        <v>1574</v>
      </c>
      <c r="V95" s="35" t="s">
        <v>1601</v>
      </c>
      <c r="W95" s="105">
        <v>5.0250000000000004</v>
      </c>
      <c r="X95" s="105">
        <v>2.3544999999999998</v>
      </c>
      <c r="Y95" s="105">
        <v>2</v>
      </c>
      <c r="Z95" s="35" t="s">
        <v>8</v>
      </c>
      <c r="AA95">
        <f>VLOOKUP(A95,Cover!A:R,18,0)</f>
        <v>0.5</v>
      </c>
      <c r="AB95" s="77">
        <f t="shared" si="65"/>
        <v>4.8083</v>
      </c>
      <c r="AC95" s="77">
        <f t="shared" si="66"/>
        <v>3.5330000000000004</v>
      </c>
      <c r="AD95" s="77">
        <f t="shared" si="67"/>
        <v>60.263448137564545</v>
      </c>
      <c r="AE95" s="77">
        <f t="shared" si="68"/>
        <v>52.703811441784147</v>
      </c>
      <c r="AF95" s="77">
        <f t="shared" si="69"/>
        <v>2.2079</v>
      </c>
      <c r="AG95" s="77">
        <f t="shared" si="70"/>
        <v>41.051242005057269</v>
      </c>
      <c r="AH95" s="77">
        <f t="shared" si="71"/>
        <v>5.0250000000000004</v>
      </c>
      <c r="AI95" s="77">
        <f t="shared" si="72"/>
        <v>2.6705000000000001</v>
      </c>
      <c r="AJ95" s="77">
        <f t="shared" si="73"/>
        <v>2.3545000000000003</v>
      </c>
      <c r="AK95" s="77">
        <f t="shared" si="74"/>
        <v>0.5</v>
      </c>
      <c r="AL95" s="77">
        <f t="shared" si="75"/>
        <v>1.8545000000000003</v>
      </c>
      <c r="AM95" s="77">
        <f t="shared" si="76"/>
        <v>36.905472636815922</v>
      </c>
      <c r="AN95" s="52" t="s">
        <v>1563</v>
      </c>
      <c r="AO95" t="s">
        <v>1577</v>
      </c>
      <c r="AP95" t="str">
        <f t="shared" si="56"/>
        <v>12V101F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57"/>
        <v xml:space="preserve">12V101F </v>
      </c>
    </row>
    <row r="96" spans="1:53">
      <c r="A96" s="35" t="s">
        <v>112</v>
      </c>
      <c r="B96" s="35" t="s">
        <v>1636</v>
      </c>
      <c r="C96" s="35" t="s">
        <v>1750</v>
      </c>
      <c r="D96" s="35" t="s">
        <v>1563</v>
      </c>
      <c r="E96" s="35" t="s">
        <v>1046</v>
      </c>
      <c r="F96" s="35" t="s">
        <v>1580</v>
      </c>
      <c r="G96" s="105">
        <v>75</v>
      </c>
      <c r="H96" s="105">
        <v>7</v>
      </c>
      <c r="I96" s="105">
        <v>180</v>
      </c>
      <c r="J96" s="105">
        <v>9.81</v>
      </c>
      <c r="K96" s="106">
        <v>44602.395833333299</v>
      </c>
      <c r="L96" s="105">
        <v>19.62</v>
      </c>
      <c r="M96" s="105">
        <v>9.81</v>
      </c>
      <c r="N96" s="105">
        <v>11.445</v>
      </c>
      <c r="O96" s="105">
        <v>1.635</v>
      </c>
      <c r="P96" s="35" t="s">
        <v>1574</v>
      </c>
      <c r="Q96" s="35" t="s">
        <v>1581</v>
      </c>
      <c r="R96" s="35" t="s">
        <v>1585</v>
      </c>
      <c r="S96" s="105">
        <v>21.1248</v>
      </c>
      <c r="T96" s="105">
        <v>11.3148</v>
      </c>
      <c r="U96" s="35" t="s">
        <v>1571</v>
      </c>
      <c r="V96" s="35" t="s">
        <v>1751</v>
      </c>
      <c r="W96" s="105">
        <v>19.5</v>
      </c>
      <c r="X96" s="105">
        <v>9.69</v>
      </c>
      <c r="Y96" s="105">
        <v>4</v>
      </c>
      <c r="Z96" s="35" t="s">
        <v>8</v>
      </c>
      <c r="AA96">
        <f>VLOOKUP(A96,Cover!A:R,18,0)</f>
        <v>0</v>
      </c>
      <c r="AB96" s="77">
        <f t="shared" si="65"/>
        <v>9.81</v>
      </c>
      <c r="AC96" s="77">
        <f t="shared" si="66"/>
        <v>1.635</v>
      </c>
      <c r="AD96" s="77">
        <f t="shared" si="67"/>
        <v>50</v>
      </c>
      <c r="AE96" s="77">
        <f t="shared" si="68"/>
        <v>14.285714285714286</v>
      </c>
      <c r="AF96" s="77">
        <f t="shared" si="69"/>
        <v>11.3148</v>
      </c>
      <c r="AG96" s="77">
        <f t="shared" si="70"/>
        <v>53.56169052488071</v>
      </c>
      <c r="AH96" s="77">
        <f t="shared" si="71"/>
        <v>19.5</v>
      </c>
      <c r="AI96" s="77">
        <f t="shared" si="72"/>
        <v>9.81</v>
      </c>
      <c r="AJ96" s="77">
        <f t="shared" si="73"/>
        <v>9.69</v>
      </c>
      <c r="AK96" s="77">
        <f t="shared" si="74"/>
        <v>0</v>
      </c>
      <c r="AL96" s="77">
        <f t="shared" si="75"/>
        <v>9.69</v>
      </c>
      <c r="AM96" s="77">
        <f t="shared" si="76"/>
        <v>49.692307692307686</v>
      </c>
      <c r="AN96" s="52" t="s">
        <v>1563</v>
      </c>
      <c r="AO96" t="s">
        <v>1577</v>
      </c>
      <c r="AP96" t="str">
        <f t="shared" si="56"/>
        <v>DDm100-25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57"/>
        <v>DDm100-25</v>
      </c>
    </row>
    <row r="97" spans="1:53">
      <c r="A97" s="35" t="s">
        <v>113</v>
      </c>
      <c r="B97" s="35" t="s">
        <v>1616</v>
      </c>
      <c r="C97" s="35" t="s">
        <v>1752</v>
      </c>
      <c r="D97" s="35" t="s">
        <v>1568</v>
      </c>
      <c r="E97" s="35" t="s">
        <v>1350</v>
      </c>
      <c r="F97" s="35" t="s">
        <v>1570</v>
      </c>
      <c r="G97" s="105">
        <v>36.6</v>
      </c>
      <c r="H97" s="105">
        <v>6</v>
      </c>
      <c r="I97" s="105">
        <v>10</v>
      </c>
      <c r="J97" s="105">
        <v>0.54500000000000004</v>
      </c>
      <c r="K97" s="106">
        <v>44553.5</v>
      </c>
      <c r="L97" s="105">
        <v>7.9787999999999997</v>
      </c>
      <c r="M97" s="105">
        <v>7.4337999999999997</v>
      </c>
      <c r="N97" s="105">
        <v>3.7605</v>
      </c>
      <c r="O97" s="105">
        <v>3.2155</v>
      </c>
      <c r="P97" s="35" t="s">
        <v>1618</v>
      </c>
      <c r="Q97" s="35" t="s">
        <v>1599</v>
      </c>
      <c r="R97" s="35" t="s">
        <v>1753</v>
      </c>
      <c r="S97" s="105">
        <v>11.184480000000001</v>
      </c>
      <c r="T97" s="105">
        <v>10.639480000000001</v>
      </c>
      <c r="U97" s="35" t="s">
        <v>1574</v>
      </c>
      <c r="V97" s="35" t="s">
        <v>1575</v>
      </c>
      <c r="W97" s="105">
        <v>7.5</v>
      </c>
      <c r="X97" s="105">
        <v>6.9550000000000001</v>
      </c>
      <c r="Y97" s="105">
        <v>14</v>
      </c>
      <c r="Z97" s="35" t="s">
        <v>1576</v>
      </c>
      <c r="AA97">
        <f>VLOOKUP(A97,Cover!A:R,18,0)</f>
        <v>0</v>
      </c>
      <c r="AB97" s="77">
        <f t="shared" si="65"/>
        <v>7.4337999999999997</v>
      </c>
      <c r="AC97" s="77">
        <f t="shared" si="66"/>
        <v>3.2155</v>
      </c>
      <c r="AD97" s="77">
        <f t="shared" si="67"/>
        <v>93.169398907103826</v>
      </c>
      <c r="AE97" s="77">
        <f t="shared" si="68"/>
        <v>85.507246376811594</v>
      </c>
      <c r="AF97" s="77">
        <f t="shared" si="69"/>
        <v>10.639480000000001</v>
      </c>
      <c r="AG97" s="77">
        <f t="shared" si="70"/>
        <v>95.127176229918604</v>
      </c>
      <c r="AH97" s="77">
        <f t="shared" si="71"/>
        <v>7.5</v>
      </c>
      <c r="AI97" s="77">
        <f t="shared" si="72"/>
        <v>0.54500000000000004</v>
      </c>
      <c r="AJ97" s="77">
        <f t="shared" si="73"/>
        <v>6.9550000000000001</v>
      </c>
      <c r="AK97" s="77">
        <f t="shared" si="74"/>
        <v>0</v>
      </c>
      <c r="AL97" s="77">
        <f t="shared" si="75"/>
        <v>6.9550000000000001</v>
      </c>
      <c r="AM97" s="77">
        <f t="shared" si="76"/>
        <v>92.733333333333334</v>
      </c>
      <c r="AO97" t="s">
        <v>1577</v>
      </c>
      <c r="AP97" t="str">
        <f t="shared" si="56"/>
        <v>12V190F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57"/>
        <v>12V190F</v>
      </c>
    </row>
    <row r="98" spans="1:53">
      <c r="A98" s="35" t="s">
        <v>114</v>
      </c>
      <c r="B98" s="35" t="s">
        <v>1595</v>
      </c>
      <c r="C98" s="35" t="s">
        <v>1754</v>
      </c>
      <c r="D98" s="35" t="s">
        <v>1563</v>
      </c>
      <c r="E98" s="35" t="s">
        <v>1755</v>
      </c>
      <c r="F98" s="35" t="s">
        <v>1756</v>
      </c>
      <c r="G98" s="105">
        <v>37.5</v>
      </c>
      <c r="H98" s="105">
        <v>4</v>
      </c>
      <c r="I98" s="105">
        <v>36</v>
      </c>
      <c r="J98" s="105">
        <v>1.962</v>
      </c>
      <c r="K98" s="106">
        <v>44480.504861111098</v>
      </c>
      <c r="L98" s="105">
        <v>4.9050000000000002</v>
      </c>
      <c r="M98" s="105">
        <v>2.9430000000000001</v>
      </c>
      <c r="N98" s="105">
        <v>5.8042499999999997</v>
      </c>
      <c r="O98" s="105">
        <v>3.8422499999999999</v>
      </c>
      <c r="P98" s="35" t="s">
        <v>1618</v>
      </c>
      <c r="Q98" s="35" t="s">
        <v>1599</v>
      </c>
      <c r="R98" s="35" t="s">
        <v>1600</v>
      </c>
      <c r="S98" s="105">
        <v>5.1840000000000002</v>
      </c>
      <c r="T98" s="105">
        <v>3.222</v>
      </c>
      <c r="U98" s="35" t="s">
        <v>1757</v>
      </c>
      <c r="V98" s="35" t="s">
        <v>1757</v>
      </c>
      <c r="W98" s="105">
        <v>0</v>
      </c>
      <c r="X98" s="105">
        <v>-1.962</v>
      </c>
      <c r="Y98" s="105">
        <v>0</v>
      </c>
      <c r="Z98" s="35" t="s">
        <v>1758</v>
      </c>
      <c r="AA98">
        <f>VLOOKUP(A98,Cover!A:R,18,0)</f>
        <v>4</v>
      </c>
      <c r="AB98" s="77">
        <f t="shared" si="65"/>
        <v>-1.0569999999999999</v>
      </c>
      <c r="AC98" s="77">
        <f t="shared" si="66"/>
        <v>-0.15775000000000006</v>
      </c>
      <c r="AD98" s="77">
        <f t="shared" si="67"/>
        <v>-21.549439347604483</v>
      </c>
      <c r="AE98" s="77">
        <f t="shared" si="68"/>
        <v>-2.7178360683981575</v>
      </c>
      <c r="AF98" s="77">
        <f t="shared" si="69"/>
        <v>-0.77800000000000002</v>
      </c>
      <c r="AG98" s="77">
        <f t="shared" si="70"/>
        <v>-15.007716049382715</v>
      </c>
      <c r="AH98" s="77">
        <f t="shared" si="71"/>
        <v>0</v>
      </c>
      <c r="AI98" s="77">
        <f t="shared" si="72"/>
        <v>1.962</v>
      </c>
      <c r="AJ98" s="77">
        <f t="shared" si="73"/>
        <v>-1.962</v>
      </c>
      <c r="AK98" s="77">
        <f t="shared" si="74"/>
        <v>4</v>
      </c>
      <c r="AL98" s="77">
        <f t="shared" si="75"/>
        <v>-5.9619999999999997</v>
      </c>
      <c r="AM98" s="77" t="e">
        <f t="shared" si="76"/>
        <v>#DIV/0!</v>
      </c>
      <c r="AN98" s="52" t="s">
        <v>1563</v>
      </c>
      <c r="AO98" t="s">
        <v>1577</v>
      </c>
      <c r="AP98" t="str">
        <f t="shared" si="56"/>
        <v>SBS C11F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57"/>
        <v>SBS C11F</v>
      </c>
    </row>
    <row r="99" spans="1:53">
      <c r="A99" s="35" t="s">
        <v>115</v>
      </c>
      <c r="B99" s="35" t="s">
        <v>1636</v>
      </c>
      <c r="C99" s="35" t="s">
        <v>1759</v>
      </c>
      <c r="D99" s="35" t="s">
        <v>1568</v>
      </c>
      <c r="E99" s="35" t="s">
        <v>1130</v>
      </c>
      <c r="F99" s="35" t="s">
        <v>1598</v>
      </c>
      <c r="G99" s="105">
        <v>22</v>
      </c>
      <c r="H99" s="105">
        <v>4</v>
      </c>
      <c r="I99" s="105">
        <v>20</v>
      </c>
      <c r="J99" s="105">
        <v>1.0900000000000001</v>
      </c>
      <c r="K99" s="106">
        <v>44879</v>
      </c>
      <c r="L99" s="105">
        <v>2.8776000000000002</v>
      </c>
      <c r="M99" s="105">
        <v>1.7876000000000001</v>
      </c>
      <c r="N99" s="105">
        <v>2.2890000000000001</v>
      </c>
      <c r="O99" s="105">
        <v>1.1990000000000001</v>
      </c>
      <c r="P99" s="35" t="s">
        <v>1571</v>
      </c>
      <c r="Q99" s="35" t="s">
        <v>1599</v>
      </c>
      <c r="R99" s="35" t="s">
        <v>1679</v>
      </c>
      <c r="S99" s="105">
        <v>2.92896</v>
      </c>
      <c r="T99" s="105">
        <v>1.8389599999999999</v>
      </c>
      <c r="U99" s="35" t="s">
        <v>1574</v>
      </c>
      <c r="V99" s="35" t="s">
        <v>1760</v>
      </c>
      <c r="W99" s="105">
        <v>3.375</v>
      </c>
      <c r="X99" s="105">
        <v>2.2850000000000001</v>
      </c>
      <c r="Y99" s="105">
        <v>3</v>
      </c>
      <c r="Z99" s="35" t="s">
        <v>1576</v>
      </c>
      <c r="AA99">
        <f>VLOOKUP(A99,Cover!A:R,18,0)</f>
        <v>1</v>
      </c>
      <c r="AB99" s="77">
        <f t="shared" si="65"/>
        <v>0.78760000000000008</v>
      </c>
      <c r="AC99" s="77">
        <f t="shared" si="66"/>
        <v>0.19900000000000007</v>
      </c>
      <c r="AD99" s="77">
        <f t="shared" si="67"/>
        <v>27.370030581039757</v>
      </c>
      <c r="AE99" s="77">
        <f t="shared" si="68"/>
        <v>8.6937527304499813</v>
      </c>
      <c r="AF99" s="77">
        <f t="shared" si="69"/>
        <v>0.83895999999999993</v>
      </c>
      <c r="AG99" s="77">
        <f t="shared" si="70"/>
        <v>28.643614115590516</v>
      </c>
      <c r="AH99" s="77">
        <f t="shared" si="71"/>
        <v>3.375</v>
      </c>
      <c r="AI99" s="77">
        <f t="shared" si="72"/>
        <v>1.0900000000000001</v>
      </c>
      <c r="AJ99" s="77">
        <f t="shared" si="73"/>
        <v>2.2850000000000001</v>
      </c>
      <c r="AK99" s="77">
        <f t="shared" si="74"/>
        <v>1</v>
      </c>
      <c r="AL99" s="77">
        <f t="shared" si="75"/>
        <v>1.2850000000000001</v>
      </c>
      <c r="AM99" s="77">
        <f t="shared" si="76"/>
        <v>38.074074074074076</v>
      </c>
      <c r="AO99" t="s">
        <v>1577</v>
      </c>
      <c r="AP99" t="str">
        <f t="shared" si="56"/>
        <v>12V100F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57"/>
        <v>12V100F</v>
      </c>
    </row>
    <row r="100" spans="1:53">
      <c r="A100" s="35" t="s">
        <v>116</v>
      </c>
      <c r="B100" s="35" t="s">
        <v>1578</v>
      </c>
      <c r="C100" s="35" t="s">
        <v>1761</v>
      </c>
      <c r="D100" s="35" t="s">
        <v>1568</v>
      </c>
      <c r="E100" s="35" t="s">
        <v>1762</v>
      </c>
      <c r="F100" s="35" t="s">
        <v>1580</v>
      </c>
      <c r="G100" s="105">
        <v>75</v>
      </c>
      <c r="H100" s="105">
        <v>6</v>
      </c>
      <c r="I100" s="105">
        <v>244</v>
      </c>
      <c r="J100" s="105">
        <v>13.298</v>
      </c>
      <c r="K100" s="106">
        <v>44431.5</v>
      </c>
      <c r="L100" s="105">
        <v>16.350000000000001</v>
      </c>
      <c r="M100" s="105">
        <v>3.052</v>
      </c>
      <c r="N100" s="105">
        <v>11.172499999999999</v>
      </c>
      <c r="O100" s="107">
        <v>-2.1255000000000002</v>
      </c>
      <c r="P100" s="35" t="s">
        <v>1574</v>
      </c>
      <c r="Q100" s="35" t="s">
        <v>1581</v>
      </c>
      <c r="R100" s="35" t="s">
        <v>1763</v>
      </c>
      <c r="S100" s="105">
        <v>14.428800000000001</v>
      </c>
      <c r="T100" s="105">
        <v>1.1308</v>
      </c>
      <c r="U100" s="35" t="s">
        <v>1574</v>
      </c>
      <c r="V100" s="35" t="s">
        <v>1575</v>
      </c>
      <c r="W100" s="105">
        <v>7.5</v>
      </c>
      <c r="X100" s="105">
        <v>-5.798</v>
      </c>
      <c r="Y100" s="105">
        <v>0</v>
      </c>
      <c r="Z100" s="35" t="s">
        <v>1576</v>
      </c>
      <c r="AA100">
        <f>VLOOKUP(A100,Cover!A:R,18,0)</f>
        <v>0</v>
      </c>
      <c r="AB100" s="77">
        <f t="shared" si="65"/>
        <v>3.052</v>
      </c>
      <c r="AC100" s="77">
        <f t="shared" si="66"/>
        <v>-2.1255000000000002</v>
      </c>
      <c r="AD100" s="77">
        <f t="shared" si="67"/>
        <v>18.666666666666668</v>
      </c>
      <c r="AE100" s="77">
        <f t="shared" si="68"/>
        <v>-19.024390243902442</v>
      </c>
      <c r="AF100" s="77">
        <f t="shared" si="69"/>
        <v>1.1308</v>
      </c>
      <c r="AG100" s="77">
        <f t="shared" si="70"/>
        <v>7.8371035706365051</v>
      </c>
      <c r="AH100" s="77">
        <f t="shared" si="71"/>
        <v>7.5</v>
      </c>
      <c r="AI100" s="77">
        <f t="shared" si="72"/>
        <v>13.298</v>
      </c>
      <c r="AJ100" s="77">
        <f t="shared" si="73"/>
        <v>-5.798</v>
      </c>
      <c r="AK100" s="77">
        <f t="shared" si="74"/>
        <v>0</v>
      </c>
      <c r="AL100" s="77">
        <f t="shared" si="75"/>
        <v>-5.798</v>
      </c>
      <c r="AM100" s="77">
        <f t="shared" si="76"/>
        <v>-77.306666666666672</v>
      </c>
      <c r="AO100" t="s">
        <v>1577</v>
      </c>
      <c r="AP100" t="str">
        <f t="shared" si="56"/>
        <v>DDm85-21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57"/>
        <v>DDm85-21</v>
      </c>
    </row>
    <row r="101" spans="1:53">
      <c r="A101" s="35" t="s">
        <v>117</v>
      </c>
      <c r="B101" s="35" t="s">
        <v>1578</v>
      </c>
      <c r="C101" s="35" t="s">
        <v>1761</v>
      </c>
      <c r="D101" s="35" t="s">
        <v>1568</v>
      </c>
      <c r="E101" s="35" t="s">
        <v>1228</v>
      </c>
      <c r="F101" s="35" t="s">
        <v>1570</v>
      </c>
      <c r="G101" s="105">
        <v>36.6</v>
      </c>
      <c r="H101" s="105">
        <v>50</v>
      </c>
      <c r="I101" s="105">
        <v>416</v>
      </c>
      <c r="J101" s="105">
        <v>22.672000000000001</v>
      </c>
      <c r="K101" s="106">
        <v>45264</v>
      </c>
      <c r="L101" s="105">
        <v>78.192239999999998</v>
      </c>
      <c r="M101" s="105">
        <v>55.520240000000001</v>
      </c>
      <c r="N101" s="105">
        <v>54.140300000000003</v>
      </c>
      <c r="O101" s="105">
        <v>31.468299999999999</v>
      </c>
      <c r="P101" s="35" t="s">
        <v>1586</v>
      </c>
      <c r="Q101" s="35" t="s">
        <v>1581</v>
      </c>
      <c r="R101" s="35" t="s">
        <v>1592</v>
      </c>
      <c r="S101" s="105">
        <v>71.107200000000205</v>
      </c>
      <c r="T101" s="105">
        <v>48.435200000000201</v>
      </c>
      <c r="U101" s="35" t="s">
        <v>1591</v>
      </c>
      <c r="V101" s="35" t="s">
        <v>1653</v>
      </c>
      <c r="W101" s="105">
        <v>90</v>
      </c>
      <c r="X101" s="105">
        <v>67.328000000000003</v>
      </c>
      <c r="Y101" s="105">
        <v>4</v>
      </c>
      <c r="Z101" s="35" t="s">
        <v>1576</v>
      </c>
      <c r="AA101">
        <f>VLOOKUP(A101,Cover!A:R,18,0)</f>
        <v>22.55</v>
      </c>
      <c r="AB101" s="77">
        <f t="shared" si="65"/>
        <v>32.970240000000004</v>
      </c>
      <c r="AC101" s="77">
        <f t="shared" si="66"/>
        <v>8.9182999999999986</v>
      </c>
      <c r="AD101" s="77">
        <f t="shared" si="67"/>
        <v>42.16561643457203</v>
      </c>
      <c r="AE101" s="77">
        <f t="shared" si="68"/>
        <v>16.472572187446314</v>
      </c>
      <c r="AF101" s="77">
        <f t="shared" si="69"/>
        <v>25.8852000000002</v>
      </c>
      <c r="AG101" s="77">
        <f t="shared" si="70"/>
        <v>36.403064668556951</v>
      </c>
      <c r="AH101" s="77">
        <f t="shared" si="71"/>
        <v>90</v>
      </c>
      <c r="AI101" s="77">
        <f t="shared" si="72"/>
        <v>22.672000000000001</v>
      </c>
      <c r="AJ101" s="77">
        <f t="shared" si="73"/>
        <v>67.328000000000003</v>
      </c>
      <c r="AK101" s="77">
        <f t="shared" si="74"/>
        <v>22.55</v>
      </c>
      <c r="AL101" s="77">
        <f t="shared" si="75"/>
        <v>44.778000000000006</v>
      </c>
      <c r="AM101" s="77">
        <f t="shared" si="76"/>
        <v>49.753333333333337</v>
      </c>
      <c r="AN101" t="s">
        <v>1563</v>
      </c>
      <c r="AO101" t="s">
        <v>1634</v>
      </c>
      <c r="AP101" t="str">
        <f t="shared" si="56"/>
        <v>DDm125-33</v>
      </c>
      <c r="AQ101">
        <f>_xlfn.XLOOKUP(A101,'SYS Allocations'!A:A,'SYS Allocations'!B:B)</f>
        <v>0</v>
      </c>
      <c r="AR101" t="str">
        <f>_xlfn.XLOOKUP(A101,'SYS Allocations'!A:A,'SYS Allocations'!C:C)</f>
        <v>RA</v>
      </c>
      <c r="AS101" t="str">
        <f>_xlfn.XLOOKUP(A101,'SYS Allocations'!A:A,'SYS Allocations'!D:D)</f>
        <v>PX</v>
      </c>
      <c r="AT101">
        <f>_xlfn.XLOOKUP(A101,'SYS Allocations'!A:A,'SYS Allocations'!E:E)</f>
        <v>0</v>
      </c>
      <c r="AU101" t="str">
        <f>_xlfn.XLOOKUP(A101,'SYS Allocations'!A:A,'SYS Allocations'!F:F)</f>
        <v>OPEX</v>
      </c>
      <c r="BA101" t="str">
        <f t="shared" si="57"/>
        <v>DDm125-33</v>
      </c>
    </row>
    <row r="102" spans="1:53">
      <c r="A102" s="35" t="s">
        <v>118</v>
      </c>
      <c r="B102" s="35" t="s">
        <v>1578</v>
      </c>
      <c r="C102" s="35" t="s">
        <v>1761</v>
      </c>
      <c r="D102" s="35" t="s">
        <v>1568</v>
      </c>
      <c r="E102" s="35" t="s">
        <v>1228</v>
      </c>
      <c r="F102" s="35" t="s">
        <v>1570</v>
      </c>
      <c r="G102" s="105">
        <v>36.6</v>
      </c>
      <c r="H102" s="105">
        <v>50</v>
      </c>
      <c r="I102" s="105">
        <v>514</v>
      </c>
      <c r="J102" s="105">
        <v>28.013000000000002</v>
      </c>
      <c r="K102" s="106">
        <v>45264</v>
      </c>
      <c r="L102" s="105">
        <v>78.192239999999998</v>
      </c>
      <c r="M102" s="105">
        <v>50.17924</v>
      </c>
      <c r="N102" s="105">
        <v>54.140300000000003</v>
      </c>
      <c r="O102" s="105">
        <v>26.127300000000002</v>
      </c>
      <c r="P102" s="35" t="s">
        <v>1586</v>
      </c>
      <c r="Q102" s="35" t="s">
        <v>1581</v>
      </c>
      <c r="R102" s="35" t="s">
        <v>1592</v>
      </c>
      <c r="S102" s="105">
        <v>71.107200000000205</v>
      </c>
      <c r="T102" s="105">
        <v>43.0942000000002</v>
      </c>
      <c r="U102" s="35" t="s">
        <v>1591</v>
      </c>
      <c r="V102" s="35" t="s">
        <v>1653</v>
      </c>
      <c r="W102" s="105">
        <v>90</v>
      </c>
      <c r="X102" s="105">
        <v>61.987000000000002</v>
      </c>
      <c r="Y102" s="105">
        <v>4</v>
      </c>
      <c r="Z102" s="35" t="s">
        <v>1576</v>
      </c>
      <c r="AA102">
        <f>VLOOKUP(A102,Cover!A:R,18,0)</f>
        <v>22.05</v>
      </c>
      <c r="AB102" s="77">
        <f t="shared" si="65"/>
        <v>28.129239999999999</v>
      </c>
      <c r="AC102" s="77">
        <f t="shared" si="66"/>
        <v>4.077300000000001</v>
      </c>
      <c r="AD102" s="77">
        <f t="shared" si="67"/>
        <v>35.974464985272192</v>
      </c>
      <c r="AE102" s="77">
        <f t="shared" si="68"/>
        <v>7.5309889306117634</v>
      </c>
      <c r="AF102" s="77">
        <f t="shared" si="69"/>
        <v>21.044200000000199</v>
      </c>
      <c r="AG102" s="77">
        <f t="shared" si="70"/>
        <v>29.595033976868923</v>
      </c>
      <c r="AH102" s="77">
        <f t="shared" si="71"/>
        <v>90</v>
      </c>
      <c r="AI102" s="77">
        <f t="shared" si="72"/>
        <v>28.013000000000002</v>
      </c>
      <c r="AJ102" s="77">
        <f t="shared" si="73"/>
        <v>61.986999999999995</v>
      </c>
      <c r="AK102" s="77">
        <f t="shared" si="74"/>
        <v>22.05</v>
      </c>
      <c r="AL102" s="77">
        <f t="shared" si="75"/>
        <v>39.936999999999998</v>
      </c>
      <c r="AM102" s="77">
        <f t="shared" si="76"/>
        <v>44.374444444444443</v>
      </c>
      <c r="AN102" t="s">
        <v>1563</v>
      </c>
      <c r="AO102" t="s">
        <v>1634</v>
      </c>
      <c r="AP102" t="str">
        <f t="shared" si="56"/>
        <v>DDm125-33</v>
      </c>
      <c r="AQ102">
        <f>_xlfn.XLOOKUP(A102,'SYS Allocations'!A:A,'SYS Allocations'!B:B)</f>
        <v>0</v>
      </c>
      <c r="AR102">
        <f>_xlfn.XLOOKUP(A102,'SYS Allocations'!A:A,'SYS Allocations'!C:C)</f>
        <v>0</v>
      </c>
      <c r="AS102">
        <f>_xlfn.XLOOKUP(A102,'SYS Allocations'!A:A,'SYS Allocations'!D:D)</f>
        <v>0</v>
      </c>
      <c r="AT102">
        <f>_xlfn.XLOOKUP(A102,'SYS Allocations'!A:A,'SYS Allocations'!E:E)</f>
        <v>0</v>
      </c>
      <c r="AU102">
        <f>_xlfn.XLOOKUP(A102,'SYS Allocations'!A:A,'SYS Allocations'!F:F)</f>
        <v>0</v>
      </c>
      <c r="BA102" t="str">
        <f t="shared" si="57"/>
        <v>DDm125-33</v>
      </c>
    </row>
    <row r="103" spans="1:53">
      <c r="A103" s="35" t="s">
        <v>119</v>
      </c>
      <c r="B103" s="35" t="s">
        <v>1578</v>
      </c>
      <c r="C103" s="35" t="s">
        <v>1761</v>
      </c>
      <c r="D103" s="35" t="s">
        <v>1563</v>
      </c>
      <c r="E103" s="35" t="s">
        <v>1234</v>
      </c>
      <c r="F103" s="35" t="s">
        <v>1570</v>
      </c>
      <c r="G103" s="105">
        <v>36.6</v>
      </c>
      <c r="H103" s="105">
        <v>42</v>
      </c>
      <c r="I103" s="105">
        <v>538</v>
      </c>
      <c r="J103" s="105">
        <v>29.321000000000002</v>
      </c>
      <c r="K103" s="106">
        <v>45264</v>
      </c>
      <c r="L103" s="105">
        <v>65.426159999999996</v>
      </c>
      <c r="M103" s="105">
        <v>36.105159999999998</v>
      </c>
      <c r="N103" s="105">
        <v>55.213949999999997</v>
      </c>
      <c r="O103" s="105">
        <v>25.892949999999999</v>
      </c>
      <c r="P103" s="35" t="s">
        <v>1571</v>
      </c>
      <c r="Q103" s="35" t="s">
        <v>1581</v>
      </c>
      <c r="R103" s="35" t="s">
        <v>1764</v>
      </c>
      <c r="S103" s="105">
        <v>43.2864</v>
      </c>
      <c r="T103" s="105">
        <v>13.965400000000001</v>
      </c>
      <c r="U103" s="35" t="s">
        <v>1586</v>
      </c>
      <c r="V103" s="35" t="s">
        <v>1652</v>
      </c>
      <c r="W103" s="105">
        <v>67.5</v>
      </c>
      <c r="X103" s="105">
        <v>38.179000000000002</v>
      </c>
      <c r="Y103" s="105">
        <v>31</v>
      </c>
      <c r="Z103" s="35" t="s">
        <v>1525</v>
      </c>
      <c r="AA103">
        <f>VLOOKUP(A103,Cover!A:R,18,0)</f>
        <v>8.7515000000000001</v>
      </c>
      <c r="AB103" s="77">
        <f t="shared" si="65"/>
        <v>27.353659999999998</v>
      </c>
      <c r="AC103" s="77">
        <f t="shared" si="66"/>
        <v>17.141449999999999</v>
      </c>
      <c r="AD103" s="77">
        <f t="shared" si="67"/>
        <v>41.808444817791532</v>
      </c>
      <c r="AE103" s="77">
        <f t="shared" si="68"/>
        <v>31.045505710060588</v>
      </c>
      <c r="AF103" s="77">
        <f t="shared" si="69"/>
        <v>5.2139000000000006</v>
      </c>
      <c r="AG103" s="77">
        <f t="shared" si="70"/>
        <v>12.045122717527908</v>
      </c>
      <c r="AH103" s="346">
        <f>AVERAGE(W103:W104)</f>
        <v>67.5</v>
      </c>
      <c r="AI103" s="346">
        <f>SUM(J103:J104)</f>
        <v>62.838499999999996</v>
      </c>
      <c r="AJ103" s="346">
        <f t="shared" si="73"/>
        <v>4.6615000000000038</v>
      </c>
      <c r="AK103" s="346">
        <f>SUM(AA103:AA104)</f>
        <v>15.503</v>
      </c>
      <c r="AL103" s="346">
        <f t="shared" si="75"/>
        <v>-10.841499999999996</v>
      </c>
      <c r="AM103" s="345">
        <f t="shared" si="76"/>
        <v>-16.061481481481476</v>
      </c>
      <c r="AN103" t="s">
        <v>1563</v>
      </c>
      <c r="AO103" t="s">
        <v>1634</v>
      </c>
      <c r="AP103" t="str">
        <f t="shared" si="56"/>
        <v>DDm125-27</v>
      </c>
      <c r="AQ103" t="str">
        <f>_xlfn.XLOOKUP(A103,'SYS Allocations'!A:A,'SYS Allocations'!B:B)</f>
        <v>P-Core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57"/>
        <v>DDm125-27</v>
      </c>
    </row>
    <row r="104" spans="1:53">
      <c r="A104" s="35" t="s">
        <v>120</v>
      </c>
      <c r="B104" s="35" t="s">
        <v>1578</v>
      </c>
      <c r="C104" s="35" t="s">
        <v>1761</v>
      </c>
      <c r="D104" s="35" t="s">
        <v>1563</v>
      </c>
      <c r="E104" s="35" t="s">
        <v>1234</v>
      </c>
      <c r="F104" s="35" t="s">
        <v>1570</v>
      </c>
      <c r="G104" s="105">
        <v>36.6</v>
      </c>
      <c r="H104" s="105">
        <v>42</v>
      </c>
      <c r="I104" s="105">
        <v>615</v>
      </c>
      <c r="J104" s="105">
        <v>33.517499999999998</v>
      </c>
      <c r="K104" s="106">
        <v>45264</v>
      </c>
      <c r="L104" s="105">
        <v>65.426159999999996</v>
      </c>
      <c r="M104" s="105">
        <v>31.908660000000001</v>
      </c>
      <c r="N104" s="105">
        <v>55.213949999999997</v>
      </c>
      <c r="O104" s="105">
        <v>21.696449999999999</v>
      </c>
      <c r="P104" s="35" t="s">
        <v>1571</v>
      </c>
      <c r="Q104" s="35" t="s">
        <v>1581</v>
      </c>
      <c r="R104" s="35" t="s">
        <v>1764</v>
      </c>
      <c r="S104" s="105">
        <v>43.2864</v>
      </c>
      <c r="T104" s="105">
        <v>9.7689000000000004</v>
      </c>
      <c r="U104" s="35" t="s">
        <v>1586</v>
      </c>
      <c r="V104" s="35" t="s">
        <v>1652</v>
      </c>
      <c r="W104" s="105">
        <v>67.5</v>
      </c>
      <c r="X104" s="105">
        <v>33.982500000000002</v>
      </c>
      <c r="Y104" s="105">
        <v>31</v>
      </c>
      <c r="Z104" s="35" t="s">
        <v>1525</v>
      </c>
      <c r="AA104">
        <f>VLOOKUP(A104,Cover!A:R,18,0)</f>
        <v>6.7515000000000001</v>
      </c>
      <c r="AB104" s="77">
        <f t="shared" si="65"/>
        <v>25.157160000000001</v>
      </c>
      <c r="AC104" s="77">
        <f t="shared" si="66"/>
        <v>14.944949999999999</v>
      </c>
      <c r="AD104" s="77">
        <f t="shared" si="67"/>
        <v>38.451225014581325</v>
      </c>
      <c r="AE104" s="77">
        <f t="shared" si="68"/>
        <v>27.06734439394392</v>
      </c>
      <c r="AF104" s="77">
        <f t="shared" si="69"/>
        <v>3.0174000000000003</v>
      </c>
      <c r="AG104" s="77">
        <f t="shared" si="70"/>
        <v>6.9707806609004219</v>
      </c>
      <c r="AH104" s="346"/>
      <c r="AI104" s="346"/>
      <c r="AJ104" s="346"/>
      <c r="AK104" s="346"/>
      <c r="AL104" s="346"/>
      <c r="AM104" s="345"/>
      <c r="AN104" t="s">
        <v>1563</v>
      </c>
      <c r="AO104" t="s">
        <v>1634</v>
      </c>
      <c r="AP104" t="str">
        <f t="shared" si="56"/>
        <v>DDm125-27</v>
      </c>
      <c r="AQ104">
        <f>_xlfn.XLOOKUP(A104,'SYS Allocations'!A:A,'SYS Allocations'!B:B)</f>
        <v>0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57"/>
        <v>DDm125-27</v>
      </c>
    </row>
    <row r="105" spans="1:53">
      <c r="A105" s="35" t="s">
        <v>121</v>
      </c>
      <c r="B105" s="35" t="s">
        <v>1578</v>
      </c>
      <c r="C105" s="35" t="s">
        <v>1765</v>
      </c>
      <c r="D105" s="35" t="s">
        <v>1568</v>
      </c>
      <c r="E105" s="35" t="s">
        <v>1766</v>
      </c>
      <c r="F105" s="35" t="s">
        <v>1756</v>
      </c>
      <c r="G105" s="105">
        <v>37.5</v>
      </c>
      <c r="H105" s="105">
        <v>4</v>
      </c>
      <c r="I105" s="105">
        <v>48</v>
      </c>
      <c r="J105" s="105">
        <v>2.6160000000000001</v>
      </c>
      <c r="K105" s="106">
        <v>44564.340277777803</v>
      </c>
      <c r="L105" s="105">
        <v>4.9050000000000002</v>
      </c>
      <c r="M105" s="105">
        <v>2.2890000000000001</v>
      </c>
      <c r="N105" s="105">
        <v>5.8042499999999997</v>
      </c>
      <c r="O105" s="105">
        <v>3.18825</v>
      </c>
      <c r="P105" s="35" t="s">
        <v>1618</v>
      </c>
      <c r="Q105" s="35" t="s">
        <v>1599</v>
      </c>
      <c r="R105" s="35" t="s">
        <v>1600</v>
      </c>
      <c r="S105" s="105">
        <v>5.1840000000000002</v>
      </c>
      <c r="T105" s="105">
        <v>2.5680000000000001</v>
      </c>
      <c r="U105" s="35" t="s">
        <v>1574</v>
      </c>
      <c r="V105" s="35" t="s">
        <v>1601</v>
      </c>
      <c r="W105" s="105">
        <v>5.0250000000000004</v>
      </c>
      <c r="X105" s="105">
        <v>2.4089999999999998</v>
      </c>
      <c r="Y105" s="105">
        <v>3</v>
      </c>
      <c r="Z105" s="35" t="s">
        <v>1576</v>
      </c>
      <c r="AA105">
        <f>VLOOKUP(A105,Cover!A:R,18,0)</f>
        <v>1</v>
      </c>
      <c r="AB105" s="77">
        <f t="shared" si="65"/>
        <v>1.2890000000000001</v>
      </c>
      <c r="AC105" s="77">
        <f t="shared" si="66"/>
        <v>2.18825</v>
      </c>
      <c r="AD105" s="77">
        <f t="shared" si="67"/>
        <v>26.279306829765545</v>
      </c>
      <c r="AE105" s="77">
        <f t="shared" si="68"/>
        <v>37.700822673041309</v>
      </c>
      <c r="AF105" s="77">
        <f t="shared" si="69"/>
        <v>1.5680000000000001</v>
      </c>
      <c r="AG105" s="77">
        <f t="shared" si="70"/>
        <v>30.246913580246911</v>
      </c>
      <c r="AH105" s="77">
        <f t="shared" si="71"/>
        <v>5.0250000000000004</v>
      </c>
      <c r="AI105" s="77">
        <f t="shared" si="72"/>
        <v>2.6160000000000001</v>
      </c>
      <c r="AJ105" s="77">
        <f t="shared" si="73"/>
        <v>2.4090000000000003</v>
      </c>
      <c r="AK105" s="77">
        <f t="shared" si="74"/>
        <v>1</v>
      </c>
      <c r="AL105" s="77">
        <f t="shared" si="75"/>
        <v>1.4090000000000003</v>
      </c>
      <c r="AM105" s="77">
        <f t="shared" si="76"/>
        <v>28.03980099502488</v>
      </c>
      <c r="AO105" t="s">
        <v>1577</v>
      </c>
      <c r="AP105" t="str">
        <f t="shared" si="56"/>
        <v>SBS C11F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57"/>
        <v>SBS C11F</v>
      </c>
    </row>
    <row r="106" spans="1:53">
      <c r="A106" s="35" t="s">
        <v>122</v>
      </c>
      <c r="B106" s="35" t="s">
        <v>1620</v>
      </c>
      <c r="C106" s="35" t="s">
        <v>1767</v>
      </c>
      <c r="D106" s="35" t="s">
        <v>1568</v>
      </c>
      <c r="E106" s="35" t="s">
        <v>991</v>
      </c>
      <c r="F106" s="35" t="s">
        <v>1570</v>
      </c>
      <c r="G106" s="105">
        <v>36.6</v>
      </c>
      <c r="H106" s="105">
        <v>9</v>
      </c>
      <c r="I106" s="105">
        <v>47</v>
      </c>
      <c r="J106" s="105">
        <v>2.5615000000000001</v>
      </c>
      <c r="K106" s="106">
        <v>45264</v>
      </c>
      <c r="L106" s="105">
        <v>12.766080000000001</v>
      </c>
      <c r="M106" s="105">
        <v>10.20458</v>
      </c>
      <c r="N106" s="105">
        <v>9.4720999999999993</v>
      </c>
      <c r="O106" s="105">
        <v>6.9105999999999996</v>
      </c>
      <c r="P106" s="35" t="s">
        <v>1574</v>
      </c>
      <c r="Q106" s="35" t="s">
        <v>1581</v>
      </c>
      <c r="R106" s="35" t="s">
        <v>1609</v>
      </c>
      <c r="S106" s="105">
        <v>10.1088</v>
      </c>
      <c r="T106" s="105">
        <v>7.5472999999999804</v>
      </c>
      <c r="U106" s="35" t="s">
        <v>1574</v>
      </c>
      <c r="V106" s="35" t="s">
        <v>1673</v>
      </c>
      <c r="W106" s="105">
        <v>11.25</v>
      </c>
      <c r="X106" s="105">
        <v>8.6884999999999994</v>
      </c>
      <c r="Y106" s="105">
        <v>19</v>
      </c>
      <c r="Z106" s="35" t="s">
        <v>1576</v>
      </c>
      <c r="AA106">
        <f>VLOOKUP(A106,Cover!A:R,18,0)</f>
        <v>1</v>
      </c>
      <c r="AB106" s="77">
        <f t="shared" si="65"/>
        <v>9.20458</v>
      </c>
      <c r="AC106" s="77">
        <f t="shared" si="66"/>
        <v>5.9105999999999996</v>
      </c>
      <c r="AD106" s="77">
        <f t="shared" si="67"/>
        <v>72.10185115556223</v>
      </c>
      <c r="AE106" s="77">
        <f t="shared" si="68"/>
        <v>62.400101350281346</v>
      </c>
      <c r="AF106" s="77">
        <f t="shared" si="69"/>
        <v>6.5472999999999804</v>
      </c>
      <c r="AG106" s="77">
        <f t="shared" si="70"/>
        <v>64.768320671098252</v>
      </c>
      <c r="AH106" s="77">
        <f t="shared" si="71"/>
        <v>11.25</v>
      </c>
      <c r="AI106" s="77">
        <f t="shared" si="72"/>
        <v>2.5615000000000001</v>
      </c>
      <c r="AJ106" s="77">
        <f t="shared" si="73"/>
        <v>8.6884999999999994</v>
      </c>
      <c r="AK106" s="77">
        <f t="shared" si="74"/>
        <v>1</v>
      </c>
      <c r="AL106" s="77">
        <f t="shared" si="75"/>
        <v>7.6884999999999994</v>
      </c>
      <c r="AM106" s="77">
        <f t="shared" si="76"/>
        <v>68.342222222222219</v>
      </c>
      <c r="AO106" t="s">
        <v>1577</v>
      </c>
      <c r="AP106" t="str">
        <f t="shared" si="56"/>
        <v>2DDm85-15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57"/>
        <v>2DDm85-15</v>
      </c>
    </row>
    <row r="107" spans="1:53">
      <c r="A107" s="35" t="s">
        <v>123</v>
      </c>
      <c r="B107" s="35" t="s">
        <v>1616</v>
      </c>
      <c r="C107" s="35" t="s">
        <v>1768</v>
      </c>
      <c r="D107" s="35" t="s">
        <v>1568</v>
      </c>
      <c r="E107" s="35" t="s">
        <v>1352</v>
      </c>
      <c r="F107" s="35" t="s">
        <v>1570</v>
      </c>
      <c r="G107" s="105">
        <v>36.6</v>
      </c>
      <c r="H107" s="105">
        <v>18</v>
      </c>
      <c r="I107" s="105">
        <v>200</v>
      </c>
      <c r="J107" s="105">
        <v>10.9</v>
      </c>
      <c r="K107" s="106">
        <v>44419.5</v>
      </c>
      <c r="L107" s="105">
        <v>27.12792</v>
      </c>
      <c r="M107" s="105">
        <v>16.227920000000001</v>
      </c>
      <c r="N107" s="105">
        <v>19.085899999999999</v>
      </c>
      <c r="O107" s="105">
        <v>8.1859000000000002</v>
      </c>
      <c r="P107" s="35" t="s">
        <v>1574</v>
      </c>
      <c r="Q107" s="35" t="s">
        <v>1581</v>
      </c>
      <c r="R107" s="35" t="s">
        <v>1694</v>
      </c>
      <c r="S107" s="105">
        <v>22.982399999999998</v>
      </c>
      <c r="T107" s="105">
        <v>12.0824</v>
      </c>
      <c r="U107" s="35" t="s">
        <v>1610</v>
      </c>
      <c r="V107" s="35" t="s">
        <v>1769</v>
      </c>
      <c r="W107" s="105">
        <v>50.25</v>
      </c>
      <c r="X107" s="105">
        <v>39.35</v>
      </c>
      <c r="Y107" s="105">
        <v>71</v>
      </c>
      <c r="Z107" s="35" t="s">
        <v>1576</v>
      </c>
      <c r="AA107">
        <f>VLOOKUP(A107,Cover!A:R,18,0)</f>
        <v>3</v>
      </c>
      <c r="AB107" s="77">
        <f t="shared" si="65"/>
        <v>13.227920000000001</v>
      </c>
      <c r="AC107" s="77">
        <f t="shared" si="66"/>
        <v>5.1859000000000002</v>
      </c>
      <c r="AD107" s="77">
        <f t="shared" si="67"/>
        <v>48.761276205473919</v>
      </c>
      <c r="AE107" s="77">
        <f t="shared" si="68"/>
        <v>27.171367344479432</v>
      </c>
      <c r="AF107" s="77">
        <f t="shared" si="69"/>
        <v>9.0823999999999998</v>
      </c>
      <c r="AG107" s="77">
        <f t="shared" si="70"/>
        <v>39.518936229462547</v>
      </c>
      <c r="AH107" s="77">
        <f t="shared" si="71"/>
        <v>50.25</v>
      </c>
      <c r="AI107" s="77">
        <f t="shared" si="72"/>
        <v>10.9</v>
      </c>
      <c r="AJ107" s="77">
        <f t="shared" si="73"/>
        <v>39.35</v>
      </c>
      <c r="AK107" s="77">
        <f t="shared" si="74"/>
        <v>3</v>
      </c>
      <c r="AL107" s="77">
        <f t="shared" si="75"/>
        <v>36.35</v>
      </c>
      <c r="AM107" s="77">
        <f t="shared" si="76"/>
        <v>72.338308457711449</v>
      </c>
      <c r="AO107" t="s">
        <v>1577</v>
      </c>
      <c r="AP107" t="str">
        <f t="shared" si="56"/>
        <v>DDm85-33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57"/>
        <v>DDm85-33</v>
      </c>
    </row>
    <row r="108" spans="1:53">
      <c r="A108" s="35" t="s">
        <v>1770</v>
      </c>
      <c r="B108" s="35" t="s">
        <v>1616</v>
      </c>
      <c r="C108" s="35" t="s">
        <v>1768</v>
      </c>
      <c r="D108" s="35" t="s">
        <v>1568</v>
      </c>
      <c r="E108" s="35" t="s">
        <v>1352</v>
      </c>
      <c r="F108" s="35" t="s">
        <v>1570</v>
      </c>
      <c r="G108" s="105">
        <v>36.6</v>
      </c>
      <c r="H108" s="105">
        <v>16</v>
      </c>
      <c r="I108" s="105">
        <v>13</v>
      </c>
      <c r="J108" s="105">
        <v>0.70850000000000002</v>
      </c>
      <c r="K108" s="106">
        <v>45048</v>
      </c>
      <c r="L108" s="105">
        <v>23.936399999999999</v>
      </c>
      <c r="M108" s="105">
        <v>23.227900000000002</v>
      </c>
      <c r="N108" s="105">
        <v>18.802499999999998</v>
      </c>
      <c r="O108" s="105">
        <v>18.094000000000001</v>
      </c>
      <c r="P108" s="35" t="s">
        <v>1574</v>
      </c>
      <c r="Q108" s="35" t="s">
        <v>1581</v>
      </c>
      <c r="R108" s="35" t="s">
        <v>1582</v>
      </c>
      <c r="S108" s="105">
        <v>17.409600000000001</v>
      </c>
      <c r="T108" s="105">
        <v>16.7011</v>
      </c>
      <c r="U108" s="35" t="s">
        <v>1610</v>
      </c>
      <c r="V108" s="35" t="s">
        <v>1769</v>
      </c>
      <c r="W108" s="105">
        <v>50.25</v>
      </c>
      <c r="X108" s="105">
        <v>49.541499999999999</v>
      </c>
      <c r="Y108" s="105">
        <v>71</v>
      </c>
      <c r="Z108" s="35" t="s">
        <v>1576</v>
      </c>
      <c r="AA108" t="e">
        <f>VLOOKUP(A108,Cover!A:R,18,0)</f>
        <v>#N/A</v>
      </c>
      <c r="AB108" s="77" t="e">
        <f t="shared" ref="AB108" si="81">M108-AA108</f>
        <v>#N/A</v>
      </c>
      <c r="AC108" s="77" t="e">
        <f t="shared" ref="AC108" si="82">O108-AA108</f>
        <v>#N/A</v>
      </c>
      <c r="AD108" s="77" t="e">
        <f t="shared" ref="AD108" si="83">AB108/L108%</f>
        <v>#N/A</v>
      </c>
      <c r="AE108" s="77" t="e">
        <f t="shared" ref="AE108" si="84">AC108/N108%</f>
        <v>#N/A</v>
      </c>
      <c r="AF108" s="77" t="e">
        <f t="shared" ref="AF108" si="85">T108-AA108</f>
        <v>#N/A</v>
      </c>
      <c r="AG108" s="77" t="e">
        <f t="shared" ref="AG108" si="86">AF108/S108%</f>
        <v>#N/A</v>
      </c>
      <c r="AH108" s="346">
        <f>AVERAGE(W108:W109)</f>
        <v>50.25</v>
      </c>
      <c r="AI108" s="346">
        <f>SUM(J108:J109)</f>
        <v>1.3080000000000001</v>
      </c>
      <c r="AJ108" s="346">
        <f t="shared" ref="AJ108" si="87">AH108-AI108</f>
        <v>48.942</v>
      </c>
      <c r="AK108" s="346" t="e">
        <f>SUM(AA108:AA109)</f>
        <v>#N/A</v>
      </c>
      <c r="AL108" s="346" t="e">
        <f t="shared" ref="AL108" si="88">AJ108-AK108</f>
        <v>#N/A</v>
      </c>
      <c r="AM108" s="345" t="e">
        <f t="shared" ref="AM108" si="89">AL108/AH108%</f>
        <v>#N/A</v>
      </c>
      <c r="AO108" s="52" t="s">
        <v>1634</v>
      </c>
      <c r="AP108" t="str">
        <f t="shared" ref="AP108" si="90">TRIM(BA108)</f>
        <v>DDm85-25</v>
      </c>
      <c r="AQ108" t="e">
        <f>_xlfn.XLOOKUP(A108,'SYS Allocations'!A:A,'SYS Allocations'!B:B)</f>
        <v>#N/A</v>
      </c>
      <c r="AR108" t="e">
        <f>_xlfn.XLOOKUP(A108,'SYS Allocations'!A:A,'SYS Allocations'!C:C)</f>
        <v>#N/A</v>
      </c>
      <c r="AS108" t="e">
        <f>_xlfn.XLOOKUP(A108,'SYS Allocations'!A:A,'SYS Allocations'!D:D)</f>
        <v>#N/A</v>
      </c>
      <c r="AT108" t="e">
        <f>_xlfn.XLOOKUP(A108,'SYS Allocations'!A:A,'SYS Allocations'!E:E)</f>
        <v>#N/A</v>
      </c>
      <c r="AU108" t="e">
        <f>_xlfn.XLOOKUP(A108,'SYS Allocations'!A:A,'SYS Allocations'!F:F)</f>
        <v>#N/A</v>
      </c>
      <c r="BA108" t="str">
        <f t="shared" si="57"/>
        <v>DDm85-25</v>
      </c>
    </row>
    <row r="109" spans="1:53">
      <c r="A109" s="35" t="s">
        <v>1771</v>
      </c>
      <c r="B109" s="35" t="s">
        <v>1616</v>
      </c>
      <c r="C109" s="35" t="s">
        <v>1768</v>
      </c>
      <c r="D109" s="35" t="s">
        <v>1568</v>
      </c>
      <c r="E109" s="35" t="s">
        <v>1352</v>
      </c>
      <c r="F109" s="35" t="s">
        <v>1570</v>
      </c>
      <c r="G109" s="105">
        <v>36.6</v>
      </c>
      <c r="H109" s="105">
        <v>16</v>
      </c>
      <c r="I109" s="105">
        <v>11</v>
      </c>
      <c r="J109" s="105">
        <v>0.59950000000000003</v>
      </c>
      <c r="K109" s="106">
        <v>45048</v>
      </c>
      <c r="L109" s="105">
        <v>23.936399999999999</v>
      </c>
      <c r="M109" s="105">
        <v>23.3369</v>
      </c>
      <c r="N109" s="105">
        <v>18.802499999999998</v>
      </c>
      <c r="O109" s="105">
        <v>18.202999999999999</v>
      </c>
      <c r="P109" s="35" t="s">
        <v>1574</v>
      </c>
      <c r="Q109" s="35" t="s">
        <v>1581</v>
      </c>
      <c r="R109" s="35" t="s">
        <v>1582</v>
      </c>
      <c r="S109" s="105">
        <v>17.409600000000001</v>
      </c>
      <c r="T109" s="105">
        <v>16.810099999999998</v>
      </c>
      <c r="U109" s="35" t="s">
        <v>1610</v>
      </c>
      <c r="V109" s="35" t="s">
        <v>1769</v>
      </c>
      <c r="W109" s="105">
        <v>50.25</v>
      </c>
      <c r="X109" s="105">
        <v>49.650500000000001</v>
      </c>
      <c r="Y109" s="105">
        <v>71</v>
      </c>
      <c r="Z109" s="35" t="s">
        <v>1576</v>
      </c>
      <c r="AA109" t="e">
        <f>VLOOKUP(A109,Cover!A:R,18,0)</f>
        <v>#N/A</v>
      </c>
      <c r="AB109" s="77" t="e">
        <f t="shared" si="65"/>
        <v>#N/A</v>
      </c>
      <c r="AC109" s="77" t="e">
        <f t="shared" si="66"/>
        <v>#N/A</v>
      </c>
      <c r="AD109" s="77" t="e">
        <f t="shared" si="67"/>
        <v>#N/A</v>
      </c>
      <c r="AE109" s="77" t="e">
        <f t="shared" si="68"/>
        <v>#N/A</v>
      </c>
      <c r="AF109" s="77" t="e">
        <f t="shared" si="69"/>
        <v>#N/A</v>
      </c>
      <c r="AG109" s="77" t="e">
        <f t="shared" si="70"/>
        <v>#N/A</v>
      </c>
      <c r="AH109" s="346"/>
      <c r="AI109" s="346"/>
      <c r="AJ109" s="346"/>
      <c r="AK109" s="346"/>
      <c r="AL109" s="346"/>
      <c r="AM109" s="345"/>
      <c r="AO109" s="52" t="s">
        <v>1634</v>
      </c>
      <c r="AP109" t="str">
        <f t="shared" si="56"/>
        <v>DDm85-25</v>
      </c>
      <c r="AQ109" t="e">
        <f>_xlfn.XLOOKUP(A109,'SYS Allocations'!A:A,'SYS Allocations'!B:B)</f>
        <v>#N/A</v>
      </c>
      <c r="AR109" t="e">
        <f>_xlfn.XLOOKUP(A109,'SYS Allocations'!A:A,'SYS Allocations'!C:C)</f>
        <v>#N/A</v>
      </c>
      <c r="AS109" t="e">
        <f>_xlfn.XLOOKUP(A109,'SYS Allocations'!A:A,'SYS Allocations'!D:D)</f>
        <v>#N/A</v>
      </c>
      <c r="AT109" t="e">
        <f>_xlfn.XLOOKUP(A109,'SYS Allocations'!A:A,'SYS Allocations'!E:E)</f>
        <v>#N/A</v>
      </c>
      <c r="AU109" t="e">
        <f>_xlfn.XLOOKUP(A109,'SYS Allocations'!A:A,'SYS Allocations'!F:F)</f>
        <v>#N/A</v>
      </c>
      <c r="BA109" t="str">
        <f t="shared" si="57"/>
        <v>DDm85-25</v>
      </c>
    </row>
    <row r="110" spans="1:53">
      <c r="A110" s="35" t="s">
        <v>126</v>
      </c>
      <c r="B110" s="35" t="s">
        <v>1602</v>
      </c>
      <c r="C110" s="35" t="s">
        <v>1772</v>
      </c>
      <c r="D110" s="35" t="s">
        <v>1568</v>
      </c>
      <c r="E110" s="35" t="s">
        <v>1272</v>
      </c>
      <c r="F110" s="35" t="s">
        <v>1570</v>
      </c>
      <c r="G110" s="105">
        <v>36.6</v>
      </c>
      <c r="H110" s="105">
        <v>20</v>
      </c>
      <c r="I110" s="105">
        <v>145</v>
      </c>
      <c r="J110" s="105">
        <v>7.9024999999999999</v>
      </c>
      <c r="K110" s="106">
        <v>44286.375</v>
      </c>
      <c r="L110" s="105">
        <v>30.31944</v>
      </c>
      <c r="M110" s="105">
        <v>22.41694</v>
      </c>
      <c r="N110" s="105">
        <v>21.549299999999999</v>
      </c>
      <c r="O110" s="105">
        <v>13.646800000000001</v>
      </c>
      <c r="P110" s="35" t="s">
        <v>1574</v>
      </c>
      <c r="Q110" s="35" t="s">
        <v>1581</v>
      </c>
      <c r="R110" s="35" t="s">
        <v>1773</v>
      </c>
      <c r="S110" s="105">
        <v>26.654399999999999</v>
      </c>
      <c r="T110" s="105">
        <v>18.751899999999999</v>
      </c>
      <c r="U110" s="35" t="s">
        <v>1571</v>
      </c>
      <c r="V110" s="35" t="s">
        <v>1583</v>
      </c>
      <c r="W110" s="105">
        <v>22.5</v>
      </c>
      <c r="X110" s="105">
        <v>14.5975</v>
      </c>
      <c r="Y110" s="105">
        <v>19</v>
      </c>
      <c r="Z110" s="35" t="s">
        <v>1576</v>
      </c>
      <c r="AA110">
        <f>VLOOKUP(A110,Cover!A:R,18,0)</f>
        <v>0</v>
      </c>
      <c r="AB110" s="77">
        <f t="shared" si="65"/>
        <v>22.41694</v>
      </c>
      <c r="AC110" s="77">
        <f t="shared" si="66"/>
        <v>13.646800000000001</v>
      </c>
      <c r="AD110" s="77">
        <f t="shared" si="67"/>
        <v>73.935864250790914</v>
      </c>
      <c r="AE110" s="77">
        <f t="shared" si="68"/>
        <v>63.328275164390497</v>
      </c>
      <c r="AF110" s="77">
        <f t="shared" si="69"/>
        <v>18.751899999999999</v>
      </c>
      <c r="AG110" s="77">
        <f t="shared" si="70"/>
        <v>70.351986913980426</v>
      </c>
      <c r="AH110" s="77">
        <f t="shared" si="71"/>
        <v>22.5</v>
      </c>
      <c r="AI110" s="77">
        <f t="shared" si="72"/>
        <v>7.9024999999999999</v>
      </c>
      <c r="AJ110" s="77">
        <f t="shared" si="73"/>
        <v>14.5975</v>
      </c>
      <c r="AK110" s="77">
        <f t="shared" si="74"/>
        <v>0</v>
      </c>
      <c r="AL110" s="77">
        <f t="shared" si="75"/>
        <v>14.5975</v>
      </c>
      <c r="AM110" s="77">
        <f t="shared" si="76"/>
        <v>64.87777777777778</v>
      </c>
      <c r="AO110" t="s">
        <v>1577</v>
      </c>
      <c r="AP110" t="str">
        <f t="shared" si="56"/>
        <v>DDm125-25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57"/>
        <v>DDm125-25</v>
      </c>
    </row>
    <row r="111" spans="1:53">
      <c r="A111" s="35" t="s">
        <v>127</v>
      </c>
      <c r="B111" s="35" t="s">
        <v>1636</v>
      </c>
      <c r="C111" s="35" t="s">
        <v>1774</v>
      </c>
      <c r="D111" s="35" t="s">
        <v>1568</v>
      </c>
      <c r="E111" s="35" t="s">
        <v>1775</v>
      </c>
      <c r="F111" s="35" t="s">
        <v>1598</v>
      </c>
      <c r="G111" s="105">
        <v>22</v>
      </c>
      <c r="H111" s="105">
        <v>6</v>
      </c>
      <c r="I111" s="105">
        <v>13</v>
      </c>
      <c r="J111" s="105">
        <v>0.70850000000000002</v>
      </c>
      <c r="K111" s="106">
        <v>44700.395833333299</v>
      </c>
      <c r="L111" s="105">
        <v>4.7960000000000003</v>
      </c>
      <c r="M111" s="105">
        <v>4.0875000000000004</v>
      </c>
      <c r="N111" s="105">
        <v>3.8149999999999999</v>
      </c>
      <c r="O111" s="105">
        <v>3.1065</v>
      </c>
      <c r="P111" s="35" t="s">
        <v>1586</v>
      </c>
      <c r="Q111" s="35" t="s">
        <v>1581</v>
      </c>
      <c r="R111" s="35" t="s">
        <v>1738</v>
      </c>
      <c r="S111" s="105">
        <v>3.7670400000000002</v>
      </c>
      <c r="T111" s="105">
        <v>3.0585399999999998</v>
      </c>
      <c r="U111" s="35" t="s">
        <v>1574</v>
      </c>
      <c r="V111" s="35" t="s">
        <v>1601</v>
      </c>
      <c r="W111" s="105">
        <v>5.0250000000000004</v>
      </c>
      <c r="X111" s="105">
        <v>4.3164999999999996</v>
      </c>
      <c r="Y111" s="105">
        <v>6</v>
      </c>
      <c r="Z111" s="35" t="s">
        <v>1576</v>
      </c>
      <c r="AA111">
        <f>VLOOKUP(A111,Cover!A:R,18,0)</f>
        <v>0</v>
      </c>
      <c r="AB111" s="77">
        <f t="shared" si="65"/>
        <v>4.0875000000000004</v>
      </c>
      <c r="AC111" s="77">
        <f t="shared" si="66"/>
        <v>3.1065</v>
      </c>
      <c r="AD111" s="77">
        <f t="shared" si="67"/>
        <v>85.227272727272734</v>
      </c>
      <c r="AE111" s="77">
        <f t="shared" si="68"/>
        <v>81.428571428571431</v>
      </c>
      <c r="AF111" s="77">
        <f t="shared" si="69"/>
        <v>3.0585399999999998</v>
      </c>
      <c r="AG111" s="77">
        <f t="shared" si="70"/>
        <v>81.192129629629619</v>
      </c>
      <c r="AH111" s="77">
        <f t="shared" si="71"/>
        <v>5.0250000000000004</v>
      </c>
      <c r="AI111" s="77">
        <f t="shared" si="72"/>
        <v>0.70850000000000002</v>
      </c>
      <c r="AJ111" s="77">
        <f t="shared" si="73"/>
        <v>4.3165000000000004</v>
      </c>
      <c r="AK111" s="77">
        <f t="shared" si="74"/>
        <v>0</v>
      </c>
      <c r="AL111" s="77">
        <f t="shared" si="75"/>
        <v>4.3165000000000004</v>
      </c>
      <c r="AM111" s="77">
        <f t="shared" si="76"/>
        <v>85.900497512437809</v>
      </c>
      <c r="AO111" t="s">
        <v>1577</v>
      </c>
      <c r="AP111" t="str">
        <f t="shared" si="56"/>
        <v>SBS 12V100F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57"/>
        <v>SBS 12V100F</v>
      </c>
    </row>
    <row r="112" spans="1:53">
      <c r="A112" s="35" t="s">
        <v>128</v>
      </c>
      <c r="B112" s="35" t="s">
        <v>1607</v>
      </c>
      <c r="C112" s="35" t="s">
        <v>1776</v>
      </c>
      <c r="D112" s="35" t="s">
        <v>1568</v>
      </c>
      <c r="E112" s="35" t="s">
        <v>1458</v>
      </c>
      <c r="F112" s="35" t="s">
        <v>1570</v>
      </c>
      <c r="G112" s="105">
        <v>36.6</v>
      </c>
      <c r="H112" s="105">
        <v>7</v>
      </c>
      <c r="I112" s="105">
        <v>49</v>
      </c>
      <c r="J112" s="105">
        <v>2.6705000000000001</v>
      </c>
      <c r="K112" s="106">
        <v>45264</v>
      </c>
      <c r="L112" s="105">
        <v>9.57456</v>
      </c>
      <c r="M112" s="105">
        <v>6.9040600000000003</v>
      </c>
      <c r="N112" s="105">
        <v>8.4802</v>
      </c>
      <c r="O112" s="105">
        <v>5.8097000000000003</v>
      </c>
      <c r="P112" s="35" t="s">
        <v>1591</v>
      </c>
      <c r="Q112" s="35" t="s">
        <v>1599</v>
      </c>
      <c r="R112" s="35" t="s">
        <v>1679</v>
      </c>
      <c r="S112" s="105">
        <v>7.8105600000000104</v>
      </c>
      <c r="T112" s="105">
        <v>5.1400600000000098</v>
      </c>
      <c r="U112" s="35" t="s">
        <v>1574</v>
      </c>
      <c r="V112" s="35" t="s">
        <v>1673</v>
      </c>
      <c r="W112" s="105">
        <v>11.25</v>
      </c>
      <c r="X112" s="105">
        <v>8.5794999999999995</v>
      </c>
      <c r="Y112" s="105">
        <v>21</v>
      </c>
      <c r="Z112" s="35" t="s">
        <v>1576</v>
      </c>
      <c r="AA112">
        <f>VLOOKUP(A112,Cover!A:R,18,0)</f>
        <v>0</v>
      </c>
      <c r="AB112" s="77">
        <f t="shared" si="65"/>
        <v>6.9040600000000003</v>
      </c>
      <c r="AC112" s="77">
        <f t="shared" si="66"/>
        <v>5.8097000000000003</v>
      </c>
      <c r="AD112" s="77">
        <f t="shared" si="67"/>
        <v>72.10837887067396</v>
      </c>
      <c r="AE112" s="77">
        <f t="shared" si="68"/>
        <v>68.508997429305921</v>
      </c>
      <c r="AF112" s="77">
        <f t="shared" si="69"/>
        <v>5.1400600000000098</v>
      </c>
      <c r="AG112" s="77">
        <f t="shared" si="70"/>
        <v>65.809109718125242</v>
      </c>
      <c r="AH112" s="77">
        <f t="shared" si="71"/>
        <v>11.25</v>
      </c>
      <c r="AI112" s="77">
        <f t="shared" si="72"/>
        <v>2.6705000000000001</v>
      </c>
      <c r="AJ112" s="77">
        <f t="shared" si="73"/>
        <v>8.5794999999999995</v>
      </c>
      <c r="AK112" s="77">
        <f t="shared" si="74"/>
        <v>0</v>
      </c>
      <c r="AL112" s="77">
        <f t="shared" si="75"/>
        <v>8.5794999999999995</v>
      </c>
      <c r="AM112" s="77">
        <f t="shared" si="76"/>
        <v>76.262222222222221</v>
      </c>
      <c r="AO112" t="s">
        <v>1577</v>
      </c>
      <c r="AP112" t="str">
        <f t="shared" si="56"/>
        <v>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57"/>
        <v>12V100F</v>
      </c>
    </row>
    <row r="113" spans="1:53">
      <c r="A113" s="35" t="s">
        <v>129</v>
      </c>
      <c r="B113" s="35" t="s">
        <v>1616</v>
      </c>
      <c r="C113" s="35" t="s">
        <v>1777</v>
      </c>
      <c r="D113" s="35" t="s">
        <v>1568</v>
      </c>
      <c r="E113" s="35" t="s">
        <v>1356</v>
      </c>
      <c r="F113" s="35" t="s">
        <v>1570</v>
      </c>
      <c r="G113" s="105">
        <v>36.6</v>
      </c>
      <c r="H113" s="105">
        <v>18</v>
      </c>
      <c r="I113" s="105">
        <v>22</v>
      </c>
      <c r="J113" s="105">
        <v>1.1990000000000001</v>
      </c>
      <c r="K113" s="106">
        <v>45264</v>
      </c>
      <c r="L113" s="105">
        <v>27.12792</v>
      </c>
      <c r="M113" s="105">
        <v>25.928920000000002</v>
      </c>
      <c r="N113" s="105">
        <v>22.791899999999998</v>
      </c>
      <c r="O113" s="105">
        <v>21.5929</v>
      </c>
      <c r="P113" s="35" t="s">
        <v>1574</v>
      </c>
      <c r="Q113" s="35" t="s">
        <v>1581</v>
      </c>
      <c r="R113" s="35" t="s">
        <v>1582</v>
      </c>
      <c r="S113" s="105">
        <v>17.409600000000001</v>
      </c>
      <c r="T113" s="105">
        <v>16.210599999999999</v>
      </c>
      <c r="U113" s="35" t="s">
        <v>1618</v>
      </c>
      <c r="V113" s="35" t="s">
        <v>1611</v>
      </c>
      <c r="W113" s="105">
        <v>112.5</v>
      </c>
      <c r="X113" s="105">
        <v>111.301</v>
      </c>
      <c r="Y113" s="105">
        <v>22</v>
      </c>
      <c r="Z113" s="35" t="s">
        <v>1576</v>
      </c>
      <c r="AA113">
        <f>VLOOKUP(A113,Cover!A:R,18,0)</f>
        <v>5.9</v>
      </c>
      <c r="AB113" s="77">
        <f t="shared" si="65"/>
        <v>20.028919999999999</v>
      </c>
      <c r="AC113" s="77">
        <f t="shared" si="66"/>
        <v>15.6929</v>
      </c>
      <c r="AD113" s="77">
        <f t="shared" si="67"/>
        <v>73.831388473572616</v>
      </c>
      <c r="AE113" s="77">
        <f t="shared" si="68"/>
        <v>68.852969695374242</v>
      </c>
      <c r="AF113" s="77">
        <f t="shared" si="69"/>
        <v>10.310599999999999</v>
      </c>
      <c r="AG113" s="77">
        <f t="shared" si="70"/>
        <v>59.223646723646716</v>
      </c>
      <c r="AH113" s="346">
        <f>AVERAGE(W113:W114)</f>
        <v>112.5</v>
      </c>
      <c r="AI113" s="346">
        <f>SUM(J113:J114)</f>
        <v>3.1065</v>
      </c>
      <c r="AJ113" s="346">
        <f t="shared" si="73"/>
        <v>109.3935</v>
      </c>
      <c r="AK113" s="346">
        <f>SUM(AA113:AA114)</f>
        <v>11.7</v>
      </c>
      <c r="AL113" s="346">
        <f t="shared" si="75"/>
        <v>97.6935</v>
      </c>
      <c r="AM113" s="345">
        <f t="shared" si="76"/>
        <v>86.838666666666668</v>
      </c>
      <c r="AO113" t="s">
        <v>1634</v>
      </c>
      <c r="AP113" t="str">
        <f t="shared" si="56"/>
        <v>DDm85-25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 t="str">
        <f>_xlfn.XLOOKUP(A113,'SYS Allocations'!A:A,'SYS Allocations'!E:E)</f>
        <v>AM</v>
      </c>
      <c r="AU113">
        <f>_xlfn.XLOOKUP(A113,'SYS Allocations'!A:A,'SYS Allocations'!F:F)</f>
        <v>0</v>
      </c>
      <c r="BA113" t="str">
        <f t="shared" si="57"/>
        <v>DDm85-25</v>
      </c>
    </row>
    <row r="114" spans="1:53">
      <c r="A114" s="35" t="s">
        <v>130</v>
      </c>
      <c r="B114" s="35" t="s">
        <v>1616</v>
      </c>
      <c r="C114" s="35" t="s">
        <v>1777</v>
      </c>
      <c r="D114" s="35" t="s">
        <v>1568</v>
      </c>
      <c r="E114" s="35" t="s">
        <v>1356</v>
      </c>
      <c r="F114" s="35" t="s">
        <v>1570</v>
      </c>
      <c r="G114" s="105">
        <v>36.6</v>
      </c>
      <c r="H114" s="105">
        <v>18</v>
      </c>
      <c r="I114" s="105">
        <v>35</v>
      </c>
      <c r="J114" s="105">
        <v>1.9075</v>
      </c>
      <c r="K114" s="106">
        <v>45264</v>
      </c>
      <c r="L114" s="105">
        <v>27.12792</v>
      </c>
      <c r="M114" s="105">
        <v>25.220420000000001</v>
      </c>
      <c r="N114" s="105">
        <v>22.791899999999998</v>
      </c>
      <c r="O114" s="105">
        <v>20.884399999999999</v>
      </c>
      <c r="P114" s="35" t="s">
        <v>1574</v>
      </c>
      <c r="Q114" s="35" t="s">
        <v>1581</v>
      </c>
      <c r="R114" s="35" t="s">
        <v>1582</v>
      </c>
      <c r="S114" s="105">
        <v>17.409600000000001</v>
      </c>
      <c r="T114" s="105">
        <v>15.5021</v>
      </c>
      <c r="U114" s="35" t="s">
        <v>1618</v>
      </c>
      <c r="V114" s="35" t="s">
        <v>1611</v>
      </c>
      <c r="W114" s="105">
        <v>112.5</v>
      </c>
      <c r="X114" s="105">
        <v>110.5925</v>
      </c>
      <c r="Y114" s="105">
        <v>22</v>
      </c>
      <c r="Z114" s="35" t="s">
        <v>1576</v>
      </c>
      <c r="AA114">
        <f>VLOOKUP(A114,Cover!A:R,18,0)</f>
        <v>5.8</v>
      </c>
      <c r="AB114" s="77">
        <f t="shared" ref="AB114" si="91">M114-AA114</f>
        <v>19.42042</v>
      </c>
      <c r="AC114" s="77">
        <f t="shared" ref="AC114" si="92">O114-AA114</f>
        <v>15.084399999999999</v>
      </c>
      <c r="AD114" s="77">
        <f t="shared" ref="AD114" si="93">AB114/L114%</f>
        <v>71.588311967891386</v>
      </c>
      <c r="AE114" s="77">
        <f t="shared" ref="AE114" si="94">AC114/N114%</f>
        <v>66.18316156178291</v>
      </c>
      <c r="AF114" s="77">
        <f t="shared" ref="AF114" si="95">T114-AA114</f>
        <v>9.7021000000000015</v>
      </c>
      <c r="AG114" s="77">
        <f t="shared" ref="AG114" si="96">AF114/S114%</f>
        <v>55.728448671997064</v>
      </c>
      <c r="AH114" s="346"/>
      <c r="AI114" s="346"/>
      <c r="AJ114" s="346"/>
      <c r="AK114" s="346"/>
      <c r="AL114" s="346"/>
      <c r="AM114" s="345"/>
      <c r="AO114" t="s">
        <v>1634</v>
      </c>
      <c r="AP114" t="str">
        <f t="shared" si="56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>
        <f>_xlfn.XLOOKUP(A114,'SYS Allocations'!A:A,'SYS Allocations'!E:E)</f>
        <v>0</v>
      </c>
      <c r="AU114">
        <f>_xlfn.XLOOKUP(A114,'SYS Allocations'!A:A,'SYS Allocations'!F:F)</f>
        <v>0</v>
      </c>
      <c r="BA114" t="str">
        <f t="shared" si="57"/>
        <v>DDm85-25</v>
      </c>
    </row>
    <row r="115" spans="1:53">
      <c r="A115" s="35" t="s">
        <v>131</v>
      </c>
      <c r="B115" s="35" t="s">
        <v>1616</v>
      </c>
      <c r="C115" s="35" t="s">
        <v>1778</v>
      </c>
      <c r="D115" s="35" t="s">
        <v>1568</v>
      </c>
      <c r="E115" s="35" t="s">
        <v>1779</v>
      </c>
      <c r="F115" s="35" t="s">
        <v>1570</v>
      </c>
      <c r="G115" s="105">
        <v>36.6</v>
      </c>
      <c r="H115" s="105">
        <v>23</v>
      </c>
      <c r="I115" s="105">
        <v>300</v>
      </c>
      <c r="J115" s="105">
        <v>16.350000000000001</v>
      </c>
      <c r="K115" s="106">
        <v>45264</v>
      </c>
      <c r="L115" s="105">
        <v>35.106720000000003</v>
      </c>
      <c r="M115" s="105">
        <v>18.756720000000001</v>
      </c>
      <c r="N115" s="105">
        <v>22.083400000000001</v>
      </c>
      <c r="O115" s="105">
        <v>5.7333999999999996</v>
      </c>
      <c r="P115" s="35" t="s">
        <v>1574</v>
      </c>
      <c r="Q115" s="35" t="s">
        <v>1581</v>
      </c>
      <c r="R115" s="35" t="s">
        <v>1592</v>
      </c>
      <c r="S115" s="105">
        <v>35.553600000000003</v>
      </c>
      <c r="T115" s="105">
        <v>19.203600000000002</v>
      </c>
      <c r="U115" s="35" t="s">
        <v>1571</v>
      </c>
      <c r="V115" s="35" t="s">
        <v>1589</v>
      </c>
      <c r="W115" s="105">
        <v>45</v>
      </c>
      <c r="X115" s="105">
        <v>28.65</v>
      </c>
      <c r="Y115" s="105">
        <v>24</v>
      </c>
      <c r="Z115" s="35" t="s">
        <v>1576</v>
      </c>
      <c r="AA115">
        <f>VLOOKUP(A115,Cover!A:R,18,0)</f>
        <v>3.4</v>
      </c>
      <c r="AB115" s="77">
        <f t="shared" si="65"/>
        <v>15.356720000000001</v>
      </c>
      <c r="AC115" s="77">
        <f t="shared" si="66"/>
        <v>2.3333999999999997</v>
      </c>
      <c r="AD115" s="77">
        <f t="shared" si="67"/>
        <v>43.742964309966865</v>
      </c>
      <c r="AE115" s="77">
        <f t="shared" si="68"/>
        <v>10.566307724354038</v>
      </c>
      <c r="AF115" s="77">
        <f t="shared" si="69"/>
        <v>15.803600000000001</v>
      </c>
      <c r="AG115" s="77">
        <f t="shared" si="70"/>
        <v>44.450069753836459</v>
      </c>
      <c r="AH115" s="77">
        <f t="shared" si="71"/>
        <v>45</v>
      </c>
      <c r="AI115" s="77">
        <f t="shared" si="72"/>
        <v>16.350000000000001</v>
      </c>
      <c r="AJ115" s="77">
        <f t="shared" si="73"/>
        <v>28.65</v>
      </c>
      <c r="AK115" s="77">
        <f t="shared" si="74"/>
        <v>3.4</v>
      </c>
      <c r="AL115" s="77">
        <f t="shared" si="75"/>
        <v>25.25</v>
      </c>
      <c r="AM115" s="77">
        <f t="shared" si="76"/>
        <v>56.111111111111107</v>
      </c>
      <c r="AO115" t="s">
        <v>1577</v>
      </c>
      <c r="AP115" t="str">
        <f t="shared" si="56"/>
        <v>DDm125-33</v>
      </c>
      <c r="AQ115">
        <f>_xlfn.XLOOKUP(A115,'SYS Allocations'!A:A,'SYS Allocations'!B:B)</f>
        <v>0</v>
      </c>
      <c r="AR115" t="str">
        <f>_xlfn.XLOOKUP(A115,'SYS Allocations'!A:A,'SYS Allocations'!C:C)</f>
        <v>RA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57"/>
        <v>DDm125-33</v>
      </c>
    </row>
    <row r="116" spans="1:53">
      <c r="A116" s="35" t="s">
        <v>132</v>
      </c>
      <c r="B116" s="35" t="s">
        <v>1668</v>
      </c>
      <c r="C116" s="35" t="s">
        <v>1780</v>
      </c>
      <c r="D116" s="35" t="s">
        <v>1568</v>
      </c>
      <c r="E116" s="35" t="s">
        <v>1415</v>
      </c>
      <c r="F116" s="35" t="s">
        <v>1570</v>
      </c>
      <c r="G116" s="105">
        <v>36.6</v>
      </c>
      <c r="H116" s="105">
        <v>28</v>
      </c>
      <c r="I116" s="105">
        <v>321</v>
      </c>
      <c r="J116" s="105">
        <v>17.494499999999999</v>
      </c>
      <c r="K116" s="106">
        <v>45264</v>
      </c>
      <c r="L116" s="105">
        <v>43.085520000000002</v>
      </c>
      <c r="M116" s="105">
        <v>25.59102</v>
      </c>
      <c r="N116" s="105">
        <v>21.1569</v>
      </c>
      <c r="O116" s="105">
        <v>3.6623999999999999</v>
      </c>
      <c r="P116" s="35" t="s">
        <v>1571</v>
      </c>
      <c r="Q116" s="35" t="s">
        <v>1581</v>
      </c>
      <c r="R116" s="35" t="s">
        <v>1592</v>
      </c>
      <c r="S116" s="105">
        <v>53.330399999999997</v>
      </c>
      <c r="T116" s="105">
        <v>35.835900000000002</v>
      </c>
      <c r="U116" s="35" t="s">
        <v>1610</v>
      </c>
      <c r="V116" s="35" t="s">
        <v>1713</v>
      </c>
      <c r="W116" s="105">
        <v>180</v>
      </c>
      <c r="X116" s="105">
        <v>162.50550000000001</v>
      </c>
      <c r="Y116" s="105">
        <v>60</v>
      </c>
      <c r="Z116" s="35" t="s">
        <v>1576</v>
      </c>
      <c r="AA116">
        <f>VLOOKUP(A116,Cover!A:R,18,0)</f>
        <v>7.1000000000000005</v>
      </c>
      <c r="AB116" s="77">
        <f t="shared" si="65"/>
        <v>18.491019999999999</v>
      </c>
      <c r="AC116" s="77">
        <f t="shared" si="66"/>
        <v>-3.4376000000000007</v>
      </c>
      <c r="AD116" s="77">
        <f t="shared" si="67"/>
        <v>42.917017132437991</v>
      </c>
      <c r="AE116" s="77">
        <f t="shared" si="68"/>
        <v>-16.248127088562125</v>
      </c>
      <c r="AF116" s="77">
        <f t="shared" si="69"/>
        <v>28.735900000000001</v>
      </c>
      <c r="AG116" s="77">
        <f t="shared" si="70"/>
        <v>53.8827760526829</v>
      </c>
      <c r="AH116" s="346">
        <f>AVERAGE(W116:W117)</f>
        <v>180</v>
      </c>
      <c r="AI116" s="346">
        <f>SUM(J116:J117)</f>
        <v>42.945999999999998</v>
      </c>
      <c r="AJ116" s="346">
        <f t="shared" si="73"/>
        <v>137.054</v>
      </c>
      <c r="AK116" s="346">
        <f>SUM(AA116:AA117)</f>
        <v>14.100000000000001</v>
      </c>
      <c r="AL116" s="346">
        <f t="shared" si="75"/>
        <v>122.95400000000001</v>
      </c>
      <c r="AM116" s="345">
        <f t="shared" si="76"/>
        <v>68.307777777777787</v>
      </c>
      <c r="AO116" t="s">
        <v>1634</v>
      </c>
      <c r="AP116" t="str">
        <f t="shared" si="56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57"/>
        <v>DDm125-33</v>
      </c>
    </row>
    <row r="117" spans="1:53">
      <c r="A117" s="35" t="s">
        <v>133</v>
      </c>
      <c r="B117" s="35" t="s">
        <v>1668</v>
      </c>
      <c r="C117" s="35" t="s">
        <v>1780</v>
      </c>
      <c r="D117" s="35" t="s">
        <v>1568</v>
      </c>
      <c r="E117" s="35" t="s">
        <v>1415</v>
      </c>
      <c r="F117" s="35" t="s">
        <v>1570</v>
      </c>
      <c r="G117" s="105">
        <v>36.6</v>
      </c>
      <c r="H117" s="105">
        <v>28</v>
      </c>
      <c r="I117" s="105">
        <v>467</v>
      </c>
      <c r="J117" s="105">
        <v>25.451499999999999</v>
      </c>
      <c r="K117" s="106">
        <v>45264</v>
      </c>
      <c r="L117" s="105">
        <v>43.085520000000002</v>
      </c>
      <c r="M117" s="105">
        <v>17.63402</v>
      </c>
      <c r="N117" s="105">
        <v>21.1569</v>
      </c>
      <c r="O117" s="105">
        <v>-4.2946</v>
      </c>
      <c r="P117" s="35" t="s">
        <v>1571</v>
      </c>
      <c r="Q117" s="35" t="s">
        <v>1581</v>
      </c>
      <c r="R117" s="35" t="s">
        <v>1592</v>
      </c>
      <c r="S117" s="105">
        <v>53.330399999999997</v>
      </c>
      <c r="T117" s="105">
        <v>27.878900000000002</v>
      </c>
      <c r="U117" s="35" t="s">
        <v>1610</v>
      </c>
      <c r="V117" s="35" t="s">
        <v>1713</v>
      </c>
      <c r="W117" s="105">
        <v>180</v>
      </c>
      <c r="X117" s="105">
        <v>154.54849999999999</v>
      </c>
      <c r="Y117" s="105">
        <v>60</v>
      </c>
      <c r="Z117" s="35" t="s">
        <v>1576</v>
      </c>
      <c r="AA117">
        <f>VLOOKUP(A117,Cover!A:R,18,0)</f>
        <v>7</v>
      </c>
      <c r="AB117" s="77">
        <f t="shared" ref="AB117" si="97">M117-AA117</f>
        <v>10.63402</v>
      </c>
      <c r="AC117" s="77">
        <f t="shared" ref="AC117" si="98">O117-AA117</f>
        <v>-11.294599999999999</v>
      </c>
      <c r="AD117" s="77">
        <f t="shared" ref="AD117" si="99">AB117/L117%</f>
        <v>24.681192196357379</v>
      </c>
      <c r="AE117" s="77">
        <f t="shared" ref="AE117" si="100">AC117/N117%</f>
        <v>-53.384947700277444</v>
      </c>
      <c r="AF117" s="77">
        <f t="shared" ref="AF117" si="101">T117-AA117</f>
        <v>20.878900000000002</v>
      </c>
      <c r="AG117" s="77">
        <f t="shared" ref="AG117" si="102">AF117/S117%</f>
        <v>39.150090754991524</v>
      </c>
      <c r="AH117" s="346"/>
      <c r="AI117" s="346"/>
      <c r="AJ117" s="346"/>
      <c r="AK117" s="346"/>
      <c r="AL117" s="346"/>
      <c r="AM117" s="345"/>
      <c r="AO117" t="s">
        <v>1634</v>
      </c>
      <c r="AP117" t="str">
        <f t="shared" si="56"/>
        <v>DDm125-33</v>
      </c>
      <c r="AQ117">
        <f>_xlfn.XLOOKUP(A117,'SYS Allocations'!A:A,'SYS Allocations'!B:B)</f>
        <v>0</v>
      </c>
      <c r="AR117">
        <f>_xlfn.XLOOKUP(A117,'SYS Allocations'!A:A,'SYS Allocations'!C:C)</f>
        <v>0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57"/>
        <v>DDm125-33</v>
      </c>
    </row>
    <row r="118" spans="1:53">
      <c r="A118" s="35" t="s">
        <v>134</v>
      </c>
      <c r="B118" s="35" t="s">
        <v>1578</v>
      </c>
      <c r="C118" s="35" t="s">
        <v>1698</v>
      </c>
      <c r="D118" s="35" t="s">
        <v>1657</v>
      </c>
      <c r="E118" s="35" t="s">
        <v>1241</v>
      </c>
      <c r="F118" s="35" t="s">
        <v>1570</v>
      </c>
      <c r="G118" s="105">
        <v>36.6</v>
      </c>
      <c r="H118" s="105">
        <v>54</v>
      </c>
      <c r="I118" s="105">
        <v>797</v>
      </c>
      <c r="J118" s="105">
        <v>43.436500000000002</v>
      </c>
      <c r="K118" s="106">
        <v>45264</v>
      </c>
      <c r="L118" s="105">
        <v>84.575280000000006</v>
      </c>
      <c r="M118" s="105">
        <v>41.138779999999997</v>
      </c>
      <c r="N118" s="105">
        <v>62.119100000000003</v>
      </c>
      <c r="O118" s="105">
        <v>18.682600000000001</v>
      </c>
      <c r="P118" s="35" t="s">
        <v>1586</v>
      </c>
      <c r="Q118" s="35" t="s">
        <v>1581</v>
      </c>
      <c r="R118" s="35" t="s">
        <v>1592</v>
      </c>
      <c r="S118" s="105">
        <v>71.107200000000205</v>
      </c>
      <c r="T118" s="105">
        <v>27.670700000000199</v>
      </c>
      <c r="U118" s="35" t="s">
        <v>1586</v>
      </c>
      <c r="V118" s="35" t="s">
        <v>1653</v>
      </c>
      <c r="W118" s="105">
        <v>90</v>
      </c>
      <c r="X118" s="105">
        <v>46.563499999999998</v>
      </c>
      <c r="Y118" s="105">
        <v>51</v>
      </c>
      <c r="Z118" s="35" t="s">
        <v>1525</v>
      </c>
      <c r="AA118">
        <f>VLOOKUP(A118,Cover!A:R,18,0)</f>
        <v>9.5</v>
      </c>
      <c r="AB118" s="77">
        <f t="shared" si="65"/>
        <v>31.638779999999997</v>
      </c>
      <c r="AC118" s="77">
        <f t="shared" si="66"/>
        <v>9.1826000000000008</v>
      </c>
      <c r="AD118" s="77">
        <f t="shared" si="67"/>
        <v>37.409015967786324</v>
      </c>
      <c r="AE118" s="77">
        <f t="shared" si="68"/>
        <v>14.782248937927305</v>
      </c>
      <c r="AF118" s="77">
        <f t="shared" si="69"/>
        <v>18.170700000000199</v>
      </c>
      <c r="AG118" s="77">
        <f t="shared" si="70"/>
        <v>25.553952342379038</v>
      </c>
      <c r="AH118" s="346">
        <f>AVERAGE(W118:W119)</f>
        <v>90</v>
      </c>
      <c r="AI118" s="346">
        <f>SUM(J118:J119)</f>
        <v>77.608000000000004</v>
      </c>
      <c r="AJ118" s="346">
        <f t="shared" si="73"/>
        <v>12.391999999999996</v>
      </c>
      <c r="AK118" s="346" t="e">
        <f>SUM(AA118:AA119)</f>
        <v>#N/A</v>
      </c>
      <c r="AL118" s="346" t="e">
        <f t="shared" si="75"/>
        <v>#N/A</v>
      </c>
      <c r="AM118" s="345" t="e">
        <f t="shared" si="76"/>
        <v>#N/A</v>
      </c>
      <c r="AN118" t="s">
        <v>1563</v>
      </c>
      <c r="AO118" t="s">
        <v>1634</v>
      </c>
      <c r="AP118" t="str">
        <f t="shared" si="56"/>
        <v>DDm125-33</v>
      </c>
      <c r="AQ118" t="str">
        <f>_xlfn.XLOOKUP(A118,'SYS Allocations'!A:A,'SYS Allocations'!B:B)</f>
        <v>P-Core</v>
      </c>
      <c r="AR118" t="str">
        <f>_xlfn.XLOOKUP(A118,'SYS Allocations'!A:A,'SYS Allocations'!C:C)</f>
        <v>RA</v>
      </c>
      <c r="AS118" t="str">
        <f>_xlfn.XLOOKUP(A118,'SYS Allocations'!A:A,'SYS Allocations'!D:D)</f>
        <v>PX</v>
      </c>
      <c r="AT118">
        <f>_xlfn.XLOOKUP(A118,'SYS Allocations'!A:A,'SYS Allocations'!E:E)</f>
        <v>0</v>
      </c>
      <c r="AU118" t="str">
        <f>_xlfn.XLOOKUP(A118,'SYS Allocations'!A:A,'SYS Allocations'!F:F)</f>
        <v>OPEX</v>
      </c>
      <c r="BA118" t="str">
        <f t="shared" si="57"/>
        <v>DDm125-33</v>
      </c>
    </row>
    <row r="119" spans="1:53">
      <c r="A119" s="35" t="s">
        <v>549</v>
      </c>
      <c r="B119" s="35" t="s">
        <v>1578</v>
      </c>
      <c r="C119" s="35" t="s">
        <v>1698</v>
      </c>
      <c r="D119" s="35" t="s">
        <v>1657</v>
      </c>
      <c r="E119" s="35" t="s">
        <v>1241</v>
      </c>
      <c r="F119" s="35" t="s">
        <v>1570</v>
      </c>
      <c r="G119" s="105">
        <v>36.6</v>
      </c>
      <c r="H119" s="105">
        <v>54</v>
      </c>
      <c r="I119" s="105">
        <v>627</v>
      </c>
      <c r="J119" s="105">
        <v>34.171500000000002</v>
      </c>
      <c r="K119" s="106">
        <v>45264</v>
      </c>
      <c r="L119" s="105">
        <v>84.575280000000006</v>
      </c>
      <c r="M119" s="105">
        <v>50.403779999999998</v>
      </c>
      <c r="N119" s="105">
        <v>62.119100000000003</v>
      </c>
      <c r="O119" s="105">
        <v>27.947600000000001</v>
      </c>
      <c r="P119" s="35" t="s">
        <v>1586</v>
      </c>
      <c r="Q119" s="35" t="s">
        <v>1581</v>
      </c>
      <c r="R119" s="35" t="s">
        <v>1592</v>
      </c>
      <c r="S119" s="105">
        <v>71.107200000000205</v>
      </c>
      <c r="T119" s="105">
        <v>36.935700000000203</v>
      </c>
      <c r="U119" s="35" t="s">
        <v>1586</v>
      </c>
      <c r="V119" s="35" t="s">
        <v>1653</v>
      </c>
      <c r="W119" s="105">
        <v>90</v>
      </c>
      <c r="X119" s="105">
        <v>55.828499999999998</v>
      </c>
      <c r="Y119" s="105">
        <v>51</v>
      </c>
      <c r="Z119" s="35" t="s">
        <v>1525</v>
      </c>
      <c r="AA119" t="e">
        <f>VLOOKUP(A119,Cover!A:R,18,0)</f>
        <v>#N/A</v>
      </c>
      <c r="AB119" s="77" t="e">
        <f t="shared" si="65"/>
        <v>#N/A</v>
      </c>
      <c r="AC119" s="77" t="e">
        <f t="shared" si="66"/>
        <v>#N/A</v>
      </c>
      <c r="AD119" s="77" t="e">
        <f t="shared" si="67"/>
        <v>#N/A</v>
      </c>
      <c r="AE119" s="77" t="e">
        <f t="shared" si="68"/>
        <v>#N/A</v>
      </c>
      <c r="AF119" s="77" t="e">
        <f t="shared" si="69"/>
        <v>#N/A</v>
      </c>
      <c r="AG119" s="77" t="e">
        <f t="shared" si="70"/>
        <v>#N/A</v>
      </c>
      <c r="AH119" s="346"/>
      <c r="AI119" s="346"/>
      <c r="AJ119" s="346"/>
      <c r="AK119" s="346"/>
      <c r="AL119" s="346"/>
      <c r="AM119" s="345"/>
      <c r="AN119" t="s">
        <v>1563</v>
      </c>
      <c r="AO119" t="s">
        <v>1634</v>
      </c>
      <c r="AP119" t="str">
        <f t="shared" si="56"/>
        <v>DDm125-33</v>
      </c>
      <c r="AQ119">
        <f>_xlfn.XLOOKUP(A119,'SYS Allocations'!A:A,'SYS Allocations'!B:B)</f>
        <v>0</v>
      </c>
      <c r="AR119">
        <f>_xlfn.XLOOKUP(A119,'SYS Allocations'!A:A,'SYS Allocations'!C:C)</f>
        <v>0</v>
      </c>
      <c r="AS119">
        <f>_xlfn.XLOOKUP(A119,'SYS Allocations'!A:A,'SYS Allocations'!D:D)</f>
        <v>0</v>
      </c>
      <c r="AT119">
        <f>_xlfn.XLOOKUP(A119,'SYS Allocations'!A:A,'SYS Allocations'!E:E)</f>
        <v>0</v>
      </c>
      <c r="AU119">
        <f>_xlfn.XLOOKUP(A119,'SYS Allocations'!A:A,'SYS Allocations'!F:F)</f>
        <v>0</v>
      </c>
      <c r="BA119" t="str">
        <f t="shared" si="57"/>
        <v>DDm125-33</v>
      </c>
    </row>
    <row r="120" spans="1:53">
      <c r="A120" s="35" t="s">
        <v>136</v>
      </c>
      <c r="B120" s="35" t="s">
        <v>1578</v>
      </c>
      <c r="C120" s="35" t="s">
        <v>1698</v>
      </c>
      <c r="D120" s="35" t="s">
        <v>1568</v>
      </c>
      <c r="E120" s="35" t="s">
        <v>1250</v>
      </c>
      <c r="F120" s="35" t="s">
        <v>1570</v>
      </c>
      <c r="G120" s="105">
        <v>36.6</v>
      </c>
      <c r="H120" s="105">
        <v>19</v>
      </c>
      <c r="I120" s="105">
        <v>180</v>
      </c>
      <c r="J120" s="105">
        <v>9.81</v>
      </c>
      <c r="K120" s="106">
        <v>45232</v>
      </c>
      <c r="L120" s="105">
        <v>28.723680000000002</v>
      </c>
      <c r="M120" s="105">
        <v>18.913679999999999</v>
      </c>
      <c r="N120" s="105">
        <v>19.554600000000001</v>
      </c>
      <c r="O120" s="105">
        <v>9.7446000000000002</v>
      </c>
      <c r="P120" s="35" t="s">
        <v>1574</v>
      </c>
      <c r="Q120" s="35" t="s">
        <v>1581</v>
      </c>
      <c r="R120" s="35" t="s">
        <v>1773</v>
      </c>
      <c r="S120" s="105">
        <v>26.654399999999999</v>
      </c>
      <c r="T120" s="105">
        <v>16.8444</v>
      </c>
      <c r="U120" s="35" t="s">
        <v>1571</v>
      </c>
      <c r="V120" s="35" t="s">
        <v>1583</v>
      </c>
      <c r="W120" s="105">
        <v>22.5</v>
      </c>
      <c r="X120" s="105">
        <v>12.69</v>
      </c>
      <c r="Y120" s="105">
        <v>61</v>
      </c>
      <c r="Z120" s="35" t="s">
        <v>1576</v>
      </c>
      <c r="AA120">
        <f>VLOOKUP(A120,Cover!A:R,18,0)</f>
        <v>4.4000000000000004</v>
      </c>
      <c r="AB120" s="77">
        <f t="shared" si="65"/>
        <v>14.513679999999999</v>
      </c>
      <c r="AC120" s="77">
        <f t="shared" si="66"/>
        <v>5.3445999999999998</v>
      </c>
      <c r="AD120" s="77">
        <f t="shared" si="67"/>
        <v>50.528623073366639</v>
      </c>
      <c r="AE120" s="77">
        <f t="shared" si="68"/>
        <v>27.331676434189397</v>
      </c>
      <c r="AF120" s="77">
        <f t="shared" si="69"/>
        <v>12.4444</v>
      </c>
      <c r="AG120" s="77">
        <f t="shared" si="70"/>
        <v>46.687976469175823</v>
      </c>
      <c r="AH120" s="77">
        <f t="shared" si="71"/>
        <v>22.5</v>
      </c>
      <c r="AI120" s="77">
        <f t="shared" si="72"/>
        <v>9.81</v>
      </c>
      <c r="AJ120" s="77">
        <f t="shared" si="73"/>
        <v>12.69</v>
      </c>
      <c r="AK120" s="77">
        <f t="shared" si="74"/>
        <v>4.4000000000000004</v>
      </c>
      <c r="AL120" s="77">
        <f t="shared" si="75"/>
        <v>8.2899999999999991</v>
      </c>
      <c r="AM120" s="77">
        <f t="shared" si="76"/>
        <v>36.844444444444441</v>
      </c>
      <c r="AO120" t="s">
        <v>1577</v>
      </c>
      <c r="AP120" t="str">
        <f t="shared" si="56"/>
        <v>DDm125-25</v>
      </c>
      <c r="AQ120">
        <f>_xlfn.XLOOKUP(A120,'SYS Allocations'!A:A,'SYS Allocations'!B:B)</f>
        <v>0</v>
      </c>
      <c r="AR120" t="str">
        <f>_xlfn.XLOOKUP(A120,'SYS Allocations'!A:A,'SYS Allocations'!C:C)</f>
        <v>RA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57"/>
        <v>DDm125-25</v>
      </c>
    </row>
    <row r="121" spans="1:53">
      <c r="A121" s="35" t="s">
        <v>137</v>
      </c>
      <c r="B121" s="35" t="s">
        <v>1578</v>
      </c>
      <c r="C121" s="35" t="s">
        <v>1698</v>
      </c>
      <c r="D121" s="35" t="s">
        <v>1568</v>
      </c>
      <c r="E121" s="35" t="s">
        <v>1253</v>
      </c>
      <c r="F121" s="35" t="s">
        <v>1570</v>
      </c>
      <c r="G121" s="105">
        <v>36.6</v>
      </c>
      <c r="H121" s="105">
        <v>35</v>
      </c>
      <c r="I121" s="105">
        <v>606</v>
      </c>
      <c r="J121" s="105">
        <v>33.027000000000001</v>
      </c>
      <c r="K121" s="106">
        <v>45264</v>
      </c>
      <c r="L121" s="105">
        <v>54.255839999999999</v>
      </c>
      <c r="M121" s="105">
        <v>21.228840000000002</v>
      </c>
      <c r="N121" s="105">
        <v>35.119799999999998</v>
      </c>
      <c r="O121" s="105">
        <v>2.0928</v>
      </c>
      <c r="P121" s="35" t="s">
        <v>1571</v>
      </c>
      <c r="Q121" s="35" t="s">
        <v>1581</v>
      </c>
      <c r="R121" s="35" t="s">
        <v>1592</v>
      </c>
      <c r="S121" s="105">
        <v>53.330399999999997</v>
      </c>
      <c r="T121" s="105">
        <v>20.3034</v>
      </c>
      <c r="U121" s="35" t="s">
        <v>1610</v>
      </c>
      <c r="V121" s="35" t="s">
        <v>1781</v>
      </c>
      <c r="W121" s="105">
        <v>63</v>
      </c>
      <c r="X121" s="105">
        <v>29.972999999999999</v>
      </c>
      <c r="Y121" s="105">
        <v>3</v>
      </c>
      <c r="Z121" s="35" t="s">
        <v>1576</v>
      </c>
      <c r="AA121">
        <f>VLOOKUP(A121,Cover!A:R,18,0)</f>
        <v>3</v>
      </c>
      <c r="AB121" s="77">
        <f t="shared" si="65"/>
        <v>18.228840000000002</v>
      </c>
      <c r="AC121" s="77">
        <f t="shared" si="66"/>
        <v>-0.90720000000000001</v>
      </c>
      <c r="AD121" s="77">
        <f t="shared" si="67"/>
        <v>33.597931577503921</v>
      </c>
      <c r="AE121" s="77">
        <f t="shared" si="68"/>
        <v>-2.5831582184408797</v>
      </c>
      <c r="AF121" s="77">
        <f t="shared" si="69"/>
        <v>17.3034</v>
      </c>
      <c r="AG121" s="77">
        <f t="shared" si="70"/>
        <v>32.445659511273121</v>
      </c>
      <c r="AH121" s="77">
        <f t="shared" si="71"/>
        <v>63</v>
      </c>
      <c r="AI121" s="77">
        <f t="shared" si="72"/>
        <v>33.027000000000001</v>
      </c>
      <c r="AJ121" s="77">
        <f t="shared" si="73"/>
        <v>29.972999999999999</v>
      </c>
      <c r="AK121" s="77">
        <f t="shared" si="74"/>
        <v>3</v>
      </c>
      <c r="AL121" s="77">
        <f t="shared" si="75"/>
        <v>26.972999999999999</v>
      </c>
      <c r="AM121" s="77">
        <f t="shared" si="76"/>
        <v>42.81428571428571</v>
      </c>
      <c r="AO121" t="s">
        <v>1577</v>
      </c>
      <c r="AP121" t="str">
        <f t="shared" si="56"/>
        <v>DDm125-33</v>
      </c>
      <c r="AQ121">
        <f>_xlfn.XLOOKUP(A121,'SYS Allocations'!A:A,'SYS Allocations'!B:B)</f>
        <v>0</v>
      </c>
      <c r="AR121">
        <f>_xlfn.XLOOKUP(A121,'SYS Allocations'!A:A,'SYS Allocations'!C:C)</f>
        <v>0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57"/>
        <v>DDm125-33</v>
      </c>
    </row>
    <row r="122" spans="1:53">
      <c r="A122" s="35" t="s">
        <v>138</v>
      </c>
      <c r="B122" s="35" t="s">
        <v>1578</v>
      </c>
      <c r="C122" s="35" t="s">
        <v>1782</v>
      </c>
      <c r="D122" s="35" t="s">
        <v>1563</v>
      </c>
      <c r="E122" s="35" t="s">
        <v>1783</v>
      </c>
      <c r="F122" s="35" t="s">
        <v>1570</v>
      </c>
      <c r="G122" s="105">
        <v>36.6</v>
      </c>
      <c r="H122" s="105">
        <v>3</v>
      </c>
      <c r="I122" s="105">
        <v>9</v>
      </c>
      <c r="J122" s="105">
        <v>0.49049999999999999</v>
      </c>
      <c r="K122" s="106">
        <v>45264</v>
      </c>
      <c r="L122" s="105">
        <v>3.1915200000000001</v>
      </c>
      <c r="M122" s="105">
        <v>2.7010200000000002</v>
      </c>
      <c r="N122" s="105">
        <v>2.8994</v>
      </c>
      <c r="O122" s="105">
        <v>2.4089</v>
      </c>
      <c r="P122" s="35" t="s">
        <v>1574</v>
      </c>
      <c r="Q122" s="35" t="s">
        <v>1581</v>
      </c>
      <c r="R122" s="35" t="s">
        <v>1675</v>
      </c>
      <c r="S122" s="105">
        <v>1.7927999999999999</v>
      </c>
      <c r="T122" s="105">
        <v>1.3023</v>
      </c>
      <c r="U122" s="35" t="s">
        <v>1574</v>
      </c>
      <c r="V122" s="35" t="s">
        <v>1601</v>
      </c>
      <c r="W122" s="105">
        <v>5.0250000000000004</v>
      </c>
      <c r="X122" s="105">
        <v>4.5345000000000004</v>
      </c>
      <c r="Y122" s="105">
        <v>6</v>
      </c>
      <c r="Z122" s="35" t="s">
        <v>1576</v>
      </c>
      <c r="AA122">
        <f>VLOOKUP(A122,Cover!A:R,18,0)</f>
        <v>0.5</v>
      </c>
      <c r="AB122" s="77">
        <f t="shared" ref="AB122" si="103">M122-AA122</f>
        <v>2.2010200000000002</v>
      </c>
      <c r="AC122" s="77">
        <f t="shared" ref="AC122" si="104">O122-AA122</f>
        <v>1.9089</v>
      </c>
      <c r="AD122" s="77">
        <f t="shared" ref="AD122" si="105">AB122/L122%</f>
        <v>68.964631272873106</v>
      </c>
      <c r="AE122" s="77">
        <f t="shared" ref="AE122" si="106">AC122/N122%</f>
        <v>65.83775953645582</v>
      </c>
      <c r="AF122" s="77">
        <f t="shared" ref="AF122" si="107">T122-AA122</f>
        <v>0.80230000000000001</v>
      </c>
      <c r="AG122" s="77">
        <f t="shared" ref="AG122" si="108">AF122/S122%</f>
        <v>44.751227130745207</v>
      </c>
      <c r="AH122" s="77">
        <f t="shared" ref="AH122" si="109">W122</f>
        <v>5.0250000000000004</v>
      </c>
      <c r="AI122" s="77">
        <f t="shared" ref="AI122" si="110">J122</f>
        <v>0.49049999999999999</v>
      </c>
      <c r="AJ122" s="77">
        <f t="shared" ref="AJ122" si="111">AH122-AI122</f>
        <v>4.5345000000000004</v>
      </c>
      <c r="AK122" s="77">
        <f t="shared" ref="AK122" si="112">AA122</f>
        <v>0.5</v>
      </c>
      <c r="AL122" s="77">
        <f t="shared" ref="AL122" si="113">AJ122-AK122</f>
        <v>4.0345000000000004</v>
      </c>
      <c r="AM122" s="77">
        <f t="shared" ref="AM122" si="114">AL122/AH122%</f>
        <v>80.288557213930346</v>
      </c>
      <c r="AN122" s="52" t="s">
        <v>1563</v>
      </c>
      <c r="AO122" t="s">
        <v>1577</v>
      </c>
      <c r="AP122" t="str">
        <f t="shared" si="56"/>
        <v>12V101F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57"/>
        <v xml:space="preserve">12V101F </v>
      </c>
    </row>
    <row r="123" spans="1:53">
      <c r="A123" s="35" t="s">
        <v>139</v>
      </c>
      <c r="B123" s="35" t="s">
        <v>1602</v>
      </c>
      <c r="C123" s="35" t="s">
        <v>1784</v>
      </c>
      <c r="D123" s="35" t="s">
        <v>1563</v>
      </c>
      <c r="E123" s="35" t="s">
        <v>1785</v>
      </c>
      <c r="F123" s="35" t="s">
        <v>1786</v>
      </c>
      <c r="G123" s="105">
        <v>37.5</v>
      </c>
      <c r="H123" s="105">
        <v>8</v>
      </c>
      <c r="I123" s="105">
        <v>150</v>
      </c>
      <c r="J123" s="105">
        <v>8.1750000000000007</v>
      </c>
      <c r="K123" s="106">
        <v>45264</v>
      </c>
      <c r="L123" s="105">
        <v>11.445</v>
      </c>
      <c r="M123" s="105">
        <v>3.27</v>
      </c>
      <c r="N123" s="105">
        <v>10.087949673000001</v>
      </c>
      <c r="O123" s="105">
        <v>1.912949673</v>
      </c>
      <c r="P123" s="35" t="s">
        <v>1618</v>
      </c>
      <c r="Q123" s="35" t="s">
        <v>1599</v>
      </c>
      <c r="R123" s="35" t="s">
        <v>1605</v>
      </c>
      <c r="S123" s="105">
        <v>8.4240000000000297</v>
      </c>
      <c r="T123" s="105">
        <v>0.24900000000002501</v>
      </c>
      <c r="U123" s="35" t="s">
        <v>1571</v>
      </c>
      <c r="V123" s="35" t="s">
        <v>1787</v>
      </c>
      <c r="W123" s="105">
        <v>12</v>
      </c>
      <c r="X123" s="105">
        <v>3.8250000000000002</v>
      </c>
      <c r="Y123" s="105">
        <v>3</v>
      </c>
      <c r="Z123" s="35" t="s">
        <v>8</v>
      </c>
      <c r="AA123">
        <f>VLOOKUP(A123,Cover!A:R,18,0)</f>
        <v>0.5</v>
      </c>
      <c r="AB123" s="77">
        <f t="shared" si="65"/>
        <v>2.77</v>
      </c>
      <c r="AC123" s="77">
        <f t="shared" si="66"/>
        <v>1.412949673</v>
      </c>
      <c r="AD123" s="77">
        <f t="shared" si="67"/>
        <v>24.202708606378334</v>
      </c>
      <c r="AE123" s="77">
        <f t="shared" si="68"/>
        <v>14.006311676808856</v>
      </c>
      <c r="AF123" s="77">
        <f t="shared" si="69"/>
        <v>-0.25099999999997502</v>
      </c>
      <c r="AG123" s="77">
        <f t="shared" si="70"/>
        <v>-2.9795821462485059</v>
      </c>
      <c r="AH123" s="77">
        <f t="shared" si="71"/>
        <v>12</v>
      </c>
      <c r="AI123" s="77">
        <f t="shared" si="72"/>
        <v>8.1750000000000007</v>
      </c>
      <c r="AJ123" s="77">
        <f t="shared" si="73"/>
        <v>3.8249999999999993</v>
      </c>
      <c r="AK123" s="77">
        <f t="shared" si="74"/>
        <v>0.5</v>
      </c>
      <c r="AL123" s="77">
        <f t="shared" si="75"/>
        <v>3.3249999999999993</v>
      </c>
      <c r="AM123" s="77">
        <f t="shared" si="76"/>
        <v>27.708333333333329</v>
      </c>
      <c r="AN123" s="52" t="s">
        <v>1563</v>
      </c>
      <c r="AO123" t="s">
        <v>1577</v>
      </c>
      <c r="AP123" t="str">
        <f t="shared" si="56"/>
        <v>12V155F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57"/>
        <v>12V155F</v>
      </c>
    </row>
    <row r="124" spans="1:53">
      <c r="A124" s="35" t="s">
        <v>140</v>
      </c>
      <c r="B124" s="35" t="s">
        <v>1629</v>
      </c>
      <c r="C124" s="35" t="s">
        <v>1788</v>
      </c>
      <c r="D124" s="35" t="s">
        <v>1568</v>
      </c>
      <c r="E124" s="35" t="s">
        <v>1277</v>
      </c>
      <c r="F124" s="35" t="s">
        <v>1570</v>
      </c>
      <c r="G124" s="105">
        <v>36.6</v>
      </c>
      <c r="H124" s="105">
        <v>19</v>
      </c>
      <c r="I124" s="105">
        <v>252</v>
      </c>
      <c r="J124" s="105">
        <v>13.734</v>
      </c>
      <c r="K124" s="106">
        <v>45111</v>
      </c>
      <c r="L124" s="105">
        <v>28.723680000000002</v>
      </c>
      <c r="M124" s="105">
        <v>14.98968</v>
      </c>
      <c r="N124" s="105">
        <v>17.83785</v>
      </c>
      <c r="O124" s="105">
        <v>4.1038500000000004</v>
      </c>
      <c r="P124" s="35" t="s">
        <v>1571</v>
      </c>
      <c r="Q124" s="35" t="s">
        <v>1581</v>
      </c>
      <c r="R124" s="35" t="s">
        <v>1789</v>
      </c>
      <c r="S124" s="105">
        <v>28.187999999999999</v>
      </c>
      <c r="T124" s="105">
        <v>14.454000000000001</v>
      </c>
      <c r="U124" s="35" t="s">
        <v>1618</v>
      </c>
      <c r="V124" s="35" t="s">
        <v>1583</v>
      </c>
      <c r="W124" s="105">
        <v>22.5</v>
      </c>
      <c r="X124" s="105">
        <v>8.766</v>
      </c>
      <c r="Y124" s="105">
        <v>16</v>
      </c>
      <c r="Z124" s="35" t="s">
        <v>1576</v>
      </c>
      <c r="AA124">
        <f>VLOOKUP(A124,Cover!A:R,18,0)</f>
        <v>2</v>
      </c>
      <c r="AB124" s="77">
        <f t="shared" si="65"/>
        <v>12.98968</v>
      </c>
      <c r="AC124" s="77">
        <f t="shared" si="66"/>
        <v>2.1038500000000004</v>
      </c>
      <c r="AD124" s="77">
        <f t="shared" si="67"/>
        <v>45.222896230566555</v>
      </c>
      <c r="AE124" s="77">
        <f t="shared" si="68"/>
        <v>11.794302564490678</v>
      </c>
      <c r="AF124" s="77">
        <f t="shared" si="69"/>
        <v>12.454000000000001</v>
      </c>
      <c r="AG124" s="77">
        <f t="shared" si="70"/>
        <v>44.181921384986524</v>
      </c>
      <c r="AH124" s="77">
        <f t="shared" si="71"/>
        <v>22.5</v>
      </c>
      <c r="AI124" s="77">
        <f t="shared" si="72"/>
        <v>13.734</v>
      </c>
      <c r="AJ124" s="77">
        <f t="shared" si="73"/>
        <v>8.766</v>
      </c>
      <c r="AK124" s="77">
        <f t="shared" si="74"/>
        <v>2</v>
      </c>
      <c r="AL124" s="77">
        <f t="shared" si="75"/>
        <v>6.766</v>
      </c>
      <c r="AM124" s="77">
        <f t="shared" si="76"/>
        <v>30.071111111111112</v>
      </c>
      <c r="AO124" t="s">
        <v>1577</v>
      </c>
      <c r="AP124" t="str">
        <f t="shared" si="56"/>
        <v>DDm85-27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57"/>
        <v>DDm85-27</v>
      </c>
    </row>
    <row r="125" spans="1:53">
      <c r="A125" s="35" t="s">
        <v>141</v>
      </c>
      <c r="B125" s="35" t="s">
        <v>1590</v>
      </c>
      <c r="C125" s="35" t="s">
        <v>1790</v>
      </c>
      <c r="D125" s="35" t="s">
        <v>1568</v>
      </c>
      <c r="E125" s="35" t="s">
        <v>1791</v>
      </c>
      <c r="F125" s="35" t="s">
        <v>1570</v>
      </c>
      <c r="G125" s="105">
        <v>36.6</v>
      </c>
      <c r="H125" s="105">
        <v>8</v>
      </c>
      <c r="I125" s="105">
        <v>112</v>
      </c>
      <c r="J125" s="105">
        <v>6.1040000000000001</v>
      </c>
      <c r="K125" s="106">
        <v>45264</v>
      </c>
      <c r="L125" s="105">
        <v>11.17032</v>
      </c>
      <c r="M125" s="105">
        <v>5.0663200000000002</v>
      </c>
      <c r="N125" s="105">
        <v>6.9869000000000003</v>
      </c>
      <c r="O125" s="105">
        <v>0.88290000000000002</v>
      </c>
      <c r="P125" s="35" t="s">
        <v>1787</v>
      </c>
      <c r="Q125" s="35" t="s">
        <v>1599</v>
      </c>
      <c r="R125" s="35" t="s">
        <v>1679</v>
      </c>
      <c r="S125" s="105">
        <v>15.621119999999999</v>
      </c>
      <c r="T125" s="105">
        <v>9.5171200000000304</v>
      </c>
      <c r="U125" s="35" t="s">
        <v>1574</v>
      </c>
      <c r="V125" s="35" t="s">
        <v>1619</v>
      </c>
      <c r="W125" s="105">
        <v>48.75</v>
      </c>
      <c r="X125" s="105">
        <v>42.646000000000001</v>
      </c>
      <c r="Y125" s="105">
        <v>12</v>
      </c>
      <c r="Z125" s="35" t="s">
        <v>1576</v>
      </c>
      <c r="AA125">
        <f>VLOOKUP(A125,Cover!A:R,18,0)</f>
        <v>0</v>
      </c>
      <c r="AB125" s="77">
        <f t="shared" si="65"/>
        <v>5.0663200000000002</v>
      </c>
      <c r="AC125" s="77">
        <f t="shared" si="66"/>
        <v>0.88290000000000002</v>
      </c>
      <c r="AD125" s="77">
        <f t="shared" si="67"/>
        <v>45.355191256830601</v>
      </c>
      <c r="AE125" s="77">
        <f t="shared" si="68"/>
        <v>12.636505460218409</v>
      </c>
      <c r="AF125" s="77">
        <f t="shared" si="69"/>
        <v>9.5171200000000304</v>
      </c>
      <c r="AG125" s="77">
        <f t="shared" si="70"/>
        <v>60.924696820714715</v>
      </c>
      <c r="AH125" s="77">
        <f t="shared" si="71"/>
        <v>48.75</v>
      </c>
      <c r="AI125" s="77">
        <f t="shared" si="72"/>
        <v>6.1040000000000001</v>
      </c>
      <c r="AJ125" s="77">
        <f t="shared" si="73"/>
        <v>42.646000000000001</v>
      </c>
      <c r="AK125" s="77">
        <f t="shared" si="74"/>
        <v>0</v>
      </c>
      <c r="AL125" s="77">
        <f t="shared" si="75"/>
        <v>42.646000000000001</v>
      </c>
      <c r="AM125" s="77">
        <f t="shared" si="76"/>
        <v>87.478974358974369</v>
      </c>
      <c r="AO125" t="s">
        <v>1577</v>
      </c>
      <c r="AP125" t="str">
        <f t="shared" si="56"/>
        <v>12V100F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57"/>
        <v>12V100F</v>
      </c>
    </row>
    <row r="126" spans="1:53">
      <c r="A126" s="35" t="s">
        <v>142</v>
      </c>
      <c r="B126" s="35" t="s">
        <v>1590</v>
      </c>
      <c r="C126" s="35" t="s">
        <v>1790</v>
      </c>
      <c r="D126" s="35" t="s">
        <v>1568</v>
      </c>
      <c r="E126" s="35" t="s">
        <v>1792</v>
      </c>
      <c r="F126" s="35" t="s">
        <v>1570</v>
      </c>
      <c r="G126" s="105">
        <v>36.6</v>
      </c>
      <c r="H126" s="105">
        <v>8</v>
      </c>
      <c r="I126" s="105">
        <v>110</v>
      </c>
      <c r="J126" s="105">
        <v>5.9950000000000001</v>
      </c>
      <c r="K126" s="106">
        <v>45232</v>
      </c>
      <c r="L126" s="105">
        <v>11.17032</v>
      </c>
      <c r="M126" s="105">
        <v>5.1753200000000001</v>
      </c>
      <c r="N126" s="105">
        <v>6.9869000000000003</v>
      </c>
      <c r="O126" s="105">
        <v>0.9919</v>
      </c>
      <c r="P126" s="35" t="s">
        <v>1787</v>
      </c>
      <c r="Q126" s="35" t="s">
        <v>1599</v>
      </c>
      <c r="R126" s="35" t="s">
        <v>1679</v>
      </c>
      <c r="S126" s="105">
        <v>15.621119999999999</v>
      </c>
      <c r="T126" s="105">
        <v>9.6261200000000304</v>
      </c>
      <c r="U126" s="35" t="s">
        <v>1574</v>
      </c>
      <c r="V126" s="35" t="s">
        <v>1619</v>
      </c>
      <c r="W126" s="105">
        <v>48.75</v>
      </c>
      <c r="X126" s="105">
        <v>42.755000000000003</v>
      </c>
      <c r="Y126" s="105">
        <v>4</v>
      </c>
      <c r="Z126" s="35" t="s">
        <v>1576</v>
      </c>
      <c r="AA126">
        <f>VLOOKUP(A126,Cover!A:R,18,0)</f>
        <v>0</v>
      </c>
      <c r="AB126" s="77">
        <f t="shared" si="65"/>
        <v>5.1753200000000001</v>
      </c>
      <c r="AC126" s="77">
        <f t="shared" si="66"/>
        <v>0.9919</v>
      </c>
      <c r="AD126" s="77">
        <f t="shared" si="67"/>
        <v>46.330991412958625</v>
      </c>
      <c r="AE126" s="77">
        <f t="shared" si="68"/>
        <v>14.196567862714508</v>
      </c>
      <c r="AF126" s="77">
        <f t="shared" si="69"/>
        <v>9.6261200000000304</v>
      </c>
      <c r="AG126" s="77">
        <f t="shared" si="70"/>
        <v>61.622470091773387</v>
      </c>
      <c r="AH126" s="77">
        <f t="shared" si="71"/>
        <v>48.75</v>
      </c>
      <c r="AI126" s="77">
        <f t="shared" si="72"/>
        <v>5.9950000000000001</v>
      </c>
      <c r="AJ126" s="77">
        <f t="shared" si="73"/>
        <v>42.755000000000003</v>
      </c>
      <c r="AK126" s="77">
        <f t="shared" si="74"/>
        <v>0</v>
      </c>
      <c r="AL126" s="77">
        <f t="shared" si="75"/>
        <v>42.755000000000003</v>
      </c>
      <c r="AM126" s="77">
        <f t="shared" si="76"/>
        <v>87.702564102564111</v>
      </c>
      <c r="AO126" t="s">
        <v>1577</v>
      </c>
      <c r="AP126" t="str">
        <f t="shared" si="56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57"/>
        <v>12V100F</v>
      </c>
    </row>
    <row r="127" spans="1:53">
      <c r="A127" s="35" t="s">
        <v>143</v>
      </c>
      <c r="B127" s="35" t="s">
        <v>1566</v>
      </c>
      <c r="C127" s="35" t="s">
        <v>1793</v>
      </c>
      <c r="D127" s="35" t="s">
        <v>1568</v>
      </c>
      <c r="E127" s="35" t="s">
        <v>1274</v>
      </c>
      <c r="F127" s="35" t="s">
        <v>1570</v>
      </c>
      <c r="G127" s="105">
        <v>36.6</v>
      </c>
      <c r="H127" s="105">
        <v>17</v>
      </c>
      <c r="I127" s="105">
        <v>199</v>
      </c>
      <c r="J127" s="105">
        <v>10.845499999999999</v>
      </c>
      <c r="K127" s="106">
        <v>44880</v>
      </c>
      <c r="L127" s="105">
        <v>25.532160000000001</v>
      </c>
      <c r="M127" s="105">
        <v>14.68666</v>
      </c>
      <c r="N127" s="105">
        <v>22.650200000000002</v>
      </c>
      <c r="O127" s="105">
        <v>11.8047</v>
      </c>
      <c r="P127" s="35" t="s">
        <v>1574</v>
      </c>
      <c r="Q127" s="35" t="s">
        <v>1581</v>
      </c>
      <c r="R127" s="35" t="s">
        <v>1763</v>
      </c>
      <c r="S127" s="105">
        <v>14.428800000000001</v>
      </c>
      <c r="T127" s="105">
        <v>3.5832999999999999</v>
      </c>
      <c r="U127" s="35" t="s">
        <v>1586</v>
      </c>
      <c r="V127" s="35" t="s">
        <v>1652</v>
      </c>
      <c r="W127" s="105">
        <v>67.5</v>
      </c>
      <c r="X127" s="105">
        <v>56.654499999999999</v>
      </c>
      <c r="Y127" s="105">
        <v>38</v>
      </c>
      <c r="Z127" s="35" t="s">
        <v>1576</v>
      </c>
      <c r="AA127">
        <f>VLOOKUP(A127,Cover!A:R,18,0)</f>
        <v>1</v>
      </c>
      <c r="AB127" s="77">
        <f t="shared" si="65"/>
        <v>13.68666</v>
      </c>
      <c r="AC127" s="77">
        <f t="shared" si="66"/>
        <v>10.8047</v>
      </c>
      <c r="AD127" s="77">
        <f t="shared" si="67"/>
        <v>53.605570386524278</v>
      </c>
      <c r="AE127" s="77">
        <f t="shared" si="68"/>
        <v>47.702448543500722</v>
      </c>
      <c r="AF127" s="77">
        <f t="shared" si="69"/>
        <v>2.5832999999999999</v>
      </c>
      <c r="AG127" s="77">
        <f t="shared" si="70"/>
        <v>17.903775781769792</v>
      </c>
      <c r="AH127" s="77">
        <f t="shared" si="71"/>
        <v>67.5</v>
      </c>
      <c r="AI127" s="77">
        <f t="shared" si="72"/>
        <v>10.845499999999999</v>
      </c>
      <c r="AJ127" s="77">
        <f t="shared" si="73"/>
        <v>56.654499999999999</v>
      </c>
      <c r="AK127" s="77">
        <f t="shared" si="74"/>
        <v>1</v>
      </c>
      <c r="AL127" s="77">
        <f t="shared" si="75"/>
        <v>55.654499999999999</v>
      </c>
      <c r="AM127" s="77">
        <f t="shared" si="76"/>
        <v>82.451111111111103</v>
      </c>
      <c r="AO127" t="s">
        <v>1577</v>
      </c>
      <c r="AP127" t="str">
        <f t="shared" si="56"/>
        <v>DDm85-21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57"/>
        <v>DDm85-21</v>
      </c>
    </row>
    <row r="128" spans="1:53">
      <c r="A128" s="35" t="s">
        <v>144</v>
      </c>
      <c r="B128" s="35" t="s">
        <v>1590</v>
      </c>
      <c r="C128" s="35" t="s">
        <v>1794</v>
      </c>
      <c r="D128" s="35" t="s">
        <v>1568</v>
      </c>
      <c r="E128" s="35" t="s">
        <v>848</v>
      </c>
      <c r="F128" s="35" t="s">
        <v>1570</v>
      </c>
      <c r="G128" s="105">
        <v>36.6</v>
      </c>
      <c r="H128" s="105">
        <v>41</v>
      </c>
      <c r="I128" s="105">
        <v>650</v>
      </c>
      <c r="J128" s="105">
        <v>35.424999999999997</v>
      </c>
      <c r="K128" s="106">
        <v>44062</v>
      </c>
      <c r="L128" s="105">
        <v>63.830399999999997</v>
      </c>
      <c r="M128" s="105">
        <v>28.4054</v>
      </c>
      <c r="N128" s="105">
        <v>47.088000000000001</v>
      </c>
      <c r="O128" s="105">
        <v>11.663</v>
      </c>
      <c r="P128" s="35" t="s">
        <v>1571</v>
      </c>
      <c r="Q128" s="35" t="s">
        <v>1581</v>
      </c>
      <c r="R128" s="35" t="s">
        <v>1592</v>
      </c>
      <c r="S128" s="105">
        <v>53.330399999999997</v>
      </c>
      <c r="T128" s="105">
        <v>17.9054</v>
      </c>
      <c r="U128" s="35" t="s">
        <v>1586</v>
      </c>
      <c r="V128" s="35" t="s">
        <v>1652</v>
      </c>
      <c r="W128" s="105">
        <v>67.5</v>
      </c>
      <c r="X128" s="105">
        <v>32.075000000000003</v>
      </c>
      <c r="Y128" s="105">
        <v>235</v>
      </c>
      <c r="Z128" s="35" t="s">
        <v>1576</v>
      </c>
      <c r="AA128">
        <f>VLOOKUP(A128,Cover!A:R,18,0)</f>
        <v>5.9</v>
      </c>
      <c r="AB128" s="77">
        <f t="shared" si="65"/>
        <v>22.505400000000002</v>
      </c>
      <c r="AC128" s="77">
        <f t="shared" si="66"/>
        <v>5.7629999999999999</v>
      </c>
      <c r="AD128" s="77">
        <f t="shared" si="67"/>
        <v>35.258121522033392</v>
      </c>
      <c r="AE128" s="77">
        <f t="shared" si="68"/>
        <v>12.238786952089704</v>
      </c>
      <c r="AF128" s="77">
        <f t="shared" si="69"/>
        <v>12.0054</v>
      </c>
      <c r="AG128" s="77">
        <f t="shared" si="70"/>
        <v>22.511363124971872</v>
      </c>
      <c r="AH128" s="77">
        <f t="shared" si="71"/>
        <v>67.5</v>
      </c>
      <c r="AI128" s="77">
        <f t="shared" si="72"/>
        <v>35.424999999999997</v>
      </c>
      <c r="AJ128" s="77">
        <f t="shared" si="73"/>
        <v>32.075000000000003</v>
      </c>
      <c r="AK128" s="77">
        <f t="shared" si="74"/>
        <v>5.9</v>
      </c>
      <c r="AL128" s="77">
        <f t="shared" si="75"/>
        <v>26.175000000000004</v>
      </c>
      <c r="AM128" s="77">
        <f t="shared" si="76"/>
        <v>38.777777777777779</v>
      </c>
      <c r="AO128" t="s">
        <v>1577</v>
      </c>
      <c r="AP128" t="str">
        <f t="shared" si="56"/>
        <v>DDm125-33</v>
      </c>
      <c r="AQ128">
        <f>_xlfn.XLOOKUP(A128,'SYS Allocations'!A:A,'SYS Allocations'!B:B)</f>
        <v>0</v>
      </c>
      <c r="AR128" t="str">
        <f>_xlfn.XLOOKUP(A128,'SYS Allocations'!A:A,'SYS Allocations'!C:C)</f>
        <v>RA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57"/>
        <v>DDm125-33</v>
      </c>
    </row>
    <row r="129" spans="1:53">
      <c r="A129" s="35" t="s">
        <v>145</v>
      </c>
      <c r="B129" s="35" t="s">
        <v>1636</v>
      </c>
      <c r="C129" s="35" t="s">
        <v>1795</v>
      </c>
      <c r="D129" s="35" t="s">
        <v>1568</v>
      </c>
      <c r="E129" s="35" t="s">
        <v>1796</v>
      </c>
      <c r="F129" s="35" t="s">
        <v>1580</v>
      </c>
      <c r="G129" s="105">
        <v>75</v>
      </c>
      <c r="H129" s="105">
        <v>5</v>
      </c>
      <c r="I129" s="105">
        <v>90</v>
      </c>
      <c r="J129" s="105">
        <v>4.9050000000000002</v>
      </c>
      <c r="K129" s="106">
        <v>44652.541666666701</v>
      </c>
      <c r="L129" s="105">
        <v>13.08</v>
      </c>
      <c r="M129" s="105">
        <v>8.1750000000000007</v>
      </c>
      <c r="N129" s="105">
        <v>9.8644999999999996</v>
      </c>
      <c r="O129" s="105">
        <v>4.9595000000000002</v>
      </c>
      <c r="P129" s="35" t="s">
        <v>1574</v>
      </c>
      <c r="Q129" s="35" t="s">
        <v>1581</v>
      </c>
      <c r="R129" s="35" t="s">
        <v>1609</v>
      </c>
      <c r="S129" s="105">
        <v>10.1088</v>
      </c>
      <c r="T129" s="105">
        <v>5.2037999999999798</v>
      </c>
      <c r="U129" s="35" t="s">
        <v>1574</v>
      </c>
      <c r="V129" s="35" t="s">
        <v>1663</v>
      </c>
      <c r="W129" s="105">
        <v>9</v>
      </c>
      <c r="X129" s="105">
        <v>4.0949999999999998</v>
      </c>
      <c r="Y129" s="105">
        <v>4</v>
      </c>
      <c r="Z129" s="35" t="s">
        <v>1576</v>
      </c>
      <c r="AA129">
        <f>VLOOKUP(A129,Cover!A:R,18,0)</f>
        <v>1</v>
      </c>
      <c r="AB129" s="77">
        <f t="shared" si="65"/>
        <v>7.1750000000000007</v>
      </c>
      <c r="AC129" s="77">
        <f t="shared" si="66"/>
        <v>3.9595000000000002</v>
      </c>
      <c r="AD129" s="77">
        <f t="shared" si="67"/>
        <v>54.854740061162083</v>
      </c>
      <c r="AE129" s="77">
        <f t="shared" si="68"/>
        <v>40.138881849054698</v>
      </c>
      <c r="AF129" s="77">
        <f t="shared" si="69"/>
        <v>4.2037999999999798</v>
      </c>
      <c r="AG129" s="77">
        <f t="shared" si="70"/>
        <v>41.585549224437912</v>
      </c>
      <c r="AH129" s="77">
        <f t="shared" si="71"/>
        <v>9</v>
      </c>
      <c r="AI129" s="77">
        <f t="shared" si="72"/>
        <v>4.9050000000000002</v>
      </c>
      <c r="AJ129" s="77">
        <f t="shared" si="73"/>
        <v>4.0949999999999998</v>
      </c>
      <c r="AK129" s="77">
        <f t="shared" si="74"/>
        <v>1</v>
      </c>
      <c r="AL129" s="77">
        <f t="shared" si="75"/>
        <v>3.0949999999999998</v>
      </c>
      <c r="AM129" s="77">
        <f t="shared" si="76"/>
        <v>34.388888888888886</v>
      </c>
      <c r="AO129" t="s">
        <v>1577</v>
      </c>
      <c r="AP129" t="str">
        <f t="shared" si="56"/>
        <v>2DDm85-15</v>
      </c>
      <c r="AQ129">
        <f>_xlfn.XLOOKUP(A129,'SYS Allocations'!A:A,'SYS Allocations'!B:B)</f>
        <v>0</v>
      </c>
      <c r="AR129">
        <f>_xlfn.XLOOKUP(A129,'SYS Allocations'!A:A,'SYS Allocations'!C:C)</f>
        <v>0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57"/>
        <v>2DDm85-15</v>
      </c>
    </row>
    <row r="130" spans="1:53">
      <c r="A130" s="35" t="s">
        <v>146</v>
      </c>
      <c r="B130" s="35" t="s">
        <v>1590</v>
      </c>
      <c r="C130" s="35" t="s">
        <v>1590</v>
      </c>
      <c r="D130" s="35" t="s">
        <v>1563</v>
      </c>
      <c r="E130" s="35" t="s">
        <v>859</v>
      </c>
      <c r="F130" s="35" t="s">
        <v>1570</v>
      </c>
      <c r="G130" s="105">
        <v>36.6</v>
      </c>
      <c r="H130" s="105">
        <v>26</v>
      </c>
      <c r="I130" s="105">
        <v>646</v>
      </c>
      <c r="J130" s="105">
        <v>35.207000000000001</v>
      </c>
      <c r="K130" s="106">
        <v>45264</v>
      </c>
      <c r="L130" s="105">
        <v>39.893999999999998</v>
      </c>
      <c r="M130" s="105">
        <v>4.6870000000000003</v>
      </c>
      <c r="N130" s="105">
        <v>28.067499999999999</v>
      </c>
      <c r="O130" s="107">
        <v>-7.1395</v>
      </c>
      <c r="P130" s="35" t="s">
        <v>1574</v>
      </c>
      <c r="Q130" s="35" t="s">
        <v>1581</v>
      </c>
      <c r="R130" s="35" t="s">
        <v>1592</v>
      </c>
      <c r="S130" s="105">
        <v>35.553600000000003</v>
      </c>
      <c r="T130" s="105">
        <v>0.34660000000000202</v>
      </c>
      <c r="U130" s="35" t="s">
        <v>1571</v>
      </c>
      <c r="V130" s="35" t="s">
        <v>1797</v>
      </c>
      <c r="W130" s="105">
        <v>73.5</v>
      </c>
      <c r="X130" s="105">
        <v>38.292999999999999</v>
      </c>
      <c r="Y130" s="105">
        <v>119</v>
      </c>
      <c r="Z130" s="35" t="s">
        <v>1798</v>
      </c>
      <c r="AA130">
        <f>VLOOKUP(A130,Cover!A:R,18,0)</f>
        <v>4.4000000000000004</v>
      </c>
      <c r="AB130" s="77">
        <f t="shared" si="65"/>
        <v>0.28699999999999992</v>
      </c>
      <c r="AC130" s="77">
        <f t="shared" si="66"/>
        <v>-11.5395</v>
      </c>
      <c r="AD130" s="77">
        <f t="shared" si="67"/>
        <v>0.71940642703163371</v>
      </c>
      <c r="AE130" s="77">
        <f t="shared" si="68"/>
        <v>-41.11338736973368</v>
      </c>
      <c r="AF130" s="77">
        <f t="shared" si="69"/>
        <v>-4.0533999999999981</v>
      </c>
      <c r="AG130" s="77">
        <f t="shared" si="70"/>
        <v>-11.400814544799958</v>
      </c>
      <c r="AH130" s="77">
        <f t="shared" si="71"/>
        <v>73.5</v>
      </c>
      <c r="AI130" s="77">
        <f t="shared" si="72"/>
        <v>35.207000000000001</v>
      </c>
      <c r="AJ130" s="77">
        <f t="shared" si="73"/>
        <v>38.292999999999999</v>
      </c>
      <c r="AK130" s="77">
        <f t="shared" si="74"/>
        <v>4.4000000000000004</v>
      </c>
      <c r="AL130" s="77">
        <f t="shared" si="75"/>
        <v>33.893000000000001</v>
      </c>
      <c r="AM130" s="77">
        <f t="shared" si="76"/>
        <v>46.112925170068031</v>
      </c>
      <c r="AN130" s="52" t="s">
        <v>1563</v>
      </c>
      <c r="AO130" t="s">
        <v>1577</v>
      </c>
      <c r="AP130" t="str">
        <f t="shared" si="56"/>
        <v>DDm125-33</v>
      </c>
      <c r="AQ130">
        <f>_xlfn.XLOOKUP(A130,'SYS Allocations'!A:A,'SYS Allocations'!B:B)</f>
        <v>0</v>
      </c>
      <c r="AR130" t="str">
        <f>_xlfn.XLOOKUP(A130,'SYS Allocations'!A:A,'SYS Allocations'!C:C)</f>
        <v>RA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57"/>
        <v>DDm125-33</v>
      </c>
    </row>
    <row r="131" spans="1:53">
      <c r="A131" s="35" t="s">
        <v>147</v>
      </c>
      <c r="B131" s="35" t="s">
        <v>1578</v>
      </c>
      <c r="C131" s="35" t="s">
        <v>1799</v>
      </c>
      <c r="D131" s="35" t="s">
        <v>1568</v>
      </c>
      <c r="E131" s="35" t="s">
        <v>1257</v>
      </c>
      <c r="F131" s="35" t="s">
        <v>1570</v>
      </c>
      <c r="G131" s="105">
        <v>36.6</v>
      </c>
      <c r="H131" s="105">
        <v>9</v>
      </c>
      <c r="I131" s="105">
        <v>127</v>
      </c>
      <c r="J131" s="105">
        <v>6.9215</v>
      </c>
      <c r="K131" s="106">
        <v>45264</v>
      </c>
      <c r="L131" s="105">
        <v>12.766080000000001</v>
      </c>
      <c r="M131" s="105">
        <v>5.8445799999999997</v>
      </c>
      <c r="N131" s="105">
        <v>9.4720999999999993</v>
      </c>
      <c r="O131" s="105">
        <v>2.5506000000000002</v>
      </c>
      <c r="P131" s="35" t="s">
        <v>1574</v>
      </c>
      <c r="Q131" s="35" t="s">
        <v>1581</v>
      </c>
      <c r="R131" s="35" t="s">
        <v>1609</v>
      </c>
      <c r="S131" s="105">
        <v>10.1088</v>
      </c>
      <c r="T131" s="105">
        <v>3.18729999999998</v>
      </c>
      <c r="U131" s="35" t="s">
        <v>1574</v>
      </c>
      <c r="V131" s="35" t="s">
        <v>1673</v>
      </c>
      <c r="W131" s="105">
        <v>11.25</v>
      </c>
      <c r="X131" s="105">
        <v>4.3285</v>
      </c>
      <c r="Y131" s="105">
        <v>29</v>
      </c>
      <c r="Z131" s="35" t="s">
        <v>1576</v>
      </c>
      <c r="AA131">
        <f>VLOOKUP(A131,Cover!A:R,18,0)</f>
        <v>6.4</v>
      </c>
      <c r="AB131" s="77">
        <f t="shared" si="65"/>
        <v>-0.55542000000000069</v>
      </c>
      <c r="AC131" s="77">
        <f t="shared" si="66"/>
        <v>-3.8494000000000002</v>
      </c>
      <c r="AD131" s="77">
        <f t="shared" si="67"/>
        <v>-4.3507482328169695</v>
      </c>
      <c r="AE131" s="77">
        <f t="shared" si="68"/>
        <v>-40.639351358199342</v>
      </c>
      <c r="AF131" s="77">
        <f t="shared" si="69"/>
        <v>-3.2127000000000203</v>
      </c>
      <c r="AG131" s="77">
        <f t="shared" si="70"/>
        <v>-31.781220322887187</v>
      </c>
      <c r="AH131" s="77">
        <f t="shared" si="71"/>
        <v>11.25</v>
      </c>
      <c r="AI131" s="77">
        <f t="shared" si="72"/>
        <v>6.9215</v>
      </c>
      <c r="AJ131" s="77">
        <f t="shared" si="73"/>
        <v>4.3285</v>
      </c>
      <c r="AK131" s="77">
        <f t="shared" si="74"/>
        <v>6.4</v>
      </c>
      <c r="AL131" s="77">
        <f t="shared" si="75"/>
        <v>-2.0715000000000003</v>
      </c>
      <c r="AM131" s="77">
        <f t="shared" si="76"/>
        <v>-18.413333333333338</v>
      </c>
      <c r="AO131" t="s">
        <v>1577</v>
      </c>
      <c r="AP131" t="str">
        <f t="shared" si="56"/>
        <v>2DDm85-15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57"/>
        <v>2DDm85-15</v>
      </c>
    </row>
    <row r="132" spans="1:53">
      <c r="A132" s="35" t="s">
        <v>148</v>
      </c>
      <c r="B132" s="35" t="s">
        <v>1578</v>
      </c>
      <c r="C132" s="35" t="s">
        <v>1799</v>
      </c>
      <c r="D132" s="35" t="s">
        <v>1563</v>
      </c>
      <c r="E132" s="35" t="s">
        <v>1800</v>
      </c>
      <c r="F132" s="35" t="s">
        <v>1570</v>
      </c>
      <c r="G132" s="105">
        <v>36.6</v>
      </c>
      <c r="H132" s="105">
        <v>9</v>
      </c>
      <c r="I132" s="105">
        <v>113</v>
      </c>
      <c r="J132" s="105">
        <v>6.1585000000000001</v>
      </c>
      <c r="K132" s="106">
        <v>45264</v>
      </c>
      <c r="L132" s="105">
        <v>12.766080000000001</v>
      </c>
      <c r="M132" s="105">
        <v>6.6075799999999996</v>
      </c>
      <c r="N132" s="105">
        <v>10.333199563999999</v>
      </c>
      <c r="O132" s="105">
        <v>4.174699564</v>
      </c>
      <c r="P132" s="35" t="s">
        <v>1591</v>
      </c>
      <c r="Q132" s="35" t="s">
        <v>1599</v>
      </c>
      <c r="R132" s="35" t="s">
        <v>1605</v>
      </c>
      <c r="S132" s="105">
        <v>11.231999999999999</v>
      </c>
      <c r="T132" s="105">
        <v>5.0735000000000001</v>
      </c>
      <c r="U132" s="35" t="s">
        <v>1574</v>
      </c>
      <c r="V132" s="35" t="s">
        <v>1722</v>
      </c>
      <c r="W132" s="105">
        <v>10.5</v>
      </c>
      <c r="X132" s="105">
        <v>4.3414999999999999</v>
      </c>
      <c r="Y132" s="105">
        <v>1</v>
      </c>
      <c r="Z132" s="35" t="s">
        <v>1801</v>
      </c>
      <c r="AA132">
        <f>VLOOKUP(A132,Cover!A:R,18,0)</f>
        <v>4</v>
      </c>
      <c r="AB132" s="77">
        <f t="shared" si="65"/>
        <v>2.6075799999999996</v>
      </c>
      <c r="AC132" s="77">
        <f t="shared" si="66"/>
        <v>0.17469956399999997</v>
      </c>
      <c r="AD132" s="77">
        <f t="shared" si="67"/>
        <v>20.425847245199773</v>
      </c>
      <c r="AE132" s="77">
        <f t="shared" si="68"/>
        <v>1.6906628282747833</v>
      </c>
      <c r="AF132" s="77">
        <f t="shared" si="69"/>
        <v>1.0735000000000001</v>
      </c>
      <c r="AG132" s="77">
        <f t="shared" si="70"/>
        <v>9.5575142450142465</v>
      </c>
      <c r="AH132" s="77">
        <f t="shared" si="71"/>
        <v>10.5</v>
      </c>
      <c r="AI132" s="77">
        <f t="shared" si="72"/>
        <v>6.1585000000000001</v>
      </c>
      <c r="AJ132" s="77">
        <f t="shared" si="73"/>
        <v>4.3414999999999999</v>
      </c>
      <c r="AK132" s="77">
        <f t="shared" si="74"/>
        <v>4</v>
      </c>
      <c r="AL132" s="77">
        <f t="shared" si="75"/>
        <v>0.34149999999999991</v>
      </c>
      <c r="AM132" s="77">
        <f t="shared" si="76"/>
        <v>3.2523809523809515</v>
      </c>
      <c r="AN132" s="52" t="s">
        <v>1563</v>
      </c>
      <c r="AO132" t="s">
        <v>1577</v>
      </c>
      <c r="AP132" t="str">
        <f t="shared" si="56"/>
        <v>12V155F</v>
      </c>
      <c r="AQ132">
        <f>_xlfn.XLOOKUP(A132,'SYS Allocations'!A:A,'SYS Allocations'!B:B)</f>
        <v>0</v>
      </c>
      <c r="AR132">
        <f>_xlfn.XLOOKUP(A132,'SYS Allocations'!A:A,'SYS Allocations'!C:C)</f>
        <v>0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57"/>
        <v>12V155F</v>
      </c>
    </row>
    <row r="133" spans="1:53">
      <c r="A133" s="35" t="s">
        <v>149</v>
      </c>
      <c r="B133" s="35" t="s">
        <v>1590</v>
      </c>
      <c r="C133" s="35" t="s">
        <v>1590</v>
      </c>
      <c r="D133" s="35" t="s">
        <v>1568</v>
      </c>
      <c r="E133" s="35" t="s">
        <v>851</v>
      </c>
      <c r="F133" s="35" t="s">
        <v>1625</v>
      </c>
      <c r="G133" s="105">
        <v>55</v>
      </c>
      <c r="H133" s="105">
        <v>20</v>
      </c>
      <c r="I133" s="105">
        <v>433</v>
      </c>
      <c r="J133" s="105">
        <v>23.598500000000001</v>
      </c>
      <c r="K133" s="106">
        <v>44369</v>
      </c>
      <c r="L133" s="105">
        <v>45.561999999999998</v>
      </c>
      <c r="M133" s="105">
        <v>21.9635</v>
      </c>
      <c r="N133" s="105">
        <v>35.152500000000003</v>
      </c>
      <c r="O133" s="105">
        <v>11.554</v>
      </c>
      <c r="P133" s="35" t="s">
        <v>1574</v>
      </c>
      <c r="Q133" s="35" t="s">
        <v>1581</v>
      </c>
      <c r="R133" s="35" t="s">
        <v>1592</v>
      </c>
      <c r="S133" s="105">
        <v>35.553600000000003</v>
      </c>
      <c r="T133" s="105">
        <v>11.9551</v>
      </c>
      <c r="U133" s="35" t="s">
        <v>1571</v>
      </c>
      <c r="V133" s="35" t="s">
        <v>1743</v>
      </c>
      <c r="W133" s="105">
        <v>150</v>
      </c>
      <c r="X133" s="105">
        <v>126.4015</v>
      </c>
      <c r="Y133" s="105">
        <v>16</v>
      </c>
      <c r="Z133" s="35" t="s">
        <v>1576</v>
      </c>
      <c r="AA133">
        <f>VLOOKUP(A133,Cover!A:R,18,0)</f>
        <v>10.4</v>
      </c>
      <c r="AB133" s="77">
        <f t="shared" si="65"/>
        <v>11.563499999999999</v>
      </c>
      <c r="AC133" s="77">
        <f t="shared" si="66"/>
        <v>1.1539999999999999</v>
      </c>
      <c r="AD133" s="77">
        <f t="shared" si="67"/>
        <v>25.379702383565252</v>
      </c>
      <c r="AE133" s="77">
        <f t="shared" si="68"/>
        <v>3.2828390583884497</v>
      </c>
      <c r="AF133" s="77">
        <f t="shared" si="69"/>
        <v>1.5550999999999995</v>
      </c>
      <c r="AG133" s="77">
        <f t="shared" si="70"/>
        <v>4.3739593177624752</v>
      </c>
      <c r="AH133" s="77">
        <f t="shared" si="71"/>
        <v>150</v>
      </c>
      <c r="AI133" s="77">
        <f t="shared" si="72"/>
        <v>23.598500000000001</v>
      </c>
      <c r="AJ133" s="77">
        <f t="shared" si="73"/>
        <v>126.4015</v>
      </c>
      <c r="AK133" s="77">
        <f t="shared" si="74"/>
        <v>10.4</v>
      </c>
      <c r="AL133" s="77">
        <f t="shared" si="75"/>
        <v>116.00149999999999</v>
      </c>
      <c r="AM133" s="77">
        <f t="shared" si="76"/>
        <v>77.334333333333333</v>
      </c>
      <c r="AO133" t="s">
        <v>1577</v>
      </c>
      <c r="AP133" t="str">
        <f t="shared" si="56"/>
        <v>DDm125-33</v>
      </c>
      <c r="AQ133">
        <f>_xlfn.XLOOKUP(A133,'SYS Allocations'!A:A,'SYS Allocations'!B:B)</f>
        <v>0</v>
      </c>
      <c r="AR133" t="str">
        <f>_xlfn.XLOOKUP(A133,'SYS Allocations'!A:A,'SYS Allocations'!C:C)</f>
        <v>RA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 t="str">
        <f>_xlfn.XLOOKUP(A133,'SYS Allocations'!A:A,'SYS Allocations'!F:F)</f>
        <v>OPEX</v>
      </c>
      <c r="BA133" t="str">
        <f t="shared" si="57"/>
        <v>DDm125-33</v>
      </c>
    </row>
    <row r="134" spans="1:53">
      <c r="A134" s="35" t="s">
        <v>150</v>
      </c>
      <c r="B134" s="35" t="s">
        <v>1590</v>
      </c>
      <c r="C134" s="35" t="s">
        <v>1590</v>
      </c>
      <c r="D134" s="35" t="s">
        <v>1563</v>
      </c>
      <c r="E134" s="35" t="s">
        <v>1802</v>
      </c>
      <c r="F134" s="35" t="s">
        <v>1584</v>
      </c>
      <c r="G134" s="105">
        <v>31</v>
      </c>
      <c r="H134" s="105">
        <v>32</v>
      </c>
      <c r="I134" s="105">
        <v>558</v>
      </c>
      <c r="J134" s="105">
        <v>30.411000000000001</v>
      </c>
      <c r="K134" s="106">
        <v>45264</v>
      </c>
      <c r="L134" s="105">
        <v>41.8996</v>
      </c>
      <c r="M134" s="105">
        <v>11.4886</v>
      </c>
      <c r="N134" s="105">
        <v>21.8</v>
      </c>
      <c r="O134" s="107">
        <v>-8.6110000000000007</v>
      </c>
      <c r="P134" s="35" t="s">
        <v>1571</v>
      </c>
      <c r="Q134" s="35" t="s">
        <v>1581</v>
      </c>
      <c r="R134" s="35" t="s">
        <v>1803</v>
      </c>
      <c r="S134" s="105">
        <v>49.247999999999998</v>
      </c>
      <c r="T134" s="105">
        <v>18.837</v>
      </c>
      <c r="U134" s="35" t="s">
        <v>1571</v>
      </c>
      <c r="V134" s="35" t="s">
        <v>1804</v>
      </c>
      <c r="W134" s="105">
        <v>42</v>
      </c>
      <c r="X134" s="105">
        <v>11.589</v>
      </c>
      <c r="Y134" s="105">
        <v>3</v>
      </c>
      <c r="Z134" s="35" t="s">
        <v>1805</v>
      </c>
      <c r="AA134">
        <f>VLOOKUP(A134,Cover!A:R,18,0)</f>
        <v>1</v>
      </c>
      <c r="AB134" s="77">
        <f t="shared" ref="AB134" si="115">M134-AA134</f>
        <v>10.4886</v>
      </c>
      <c r="AC134" s="77">
        <f t="shared" ref="AC134" si="116">O134-AA134</f>
        <v>-9.6110000000000007</v>
      </c>
      <c r="AD134" s="77">
        <f>AB134/L134%</f>
        <v>25.032697209519903</v>
      </c>
      <c r="AE134" s="77">
        <f>AC134/N134%</f>
        <v>-44.087155963302756</v>
      </c>
      <c r="AF134" s="77">
        <f>T134-AA134</f>
        <v>17.837</v>
      </c>
      <c r="AG134" s="77">
        <f>AF134/S134%</f>
        <v>36.218729694606886</v>
      </c>
      <c r="AH134" s="77">
        <f>W134</f>
        <v>42</v>
      </c>
      <c r="AI134" s="77">
        <f>J134</f>
        <v>30.411000000000001</v>
      </c>
      <c r="AJ134" s="77">
        <f>AH134-AI134</f>
        <v>11.588999999999999</v>
      </c>
      <c r="AK134" s="77">
        <f>AA134</f>
        <v>1</v>
      </c>
      <c r="AL134" s="77">
        <f>AJ134-AK134</f>
        <v>10.588999999999999</v>
      </c>
      <c r="AM134" s="77">
        <f>AL134/AH134%</f>
        <v>25.211904761904758</v>
      </c>
      <c r="AO134" t="s">
        <v>1577</v>
      </c>
      <c r="AP134" t="str">
        <f>TRIM(BA134)</f>
        <v>SBS EON 1800</v>
      </c>
      <c r="AU134" t="str">
        <f>_xlfn.XLOOKUP(A134,'SYS Allocations'!A:A,'SYS Allocations'!F:F)</f>
        <v>OPEX</v>
      </c>
      <c r="BA134" t="str">
        <f>IFERROR(LEFT(R134,FIND("(",R134,1)-1),R134)</f>
        <v>SBS EON 1800</v>
      </c>
    </row>
    <row r="135" spans="1:53">
      <c r="A135" s="35" t="s">
        <v>151</v>
      </c>
      <c r="B135" s="35" t="s">
        <v>1566</v>
      </c>
      <c r="C135" s="35" t="s">
        <v>1806</v>
      </c>
      <c r="D135" s="35" t="s">
        <v>1568</v>
      </c>
      <c r="E135" s="35" t="s">
        <v>1279</v>
      </c>
      <c r="F135" s="35" t="s">
        <v>1570</v>
      </c>
      <c r="G135" s="105">
        <v>36.6</v>
      </c>
      <c r="H135" s="105">
        <v>26</v>
      </c>
      <c r="I135" s="105">
        <v>285</v>
      </c>
      <c r="J135" s="105">
        <v>15.532500000000001</v>
      </c>
      <c r="K135" s="106">
        <v>44854</v>
      </c>
      <c r="L135" s="105">
        <v>39.893999999999998</v>
      </c>
      <c r="M135" s="105">
        <v>24.361499999999999</v>
      </c>
      <c r="N135" s="105">
        <v>28.067499999999999</v>
      </c>
      <c r="O135" s="105">
        <v>12.535</v>
      </c>
      <c r="P135" s="35" t="s">
        <v>1574</v>
      </c>
      <c r="Q135" s="35" t="s">
        <v>1581</v>
      </c>
      <c r="R135" s="35" t="s">
        <v>1592</v>
      </c>
      <c r="S135" s="105">
        <v>35.553600000000003</v>
      </c>
      <c r="T135" s="105">
        <v>20.021100000000001</v>
      </c>
      <c r="U135" s="35" t="s">
        <v>1571</v>
      </c>
      <c r="V135" s="35" t="s">
        <v>1583</v>
      </c>
      <c r="W135" s="105">
        <v>22.5</v>
      </c>
      <c r="X135" s="105">
        <v>6.9675000000000002</v>
      </c>
      <c r="Y135" s="105">
        <v>98</v>
      </c>
      <c r="Z135" s="35" t="s">
        <v>1576</v>
      </c>
      <c r="AA135">
        <f>VLOOKUP(A135,Cover!A:R,18,0)</f>
        <v>6.7</v>
      </c>
      <c r="AB135" s="77">
        <f t="shared" si="65"/>
        <v>17.6615</v>
      </c>
      <c r="AC135" s="77">
        <f t="shared" si="66"/>
        <v>5.835</v>
      </c>
      <c r="AD135" s="77">
        <f t="shared" si="67"/>
        <v>44.271068331077359</v>
      </c>
      <c r="AE135" s="77">
        <f t="shared" si="68"/>
        <v>20.78916896766723</v>
      </c>
      <c r="AF135" s="77">
        <f t="shared" si="69"/>
        <v>13.321100000000001</v>
      </c>
      <c r="AG135" s="77">
        <f t="shared" si="70"/>
        <v>37.467654470995903</v>
      </c>
      <c r="AH135" s="77">
        <f t="shared" si="71"/>
        <v>22.5</v>
      </c>
      <c r="AI135" s="77">
        <f t="shared" si="72"/>
        <v>15.532500000000001</v>
      </c>
      <c r="AJ135" s="77">
        <f t="shared" si="73"/>
        <v>6.9674999999999994</v>
      </c>
      <c r="AK135" s="77">
        <f t="shared" si="74"/>
        <v>6.7</v>
      </c>
      <c r="AL135" s="77">
        <f t="shared" si="75"/>
        <v>0.26749999999999918</v>
      </c>
      <c r="AM135" s="77">
        <f t="shared" si="76"/>
        <v>1.1888888888888853</v>
      </c>
      <c r="AO135" t="s">
        <v>1577</v>
      </c>
      <c r="AP135" t="str">
        <f>TRIM(BA135)</f>
        <v>DDm125-33</v>
      </c>
      <c r="AQ135">
        <f>_xlfn.XLOOKUP(A135,'SYS Allocations'!A:A,'SYS Allocations'!B:B)</f>
        <v>0</v>
      </c>
      <c r="AR135" t="str">
        <f>_xlfn.XLOOKUP(A135,'SYS Allocations'!A:A,'SYS Allocations'!C:C)</f>
        <v>RA</v>
      </c>
      <c r="AS135">
        <f>_xlfn.XLOOKUP(A135,'SYS Allocations'!A:A,'SYS Allocations'!D:D)</f>
        <v>0</v>
      </c>
      <c r="AT135">
        <f>_xlfn.XLOOKUP(A135,'SYS Allocations'!A:A,'SYS Allocations'!E:E)</f>
        <v>0</v>
      </c>
      <c r="AU135">
        <f>_xlfn.XLOOKUP(A135,'SYS Allocations'!A:A,'SYS Allocations'!F:F)</f>
        <v>0</v>
      </c>
      <c r="BA135" t="str">
        <f>IFERROR(LEFT(R135,FIND("(",R135,1)-1),R135)</f>
        <v>DDm125-33</v>
      </c>
    </row>
    <row r="136" spans="1:53">
      <c r="A136" s="35" t="s">
        <v>152</v>
      </c>
      <c r="B136" s="35" t="s">
        <v>1607</v>
      </c>
      <c r="C136" s="35" t="s">
        <v>1807</v>
      </c>
      <c r="D136" s="35" t="s">
        <v>1563</v>
      </c>
      <c r="E136" s="35" t="s">
        <v>1461</v>
      </c>
      <c r="F136" s="35" t="s">
        <v>1570</v>
      </c>
      <c r="G136" s="105">
        <v>36.6</v>
      </c>
      <c r="H136" s="105">
        <v>5</v>
      </c>
      <c r="I136" s="105">
        <v>99</v>
      </c>
      <c r="J136" s="105">
        <v>5.3955000000000002</v>
      </c>
      <c r="K136" s="106">
        <v>44383.583333333299</v>
      </c>
      <c r="L136" s="105">
        <v>6.3830400000000003</v>
      </c>
      <c r="M136" s="105">
        <v>0.98753999999999997</v>
      </c>
      <c r="N136" s="105">
        <v>4.7088000000000001</v>
      </c>
      <c r="O136" s="107">
        <v>-0.68669999999999998</v>
      </c>
      <c r="P136" s="35" t="s">
        <v>1618</v>
      </c>
      <c r="Q136" s="35" t="s">
        <v>1581</v>
      </c>
      <c r="R136" s="35" t="s">
        <v>1808</v>
      </c>
      <c r="S136" s="105">
        <v>9.2145600000000005</v>
      </c>
      <c r="T136" s="105">
        <v>3.8190599999999999</v>
      </c>
      <c r="U136" s="35" t="s">
        <v>1658</v>
      </c>
      <c r="V136" s="35" t="s">
        <v>1663</v>
      </c>
      <c r="W136" s="105">
        <v>9</v>
      </c>
      <c r="X136" s="105">
        <v>3.6044999999999998</v>
      </c>
      <c r="Y136" s="105">
        <v>4</v>
      </c>
      <c r="Z136" s="35" t="s">
        <v>1809</v>
      </c>
      <c r="AA136">
        <f>VLOOKUP(A136,Cover!A:R,18,0)</f>
        <v>0</v>
      </c>
      <c r="AB136" s="77">
        <f t="shared" si="65"/>
        <v>0.98753999999999997</v>
      </c>
      <c r="AC136" s="77">
        <f t="shared" si="66"/>
        <v>-0.68669999999999998</v>
      </c>
      <c r="AD136" s="77">
        <f t="shared" si="67"/>
        <v>15.471311475409834</v>
      </c>
      <c r="AE136" s="77">
        <f t="shared" si="68"/>
        <v>-14.583333333333334</v>
      </c>
      <c r="AF136" s="77">
        <f t="shared" si="69"/>
        <v>3.8190599999999999</v>
      </c>
      <c r="AG136" s="77">
        <f t="shared" si="70"/>
        <v>41.445929051414282</v>
      </c>
      <c r="AH136" s="77">
        <f t="shared" si="71"/>
        <v>9</v>
      </c>
      <c r="AI136" s="77">
        <f t="shared" si="72"/>
        <v>5.3955000000000002</v>
      </c>
      <c r="AJ136" s="77">
        <f t="shared" si="73"/>
        <v>3.6044999999999998</v>
      </c>
      <c r="AK136" s="77">
        <f t="shared" si="74"/>
        <v>0</v>
      </c>
      <c r="AL136" s="77">
        <f t="shared" si="75"/>
        <v>3.6044999999999998</v>
      </c>
      <c r="AM136" s="77">
        <f t="shared" si="76"/>
        <v>40.049999999999997</v>
      </c>
      <c r="AN136" s="52" t="s">
        <v>1563</v>
      </c>
      <c r="AO136" t="s">
        <v>1577</v>
      </c>
      <c r="AP136" t="str">
        <f t="shared" si="56"/>
        <v>12V101F</v>
      </c>
      <c r="AQ136">
        <f>_xlfn.XLOOKUP(A136,'SYS Allocations'!A:A,'SYS Allocations'!B:B)</f>
        <v>0</v>
      </c>
      <c r="AR136">
        <f>_xlfn.XLOOKUP(A136,'SYS Allocations'!A:A,'SYS Allocations'!C:C)</f>
        <v>0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57"/>
        <v xml:space="preserve">12V101F </v>
      </c>
    </row>
    <row r="137" spans="1:53">
      <c r="A137" s="35" t="s">
        <v>153</v>
      </c>
      <c r="B137" s="35" t="s">
        <v>1566</v>
      </c>
      <c r="C137" s="35" t="s">
        <v>1810</v>
      </c>
      <c r="D137" s="35" t="s">
        <v>1563</v>
      </c>
      <c r="E137" s="35" t="s">
        <v>780</v>
      </c>
      <c r="F137" s="35" t="s">
        <v>1580</v>
      </c>
      <c r="G137" s="105">
        <v>75</v>
      </c>
      <c r="H137" s="105">
        <v>3</v>
      </c>
      <c r="I137" s="105">
        <v>16</v>
      </c>
      <c r="J137" s="105">
        <v>0.872</v>
      </c>
      <c r="K137" s="106">
        <v>44413.708333333299</v>
      </c>
      <c r="L137" s="105">
        <v>6.54</v>
      </c>
      <c r="M137" s="105">
        <v>5.6680000000000001</v>
      </c>
      <c r="N137" s="105">
        <v>7.2267000000000001</v>
      </c>
      <c r="O137" s="105">
        <v>6.3547000000000002</v>
      </c>
      <c r="P137" s="35" t="s">
        <v>1574</v>
      </c>
      <c r="Q137" s="35" t="s">
        <v>1599</v>
      </c>
      <c r="R137" s="35" t="s">
        <v>1721</v>
      </c>
      <c r="S137" s="105">
        <v>1.7927999999999999</v>
      </c>
      <c r="T137" s="105">
        <v>0.92079999999999995</v>
      </c>
      <c r="U137" s="35" t="s">
        <v>1574</v>
      </c>
      <c r="V137" s="35" t="s">
        <v>1610</v>
      </c>
      <c r="W137" s="105">
        <v>3.75</v>
      </c>
      <c r="X137" s="105">
        <v>2.8780000000000001</v>
      </c>
      <c r="Y137" s="105">
        <v>1</v>
      </c>
      <c r="Z137" s="35" t="s">
        <v>1659</v>
      </c>
      <c r="AA137">
        <f>VLOOKUP(A137,Cover!A:R,18,0)</f>
        <v>0</v>
      </c>
      <c r="AB137" s="77">
        <f t="shared" si="65"/>
        <v>5.6680000000000001</v>
      </c>
      <c r="AC137" s="77">
        <f t="shared" si="66"/>
        <v>6.3547000000000002</v>
      </c>
      <c r="AD137" s="77">
        <f t="shared" si="67"/>
        <v>86.666666666666671</v>
      </c>
      <c r="AE137" s="77">
        <f t="shared" si="68"/>
        <v>87.933634992458522</v>
      </c>
      <c r="AF137" s="77">
        <f t="shared" si="69"/>
        <v>0.92079999999999995</v>
      </c>
      <c r="AG137" s="77">
        <f t="shared" si="70"/>
        <v>51.36099955377064</v>
      </c>
      <c r="AH137" s="77">
        <f t="shared" si="71"/>
        <v>3.75</v>
      </c>
      <c r="AI137" s="77">
        <f t="shared" si="72"/>
        <v>0.872</v>
      </c>
      <c r="AJ137" s="77">
        <f t="shared" si="73"/>
        <v>2.8780000000000001</v>
      </c>
      <c r="AK137" s="77">
        <f t="shared" si="74"/>
        <v>0</v>
      </c>
      <c r="AL137" s="77">
        <f t="shared" si="75"/>
        <v>2.8780000000000001</v>
      </c>
      <c r="AM137" s="77">
        <f t="shared" si="76"/>
        <v>76.74666666666667</v>
      </c>
      <c r="AN137" s="52" t="s">
        <v>1563</v>
      </c>
      <c r="AO137" t="s">
        <v>1577</v>
      </c>
      <c r="AP137" t="str">
        <f t="shared" si="56"/>
        <v>12V105F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57"/>
        <v>12V105F</v>
      </c>
    </row>
    <row r="138" spans="1:53">
      <c r="A138" s="35" t="s">
        <v>154</v>
      </c>
      <c r="B138" s="35" t="s">
        <v>1655</v>
      </c>
      <c r="C138" s="35" t="s">
        <v>1811</v>
      </c>
      <c r="D138" s="35" t="s">
        <v>1568</v>
      </c>
      <c r="E138" s="35" t="s">
        <v>1137</v>
      </c>
      <c r="F138" s="35" t="s">
        <v>1570</v>
      </c>
      <c r="G138" s="105">
        <v>36.6</v>
      </c>
      <c r="H138" s="105">
        <v>9</v>
      </c>
      <c r="I138" s="105">
        <v>123</v>
      </c>
      <c r="J138" s="105">
        <v>6.7035</v>
      </c>
      <c r="K138" s="106">
        <v>45264</v>
      </c>
      <c r="L138" s="105">
        <v>12.766080000000001</v>
      </c>
      <c r="M138" s="105">
        <v>6.0625799999999996</v>
      </c>
      <c r="N138" s="105">
        <v>9.4720999999999993</v>
      </c>
      <c r="O138" s="105">
        <v>2.7686000000000002</v>
      </c>
      <c r="P138" s="35" t="s">
        <v>1574</v>
      </c>
      <c r="Q138" s="35" t="s">
        <v>1581</v>
      </c>
      <c r="R138" s="35" t="s">
        <v>1609</v>
      </c>
      <c r="S138" s="105">
        <v>10.1088</v>
      </c>
      <c r="T138" s="105">
        <v>3.40529999999998</v>
      </c>
      <c r="U138" s="35" t="s">
        <v>1574</v>
      </c>
      <c r="V138" s="35" t="s">
        <v>1583</v>
      </c>
      <c r="W138" s="105">
        <v>22.5</v>
      </c>
      <c r="X138" s="105">
        <v>15.7965</v>
      </c>
      <c r="Y138" s="105">
        <v>4</v>
      </c>
      <c r="Z138" s="35" t="s">
        <v>1576</v>
      </c>
      <c r="AA138">
        <f>VLOOKUP(A138,Cover!A:R,18,0)</f>
        <v>1</v>
      </c>
      <c r="AB138" s="77">
        <f t="shared" si="65"/>
        <v>5.0625799999999996</v>
      </c>
      <c r="AC138" s="77">
        <f t="shared" si="66"/>
        <v>1.7686000000000002</v>
      </c>
      <c r="AD138" s="77">
        <f t="shared" si="67"/>
        <v>39.6564959643054</v>
      </c>
      <c r="AE138" s="77">
        <f t="shared" si="68"/>
        <v>18.671677875022436</v>
      </c>
      <c r="AF138" s="77">
        <f t="shared" si="69"/>
        <v>2.40529999999998</v>
      </c>
      <c r="AG138" s="77">
        <f t="shared" si="70"/>
        <v>23.794119974675329</v>
      </c>
      <c r="AH138" s="77">
        <f t="shared" si="71"/>
        <v>22.5</v>
      </c>
      <c r="AI138" s="77">
        <f t="shared" si="72"/>
        <v>6.7035</v>
      </c>
      <c r="AJ138" s="77">
        <f t="shared" si="73"/>
        <v>15.7965</v>
      </c>
      <c r="AK138" s="77">
        <f t="shared" si="74"/>
        <v>1</v>
      </c>
      <c r="AL138" s="77">
        <f t="shared" si="75"/>
        <v>14.7965</v>
      </c>
      <c r="AM138" s="77">
        <f t="shared" si="76"/>
        <v>65.762222222222221</v>
      </c>
      <c r="AO138" t="s">
        <v>1577</v>
      </c>
      <c r="AP138" t="str">
        <f t="shared" si="56"/>
        <v>2DDm85-15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si="57"/>
        <v>2DDm85-15</v>
      </c>
    </row>
    <row r="139" spans="1:53">
      <c r="A139" s="35" t="s">
        <v>155</v>
      </c>
      <c r="B139" s="35" t="s">
        <v>1620</v>
      </c>
      <c r="C139" s="35" t="s">
        <v>1812</v>
      </c>
      <c r="D139" s="35" t="s">
        <v>1568</v>
      </c>
      <c r="E139" s="35" t="s">
        <v>1000</v>
      </c>
      <c r="F139" s="35" t="s">
        <v>1570</v>
      </c>
      <c r="G139" s="105">
        <v>36.6</v>
      </c>
      <c r="H139" s="105">
        <v>70</v>
      </c>
      <c r="I139" s="105">
        <v>930</v>
      </c>
      <c r="J139" s="105">
        <v>50.685000000000002</v>
      </c>
      <c r="K139" s="106">
        <v>45264</v>
      </c>
      <c r="L139" s="105">
        <v>110.10744</v>
      </c>
      <c r="M139" s="105">
        <v>59.422440000000002</v>
      </c>
      <c r="N139" s="105">
        <v>76.594300000000004</v>
      </c>
      <c r="O139" s="105">
        <v>25.909300000000002</v>
      </c>
      <c r="P139" s="35" t="s">
        <v>1586</v>
      </c>
      <c r="Q139" s="35" t="s">
        <v>1581</v>
      </c>
      <c r="R139" s="35" t="s">
        <v>1813</v>
      </c>
      <c r="S139" s="105">
        <v>95.610240000000005</v>
      </c>
      <c r="T139" s="105">
        <v>44.925240000000002</v>
      </c>
      <c r="U139" s="35" t="s">
        <v>1571</v>
      </c>
      <c r="V139" s="35" t="s">
        <v>1695</v>
      </c>
      <c r="W139" s="105">
        <v>60</v>
      </c>
      <c r="X139" s="105">
        <v>9.3149999999999995</v>
      </c>
      <c r="Y139" s="105">
        <v>11</v>
      </c>
      <c r="Z139" s="35" t="s">
        <v>1576</v>
      </c>
      <c r="AA139">
        <f>VLOOKUP(A139,Cover!A:R,18,0)</f>
        <v>14.1</v>
      </c>
      <c r="AB139" s="77">
        <f t="shared" si="65"/>
        <v>45.32244</v>
      </c>
      <c r="AC139" s="77">
        <f t="shared" si="66"/>
        <v>11.809300000000002</v>
      </c>
      <c r="AD139" s="77">
        <f t="shared" si="67"/>
        <v>41.162014120026768</v>
      </c>
      <c r="AE139" s="77">
        <f t="shared" si="68"/>
        <v>15.417988022607428</v>
      </c>
      <c r="AF139" s="77">
        <f t="shared" si="69"/>
        <v>30.825240000000001</v>
      </c>
      <c r="AG139" s="77">
        <f t="shared" si="70"/>
        <v>32.240521517360484</v>
      </c>
      <c r="AH139" s="77">
        <f>'Multiroom cooling'!F12</f>
        <v>82.5</v>
      </c>
      <c r="AI139" s="77">
        <f t="shared" si="72"/>
        <v>50.685000000000002</v>
      </c>
      <c r="AJ139" s="77">
        <f t="shared" si="73"/>
        <v>31.814999999999998</v>
      </c>
      <c r="AK139" s="77">
        <f t="shared" si="74"/>
        <v>14.1</v>
      </c>
      <c r="AL139" s="77">
        <f t="shared" si="75"/>
        <v>17.714999999999996</v>
      </c>
      <c r="AM139" s="77">
        <f t="shared" si="76"/>
        <v>21.472727272727269</v>
      </c>
      <c r="AO139" t="s">
        <v>1577</v>
      </c>
      <c r="AP139" t="str">
        <f t="shared" si="56"/>
        <v>2CP3000</v>
      </c>
      <c r="AQ139">
        <f>_xlfn.XLOOKUP(A139,'SYS Allocations'!A:A,'SYS Allocations'!B:B)</f>
        <v>0</v>
      </c>
      <c r="AR139" t="str">
        <f>_xlfn.XLOOKUP(A139,'SYS Allocations'!A:A,'SYS Allocations'!C:C)</f>
        <v>RA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si="57"/>
        <v>2CP3000</v>
      </c>
    </row>
    <row r="140" spans="1:53">
      <c r="A140" s="35" t="s">
        <v>156</v>
      </c>
      <c r="B140" s="35" t="s">
        <v>1636</v>
      </c>
      <c r="C140" s="35" t="s">
        <v>1814</v>
      </c>
      <c r="D140" s="35" t="s">
        <v>1563</v>
      </c>
      <c r="E140" s="35" t="s">
        <v>1048</v>
      </c>
      <c r="F140" s="35" t="s">
        <v>1625</v>
      </c>
      <c r="G140" s="105">
        <v>55</v>
      </c>
      <c r="H140" s="105">
        <v>8</v>
      </c>
      <c r="I140" s="105">
        <v>45</v>
      </c>
      <c r="J140" s="105">
        <v>2.4525000000000001</v>
      </c>
      <c r="K140" s="106">
        <v>44713.541666666701</v>
      </c>
      <c r="L140" s="105">
        <v>16.786000000000001</v>
      </c>
      <c r="M140" s="105">
        <v>14.333500000000001</v>
      </c>
      <c r="N140" s="105">
        <v>17.712499999999999</v>
      </c>
      <c r="O140" s="105">
        <v>15.26</v>
      </c>
      <c r="P140" s="35" t="s">
        <v>1618</v>
      </c>
      <c r="Q140" s="35" t="s">
        <v>1581</v>
      </c>
      <c r="R140" s="35" t="s">
        <v>1675</v>
      </c>
      <c r="S140" s="105">
        <v>5.3784000000000001</v>
      </c>
      <c r="T140" s="105">
        <v>2.9258999999999999</v>
      </c>
      <c r="U140" s="35" t="s">
        <v>1658</v>
      </c>
      <c r="V140" s="35" t="s">
        <v>1815</v>
      </c>
      <c r="W140" s="105">
        <v>24</v>
      </c>
      <c r="X140" s="105">
        <v>21.547499999999999</v>
      </c>
      <c r="Y140" s="105">
        <v>4</v>
      </c>
      <c r="Z140" s="35" t="s">
        <v>8</v>
      </c>
      <c r="AA140">
        <f>VLOOKUP(A140,Cover!A:R,18,0)</f>
        <v>0</v>
      </c>
      <c r="AB140" s="77">
        <f t="shared" si="65"/>
        <v>14.333500000000001</v>
      </c>
      <c r="AC140" s="77">
        <f t="shared" si="66"/>
        <v>15.26</v>
      </c>
      <c r="AD140" s="77">
        <f t="shared" si="67"/>
        <v>85.389610389610397</v>
      </c>
      <c r="AE140" s="77">
        <f t="shared" si="68"/>
        <v>86.15384615384616</v>
      </c>
      <c r="AF140" s="77">
        <f t="shared" si="69"/>
        <v>2.9258999999999999</v>
      </c>
      <c r="AG140" s="77">
        <f t="shared" si="70"/>
        <v>54.400937081659976</v>
      </c>
      <c r="AH140" s="346">
        <f>AVERAGE(W140:W141)</f>
        <v>24</v>
      </c>
      <c r="AI140" s="346">
        <f>SUM(J140:J141)</f>
        <v>7.0305</v>
      </c>
      <c r="AJ140" s="346">
        <f t="shared" si="73"/>
        <v>16.9695</v>
      </c>
      <c r="AK140" s="346">
        <f>SUM(AA140:AA141)</f>
        <v>0</v>
      </c>
      <c r="AL140" s="346">
        <f t="shared" si="75"/>
        <v>16.9695</v>
      </c>
      <c r="AM140" s="345">
        <f t="shared" si="76"/>
        <v>70.706249999999997</v>
      </c>
      <c r="AN140" s="52" t="s">
        <v>1563</v>
      </c>
      <c r="AO140" t="s">
        <v>1634</v>
      </c>
      <c r="AP140" t="str">
        <f t="shared" si="56"/>
        <v>12V101F</v>
      </c>
      <c r="AQ140">
        <f>_xlfn.XLOOKUP(A140,'SYS Allocations'!A:A,'SYS Allocations'!B:B)</f>
        <v>0</v>
      </c>
      <c r="AR140">
        <f>_xlfn.XLOOKUP(A140,'SYS Allocations'!A:A,'SYS Allocations'!C:C)</f>
        <v>0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57"/>
        <v xml:space="preserve">12V101F </v>
      </c>
    </row>
    <row r="141" spans="1:53">
      <c r="A141" s="35" t="s">
        <v>157</v>
      </c>
      <c r="B141" s="35" t="s">
        <v>1636</v>
      </c>
      <c r="C141" s="35" t="s">
        <v>1814</v>
      </c>
      <c r="D141" s="35" t="s">
        <v>1563</v>
      </c>
      <c r="E141" s="35" t="s">
        <v>1048</v>
      </c>
      <c r="F141" s="35" t="s">
        <v>1625</v>
      </c>
      <c r="G141" s="105">
        <v>55</v>
      </c>
      <c r="H141" s="105">
        <v>8</v>
      </c>
      <c r="I141" s="105">
        <v>84</v>
      </c>
      <c r="J141" s="105">
        <v>4.5780000000000003</v>
      </c>
      <c r="K141" s="106">
        <v>44700.645833333299</v>
      </c>
      <c r="L141" s="105">
        <v>16.786000000000001</v>
      </c>
      <c r="M141" s="105">
        <v>12.208</v>
      </c>
      <c r="N141" s="105">
        <v>17.712499999999999</v>
      </c>
      <c r="O141" s="105">
        <v>13.134499999999999</v>
      </c>
      <c r="P141" s="35" t="s">
        <v>1618</v>
      </c>
      <c r="Q141" s="35" t="s">
        <v>1581</v>
      </c>
      <c r="R141" s="35" t="s">
        <v>1675</v>
      </c>
      <c r="S141" s="105">
        <v>5.3784000000000001</v>
      </c>
      <c r="T141" s="105">
        <v>0.800400000000001</v>
      </c>
      <c r="U141" s="35" t="s">
        <v>1658</v>
      </c>
      <c r="V141" s="35" t="s">
        <v>1815</v>
      </c>
      <c r="W141" s="105">
        <v>24</v>
      </c>
      <c r="X141" s="105">
        <v>19.422000000000001</v>
      </c>
      <c r="Y141" s="105">
        <v>4</v>
      </c>
      <c r="Z141" s="35" t="s">
        <v>8</v>
      </c>
      <c r="AA141">
        <f>VLOOKUP(A141,Cover!A:R,18,0)</f>
        <v>0</v>
      </c>
      <c r="AB141" s="77">
        <f t="shared" si="65"/>
        <v>12.208</v>
      </c>
      <c r="AC141" s="77">
        <f t="shared" si="66"/>
        <v>13.134499999999999</v>
      </c>
      <c r="AD141" s="77">
        <f t="shared" si="67"/>
        <v>72.72727272727272</v>
      </c>
      <c r="AE141" s="77">
        <f t="shared" si="68"/>
        <v>74.15384615384616</v>
      </c>
      <c r="AF141" s="77">
        <f t="shared" si="69"/>
        <v>0.800400000000001</v>
      </c>
      <c r="AG141" s="77">
        <f t="shared" si="70"/>
        <v>14.881749219098635</v>
      </c>
      <c r="AH141" s="346"/>
      <c r="AI141" s="346"/>
      <c r="AJ141" s="346"/>
      <c r="AK141" s="346"/>
      <c r="AL141" s="346"/>
      <c r="AM141" s="345"/>
      <c r="AN141" s="52" t="s">
        <v>1563</v>
      </c>
      <c r="AO141" t="s">
        <v>1634</v>
      </c>
      <c r="AP141" t="str">
        <f t="shared" si="56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57"/>
        <v xml:space="preserve">12V101F </v>
      </c>
    </row>
    <row r="142" spans="1:53">
      <c r="A142" s="35" t="s">
        <v>158</v>
      </c>
      <c r="B142" s="35" t="s">
        <v>1636</v>
      </c>
      <c r="C142" s="35" t="s">
        <v>1814</v>
      </c>
      <c r="D142" s="35" t="s">
        <v>1718</v>
      </c>
      <c r="E142" s="35" t="s">
        <v>1056</v>
      </c>
      <c r="F142" s="35" t="s">
        <v>1625</v>
      </c>
      <c r="G142" s="105">
        <v>55</v>
      </c>
      <c r="H142" s="105">
        <v>69</v>
      </c>
      <c r="I142" s="105">
        <v>1407</v>
      </c>
      <c r="J142" s="105">
        <v>76.6815</v>
      </c>
      <c r="K142" s="106">
        <v>45264</v>
      </c>
      <c r="L142" s="105">
        <v>163.06399999999999</v>
      </c>
      <c r="M142" s="105">
        <v>86.382499999999993</v>
      </c>
      <c r="N142" s="105">
        <v>138.43</v>
      </c>
      <c r="O142" s="105">
        <v>61.7485</v>
      </c>
      <c r="P142" s="35" t="s">
        <v>1618</v>
      </c>
      <c r="Q142" s="35" t="s">
        <v>1581</v>
      </c>
      <c r="R142" s="35" t="s">
        <v>1592</v>
      </c>
      <c r="S142" s="105">
        <v>106.66079999999999</v>
      </c>
      <c r="T142" s="105">
        <v>29.979300000000102</v>
      </c>
      <c r="U142" s="35" t="s">
        <v>1622</v>
      </c>
      <c r="V142" s="35" t="s">
        <v>1816</v>
      </c>
      <c r="W142" s="105">
        <v>195</v>
      </c>
      <c r="X142" s="105">
        <v>118.3185</v>
      </c>
      <c r="Y142" s="105">
        <v>37</v>
      </c>
      <c r="Z142" s="35" t="s">
        <v>1576</v>
      </c>
      <c r="AA142">
        <f>VLOOKUP(A142,Cover!A:R,18,0)</f>
        <v>14.899999999999999</v>
      </c>
      <c r="AB142" s="77">
        <f t="shared" si="65"/>
        <v>71.482499999999987</v>
      </c>
      <c r="AC142" s="77">
        <f t="shared" si="66"/>
        <v>46.848500000000001</v>
      </c>
      <c r="AD142" s="77">
        <f t="shared" si="67"/>
        <v>43.837082372565369</v>
      </c>
      <c r="AE142" s="77">
        <f t="shared" si="68"/>
        <v>33.842736401069132</v>
      </c>
      <c r="AF142" s="77">
        <f t="shared" si="69"/>
        <v>15.079300000000103</v>
      </c>
      <c r="AG142" s="77">
        <f t="shared" si="70"/>
        <v>14.13762131917265</v>
      </c>
      <c r="AH142" s="346">
        <f>AVERAGE(W142:W143)</f>
        <v>195</v>
      </c>
      <c r="AI142" s="346">
        <f>SUM(J142:J143)</f>
        <v>131.5085</v>
      </c>
      <c r="AJ142" s="346">
        <f t="shared" si="73"/>
        <v>63.491500000000002</v>
      </c>
      <c r="AK142" s="346">
        <f>SUM(AA142:AA143)</f>
        <v>33.200000000000003</v>
      </c>
      <c r="AL142" s="346">
        <f t="shared" si="75"/>
        <v>30.291499999999999</v>
      </c>
      <c r="AM142" s="345">
        <f t="shared" si="76"/>
        <v>15.534102564102565</v>
      </c>
      <c r="AN142" s="52"/>
      <c r="AO142" t="s">
        <v>1634</v>
      </c>
      <c r="AP142" t="str">
        <f t="shared" ref="AP142:AP206" si="117">TRIM(BA142)</f>
        <v>DDm125-33</v>
      </c>
      <c r="AQ142" t="str">
        <f>_xlfn.XLOOKUP(A142,'SYS Allocations'!A:A,'SYS Allocations'!B:B)</f>
        <v>P-Core</v>
      </c>
      <c r="AR142" t="str">
        <f>_xlfn.XLOOKUP(A142,'SYS Allocations'!A:A,'SYS Allocations'!C:C)</f>
        <v>RA</v>
      </c>
      <c r="AS142" t="str">
        <f>_xlfn.XLOOKUP(A142,'SYS Allocations'!A:A,'SYS Allocations'!D:D)</f>
        <v>PX</v>
      </c>
      <c r="AT142">
        <f>_xlfn.XLOOKUP(A142,'SYS Allocations'!A:A,'SYS Allocations'!E:E)</f>
        <v>0</v>
      </c>
      <c r="AU142" t="str">
        <f>_xlfn.XLOOKUP(A142,'SYS Allocations'!A:A,'SYS Allocations'!F:F)</f>
        <v>OPEX</v>
      </c>
      <c r="BA142" t="str">
        <f t="shared" ref="BA142:BA206" si="118">IFERROR(LEFT(R142,FIND("(",R142,1)-1),R142)</f>
        <v>DDm125-33</v>
      </c>
    </row>
    <row r="143" spans="1:53">
      <c r="A143" s="35" t="s">
        <v>159</v>
      </c>
      <c r="B143" s="35" t="s">
        <v>1636</v>
      </c>
      <c r="C143" s="35" t="s">
        <v>1814</v>
      </c>
      <c r="D143" s="35" t="s">
        <v>1718</v>
      </c>
      <c r="E143" s="35" t="s">
        <v>1056</v>
      </c>
      <c r="F143" s="35" t="s">
        <v>1625</v>
      </c>
      <c r="G143" s="105">
        <v>55</v>
      </c>
      <c r="H143" s="105">
        <v>70</v>
      </c>
      <c r="I143" s="105">
        <v>1006</v>
      </c>
      <c r="J143" s="105">
        <v>54.826999999999998</v>
      </c>
      <c r="K143" s="106">
        <v>45264</v>
      </c>
      <c r="L143" s="105">
        <v>165.46199999999999</v>
      </c>
      <c r="M143" s="105">
        <v>110.63500000000001</v>
      </c>
      <c r="N143" s="105">
        <v>141.42750000000001</v>
      </c>
      <c r="O143" s="105">
        <v>86.600499999999997</v>
      </c>
      <c r="P143" s="35" t="s">
        <v>1618</v>
      </c>
      <c r="Q143" s="35" t="s">
        <v>1581</v>
      </c>
      <c r="R143" s="35" t="s">
        <v>1592</v>
      </c>
      <c r="S143" s="105">
        <v>106.66079999999999</v>
      </c>
      <c r="T143" s="105">
        <v>51.833800000000103</v>
      </c>
      <c r="U143" s="35" t="s">
        <v>1622</v>
      </c>
      <c r="V143" s="35" t="s">
        <v>1816</v>
      </c>
      <c r="W143" s="105">
        <v>195</v>
      </c>
      <c r="X143" s="105">
        <v>140.173</v>
      </c>
      <c r="Y143" s="105">
        <v>37</v>
      </c>
      <c r="Z143" s="35" t="s">
        <v>1576</v>
      </c>
      <c r="AA143">
        <f>VLOOKUP(A143,Cover!A:R,18,0)</f>
        <v>18.300000000000004</v>
      </c>
      <c r="AB143" s="77">
        <f t="shared" si="65"/>
        <v>92.335000000000008</v>
      </c>
      <c r="AC143" s="77">
        <f t="shared" si="66"/>
        <v>68.3005</v>
      </c>
      <c r="AD143" s="77">
        <f t="shared" si="67"/>
        <v>55.804353869770708</v>
      </c>
      <c r="AE143" s="77">
        <f t="shared" si="68"/>
        <v>48.293648689257743</v>
      </c>
      <c r="AF143" s="77">
        <f t="shared" si="69"/>
        <v>33.533800000000099</v>
      </c>
      <c r="AG143" s="77">
        <f t="shared" si="70"/>
        <v>31.439666681667585</v>
      </c>
      <c r="AH143" s="346"/>
      <c r="AI143" s="346"/>
      <c r="AJ143" s="346"/>
      <c r="AK143" s="346"/>
      <c r="AL143" s="346"/>
      <c r="AM143" s="345"/>
      <c r="AN143" s="52"/>
      <c r="AO143" t="s">
        <v>1634</v>
      </c>
      <c r="AP143" t="str">
        <f t="shared" si="117"/>
        <v>DDm125-33</v>
      </c>
      <c r="AQ143">
        <f>_xlfn.XLOOKUP(A143,'SYS Allocations'!A:A,'SYS Allocations'!B:B)</f>
        <v>0</v>
      </c>
      <c r="AR143">
        <f>_xlfn.XLOOKUP(A143,'SYS Allocations'!A:A,'SYS Allocations'!C:C)</f>
        <v>0</v>
      </c>
      <c r="AS143">
        <f>_xlfn.XLOOKUP(A143,'SYS Allocations'!A:A,'SYS Allocations'!D:D)</f>
        <v>0</v>
      </c>
      <c r="AT143">
        <f>_xlfn.XLOOKUP(A143,'SYS Allocations'!A:A,'SYS Allocations'!E:E)</f>
        <v>0</v>
      </c>
      <c r="AU143">
        <f>_xlfn.XLOOKUP(A143,'SYS Allocations'!A:A,'SYS Allocations'!F:F)</f>
        <v>0</v>
      </c>
      <c r="BA143" t="str">
        <f t="shared" si="118"/>
        <v>DDm125-33</v>
      </c>
    </row>
    <row r="144" spans="1:53">
      <c r="A144" s="35" t="s">
        <v>160</v>
      </c>
      <c r="B144" s="35" t="s">
        <v>1636</v>
      </c>
      <c r="C144" s="35" t="s">
        <v>1814</v>
      </c>
      <c r="D144" s="35" t="s">
        <v>1568</v>
      </c>
      <c r="E144" s="35" t="s">
        <v>1817</v>
      </c>
      <c r="F144" s="35" t="s">
        <v>1786</v>
      </c>
      <c r="G144" s="105">
        <v>37.5</v>
      </c>
      <c r="H144" s="105">
        <v>12</v>
      </c>
      <c r="I144" s="105">
        <v>120</v>
      </c>
      <c r="J144" s="105">
        <v>6.54</v>
      </c>
      <c r="K144" s="106">
        <v>44637.666666666701</v>
      </c>
      <c r="L144" s="105">
        <v>17.984999999999999</v>
      </c>
      <c r="M144" s="105">
        <v>11.445</v>
      </c>
      <c r="N144" s="105">
        <v>10.43675</v>
      </c>
      <c r="O144" s="105">
        <v>3.8967499999999999</v>
      </c>
      <c r="P144" s="35" t="s">
        <v>1574</v>
      </c>
      <c r="Q144" s="35" t="s">
        <v>1581</v>
      </c>
      <c r="R144" s="35" t="s">
        <v>1789</v>
      </c>
      <c r="S144" s="105">
        <v>18.792000000000002</v>
      </c>
      <c r="T144" s="105">
        <v>12.252000000000001</v>
      </c>
      <c r="U144" s="35" t="s">
        <v>1574</v>
      </c>
      <c r="V144" s="35" t="s">
        <v>1815</v>
      </c>
      <c r="W144" s="105">
        <v>24</v>
      </c>
      <c r="X144" s="105">
        <v>17.46</v>
      </c>
      <c r="Y144" s="105">
        <v>3</v>
      </c>
      <c r="Z144" s="35" t="s">
        <v>1576</v>
      </c>
      <c r="AA144">
        <f>VLOOKUP(A144,Cover!A:R,18,0)</f>
        <v>0.1</v>
      </c>
      <c r="AB144" s="77">
        <f t="shared" ref="AB144:AB210" si="119">M144-AA144</f>
        <v>11.345000000000001</v>
      </c>
      <c r="AC144" s="77">
        <f t="shared" ref="AC144:AC210" si="120">O144-AA144</f>
        <v>3.7967499999999998</v>
      </c>
      <c r="AD144" s="77">
        <f t="shared" ref="AD144:AD210" si="121">AB144/L144%</f>
        <v>63.080344731720885</v>
      </c>
      <c r="AE144" s="77">
        <f t="shared" ref="AE144:AE210" si="122">AC144/N144%</f>
        <v>36.378661939780102</v>
      </c>
      <c r="AF144" s="77">
        <f t="shared" ref="AF144:AF210" si="123">T144-AA144</f>
        <v>12.152000000000001</v>
      </c>
      <c r="AG144" s="77">
        <f t="shared" ref="AG144:AG210" si="124">AF144/S144%</f>
        <v>64.665815240527891</v>
      </c>
      <c r="AH144" s="77">
        <f t="shared" ref="AH144:AH210" si="125">W144</f>
        <v>24</v>
      </c>
      <c r="AI144" s="77">
        <f t="shared" ref="AI144:AI210" si="126">J144</f>
        <v>6.54</v>
      </c>
      <c r="AJ144" s="77">
        <f t="shared" ref="AJ144:AJ210" si="127">AH144-AI144</f>
        <v>17.46</v>
      </c>
      <c r="AK144" s="77">
        <f t="shared" ref="AK144:AK210" si="128">AA144</f>
        <v>0.1</v>
      </c>
      <c r="AL144" s="77">
        <f t="shared" ref="AL144:AL210" si="129">AJ144-AK144</f>
        <v>17.36</v>
      </c>
      <c r="AM144" s="77">
        <f t="shared" ref="AM144:AM210" si="130">AL144/AH144%</f>
        <v>72.333333333333329</v>
      </c>
      <c r="AO144" t="s">
        <v>1577</v>
      </c>
      <c r="AP144" t="str">
        <f t="shared" si="117"/>
        <v>DDm85-27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18"/>
        <v>DDm85-27</v>
      </c>
    </row>
    <row r="145" spans="1:53">
      <c r="A145" s="35" t="s">
        <v>161</v>
      </c>
      <c r="B145" s="35" t="s">
        <v>1636</v>
      </c>
      <c r="C145" s="35" t="s">
        <v>1814</v>
      </c>
      <c r="D145" s="35" t="s">
        <v>1568</v>
      </c>
      <c r="E145" s="35" t="s">
        <v>1070</v>
      </c>
      <c r="F145" s="35" t="s">
        <v>1570</v>
      </c>
      <c r="G145" s="105">
        <v>36.6</v>
      </c>
      <c r="H145" s="105">
        <v>35</v>
      </c>
      <c r="I145" s="105">
        <v>525</v>
      </c>
      <c r="J145" s="105">
        <v>28.612500000000001</v>
      </c>
      <c r="K145" s="106">
        <v>45264</v>
      </c>
      <c r="L145" s="105">
        <v>54.255839999999999</v>
      </c>
      <c r="M145" s="105">
        <v>25.643339999999998</v>
      </c>
      <c r="N145" s="105">
        <v>35.119799999999998</v>
      </c>
      <c r="O145" s="105">
        <v>6.5072999999999999</v>
      </c>
      <c r="P145" s="35" t="s">
        <v>1571</v>
      </c>
      <c r="Q145" s="35" t="s">
        <v>1581</v>
      </c>
      <c r="R145" s="35" t="s">
        <v>1592</v>
      </c>
      <c r="S145" s="105">
        <v>53.330399999999997</v>
      </c>
      <c r="T145" s="105">
        <v>24.7179</v>
      </c>
      <c r="U145" s="35" t="s">
        <v>1622</v>
      </c>
      <c r="V145" s="35" t="s">
        <v>1818</v>
      </c>
      <c r="W145" s="105">
        <v>135</v>
      </c>
      <c r="X145" s="105">
        <v>106.3875</v>
      </c>
      <c r="Y145" s="105">
        <v>135</v>
      </c>
      <c r="Z145" s="35" t="s">
        <v>1526</v>
      </c>
      <c r="AA145">
        <f>VLOOKUP(A145,Cover!A:R,18,0)</f>
        <v>8.1</v>
      </c>
      <c r="AB145" s="77">
        <f t="shared" si="119"/>
        <v>17.543340000000001</v>
      </c>
      <c r="AC145" s="77">
        <f t="shared" si="120"/>
        <v>-1.5926999999999998</v>
      </c>
      <c r="AD145" s="77">
        <f t="shared" si="121"/>
        <v>32.33447311846983</v>
      </c>
      <c r="AE145" s="77">
        <f t="shared" si="122"/>
        <v>-4.5350486050603935</v>
      </c>
      <c r="AF145" s="77">
        <f t="shared" si="123"/>
        <v>16.617899999999999</v>
      </c>
      <c r="AG145" s="77">
        <f t="shared" si="124"/>
        <v>31.160276315197333</v>
      </c>
      <c r="AH145" s="77">
        <f t="shared" si="125"/>
        <v>135</v>
      </c>
      <c r="AI145" s="77">
        <f t="shared" si="126"/>
        <v>28.612500000000001</v>
      </c>
      <c r="AJ145" s="77">
        <f t="shared" si="127"/>
        <v>106.3875</v>
      </c>
      <c r="AK145" s="77">
        <f t="shared" si="128"/>
        <v>8.1</v>
      </c>
      <c r="AL145" s="77">
        <f t="shared" si="129"/>
        <v>98.287500000000009</v>
      </c>
      <c r="AM145" s="77">
        <f t="shared" si="130"/>
        <v>72.805555555555557</v>
      </c>
      <c r="AN145" s="52" t="s">
        <v>1563</v>
      </c>
      <c r="AO145" t="s">
        <v>1577</v>
      </c>
      <c r="AP145" t="str">
        <f t="shared" si="117"/>
        <v>DDm125-33</v>
      </c>
      <c r="AQ145">
        <f>_xlfn.XLOOKUP(A145,'SYS Allocations'!A:A,'SYS Allocations'!B:B)</f>
        <v>0</v>
      </c>
      <c r="AR145" t="str">
        <f>_xlfn.XLOOKUP(A145,'SYS Allocations'!A:A,'SYS Allocations'!C:C)</f>
        <v>RA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18"/>
        <v>DDm125-33</v>
      </c>
    </row>
    <row r="146" spans="1:53">
      <c r="A146" s="35" t="s">
        <v>162</v>
      </c>
      <c r="B146" s="35" t="s">
        <v>1578</v>
      </c>
      <c r="C146" s="35" t="s">
        <v>1819</v>
      </c>
      <c r="D146" s="35" t="s">
        <v>1568</v>
      </c>
      <c r="E146" s="35" t="s">
        <v>1259</v>
      </c>
      <c r="F146" s="35" t="s">
        <v>1570</v>
      </c>
      <c r="G146" s="105">
        <v>36.6</v>
      </c>
      <c r="H146" s="105">
        <v>35</v>
      </c>
      <c r="I146" s="105">
        <v>533</v>
      </c>
      <c r="J146" s="105">
        <v>29.048500000000001</v>
      </c>
      <c r="K146" s="106">
        <v>45264</v>
      </c>
      <c r="L146" s="105">
        <v>54.255839999999999</v>
      </c>
      <c r="M146" s="105">
        <v>25.207339999999999</v>
      </c>
      <c r="N146" s="105">
        <v>35.119799999999998</v>
      </c>
      <c r="O146" s="105">
        <v>6.0712999999999999</v>
      </c>
      <c r="P146" s="35" t="s">
        <v>1571</v>
      </c>
      <c r="Q146" s="35" t="s">
        <v>1581</v>
      </c>
      <c r="R146" s="35" t="s">
        <v>1592</v>
      </c>
      <c r="S146" s="105">
        <v>53.330399999999997</v>
      </c>
      <c r="T146" s="105">
        <v>24.2819</v>
      </c>
      <c r="U146" s="35" t="s">
        <v>1586</v>
      </c>
      <c r="V146" s="35" t="s">
        <v>1652</v>
      </c>
      <c r="W146" s="105">
        <v>67.5</v>
      </c>
      <c r="X146" s="105">
        <v>38.451500000000003</v>
      </c>
      <c r="Y146" s="105">
        <v>44</v>
      </c>
      <c r="Z146" s="35" t="s">
        <v>1576</v>
      </c>
      <c r="AA146">
        <f>VLOOKUP(A146,Cover!A:R,18,0)</f>
        <v>2</v>
      </c>
      <c r="AB146" s="77">
        <f t="shared" si="119"/>
        <v>23.207339999999999</v>
      </c>
      <c r="AC146" s="77">
        <f t="shared" si="120"/>
        <v>4.0712999999999999</v>
      </c>
      <c r="AD146" s="77">
        <f t="shared" si="121"/>
        <v>42.773902311714274</v>
      </c>
      <c r="AE146" s="77">
        <f t="shared" si="122"/>
        <v>11.592605880443513</v>
      </c>
      <c r="AF146" s="77">
        <f t="shared" si="123"/>
        <v>22.2819</v>
      </c>
      <c r="AG146" s="77">
        <f t="shared" si="124"/>
        <v>41.780860447324606</v>
      </c>
      <c r="AH146" s="77">
        <f t="shared" si="125"/>
        <v>67.5</v>
      </c>
      <c r="AI146" s="77">
        <f t="shared" si="126"/>
        <v>29.048500000000001</v>
      </c>
      <c r="AJ146" s="77">
        <f t="shared" si="127"/>
        <v>38.451499999999996</v>
      </c>
      <c r="AK146" s="77">
        <f t="shared" si="128"/>
        <v>2</v>
      </c>
      <c r="AL146" s="77">
        <f t="shared" si="129"/>
        <v>36.451499999999996</v>
      </c>
      <c r="AM146" s="77">
        <f t="shared" si="130"/>
        <v>54.002222222222215</v>
      </c>
      <c r="AO146" t="s">
        <v>1577</v>
      </c>
      <c r="AP146" t="str">
        <f t="shared" si="117"/>
        <v>DDm125-33</v>
      </c>
      <c r="AQ146">
        <f>_xlfn.XLOOKUP(A146,'SYS Allocations'!A:A,'SYS Allocations'!B:B)</f>
        <v>0</v>
      </c>
      <c r="AR146">
        <f>_xlfn.XLOOKUP(A146,'SYS Allocations'!A:A,'SYS Allocations'!C:C)</f>
        <v>0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18"/>
        <v>DDm125-33</v>
      </c>
    </row>
    <row r="147" spans="1:53">
      <c r="A147" s="35" t="s">
        <v>163</v>
      </c>
      <c r="B147" s="35" t="s">
        <v>1655</v>
      </c>
      <c r="C147" s="35" t="s">
        <v>1820</v>
      </c>
      <c r="D147" s="35" t="s">
        <v>1568</v>
      </c>
      <c r="E147" s="35" t="s">
        <v>1141</v>
      </c>
      <c r="F147" s="35" t="s">
        <v>1570</v>
      </c>
      <c r="G147" s="105">
        <v>36.6</v>
      </c>
      <c r="H147" s="105">
        <v>18</v>
      </c>
      <c r="I147" s="105">
        <v>210</v>
      </c>
      <c r="J147" s="105">
        <v>11.445</v>
      </c>
      <c r="K147" s="106">
        <v>45264</v>
      </c>
      <c r="L147" s="105">
        <v>27.12792</v>
      </c>
      <c r="M147" s="105">
        <v>15.682919999999999</v>
      </c>
      <c r="N147" s="105">
        <v>12.1099</v>
      </c>
      <c r="O147" s="105">
        <v>0.66490000000000105</v>
      </c>
      <c r="P147" s="35" t="s">
        <v>1574</v>
      </c>
      <c r="Q147" s="35" t="s">
        <v>1581</v>
      </c>
      <c r="R147" s="35" t="s">
        <v>1592</v>
      </c>
      <c r="S147" s="105">
        <v>35.553600000000003</v>
      </c>
      <c r="T147" s="105">
        <v>24.108599999999999</v>
      </c>
      <c r="U147" s="35" t="s">
        <v>1574</v>
      </c>
      <c r="V147" s="35" t="s">
        <v>1583</v>
      </c>
      <c r="W147" s="105">
        <v>22.5</v>
      </c>
      <c r="X147" s="105">
        <v>11.055</v>
      </c>
      <c r="Y147" s="105">
        <v>174</v>
      </c>
      <c r="Z147" s="35" t="s">
        <v>1576</v>
      </c>
      <c r="AA147">
        <f>VLOOKUP(A147,Cover!A:R,18,0)</f>
        <v>5.9</v>
      </c>
      <c r="AB147" s="77">
        <f t="shared" si="119"/>
        <v>9.782919999999999</v>
      </c>
      <c r="AC147" s="77">
        <f t="shared" si="120"/>
        <v>-5.2350999999999992</v>
      </c>
      <c r="AD147" s="77">
        <f t="shared" si="121"/>
        <v>36.062182430499647</v>
      </c>
      <c r="AE147" s="77">
        <f t="shared" si="122"/>
        <v>-43.229919322207444</v>
      </c>
      <c r="AF147" s="77">
        <f t="shared" si="123"/>
        <v>18.208599999999997</v>
      </c>
      <c r="AG147" s="77">
        <f t="shared" si="124"/>
        <v>51.214504297736362</v>
      </c>
      <c r="AH147" s="77">
        <f t="shared" si="125"/>
        <v>22.5</v>
      </c>
      <c r="AI147" s="77">
        <f t="shared" si="126"/>
        <v>11.445</v>
      </c>
      <c r="AJ147" s="77">
        <f t="shared" si="127"/>
        <v>11.055</v>
      </c>
      <c r="AK147" s="77">
        <f t="shared" si="128"/>
        <v>5.9</v>
      </c>
      <c r="AL147" s="77">
        <f t="shared" si="129"/>
        <v>5.1549999999999994</v>
      </c>
      <c r="AM147" s="77">
        <f t="shared" si="130"/>
        <v>22.911111111111108</v>
      </c>
      <c r="AO147" t="s">
        <v>1577</v>
      </c>
      <c r="AP147" t="str">
        <f t="shared" si="117"/>
        <v>DDm125-33</v>
      </c>
      <c r="AQ147">
        <f>_xlfn.XLOOKUP(A147,'SYS Allocations'!A:A,'SYS Allocations'!B:B)</f>
        <v>0</v>
      </c>
      <c r="AR147" t="str">
        <f>_xlfn.XLOOKUP(A147,'SYS Allocations'!A:A,'SYS Allocations'!C:C)</f>
        <v>RA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18"/>
        <v>DDm125-33</v>
      </c>
    </row>
    <row r="148" spans="1:53">
      <c r="A148" s="35" t="s">
        <v>164</v>
      </c>
      <c r="B148" s="35" t="s">
        <v>1620</v>
      </c>
      <c r="C148" s="35" t="s">
        <v>1821</v>
      </c>
      <c r="D148" s="35" t="s">
        <v>1563</v>
      </c>
      <c r="E148" s="35" t="s">
        <v>996</v>
      </c>
      <c r="F148" s="35" t="s">
        <v>1570</v>
      </c>
      <c r="G148" s="105">
        <v>36.6</v>
      </c>
      <c r="H148" s="105">
        <v>11</v>
      </c>
      <c r="I148" s="105">
        <v>142</v>
      </c>
      <c r="J148" s="105">
        <v>7.7389999999999999</v>
      </c>
      <c r="K148" s="106">
        <v>44707.604166666701</v>
      </c>
      <c r="L148" s="105">
        <v>15.957599999999999</v>
      </c>
      <c r="M148" s="105">
        <v>8.2186000000000003</v>
      </c>
      <c r="N148" s="105">
        <v>6.0495000000000001</v>
      </c>
      <c r="O148" s="107">
        <v>-1.6895</v>
      </c>
      <c r="P148" s="35" t="s">
        <v>1571</v>
      </c>
      <c r="Q148" s="35" t="s">
        <v>1581</v>
      </c>
      <c r="R148" s="35" t="s">
        <v>1763</v>
      </c>
      <c r="S148" s="105">
        <v>21.6432</v>
      </c>
      <c r="T148" s="105">
        <v>13.904199999999999</v>
      </c>
      <c r="U148" s="35" t="s">
        <v>1571</v>
      </c>
      <c r="V148" s="35" t="s">
        <v>1822</v>
      </c>
      <c r="W148" s="105">
        <v>21</v>
      </c>
      <c r="X148" s="105">
        <v>13.260999999999999</v>
      </c>
      <c r="Y148" s="105">
        <v>1</v>
      </c>
      <c r="Z148" s="35" t="s">
        <v>8</v>
      </c>
      <c r="AA148">
        <f>VLOOKUP(A148,Cover!A:R,18,0)</f>
        <v>0</v>
      </c>
      <c r="AB148" s="77">
        <f t="shared" si="119"/>
        <v>8.2186000000000003</v>
      </c>
      <c r="AC148" s="77">
        <f t="shared" si="120"/>
        <v>-1.6895</v>
      </c>
      <c r="AD148" s="77">
        <f t="shared" si="121"/>
        <v>51.502732240437162</v>
      </c>
      <c r="AE148" s="77">
        <f t="shared" si="122"/>
        <v>-27.927927927927929</v>
      </c>
      <c r="AF148" s="77">
        <f t="shared" si="123"/>
        <v>13.904199999999999</v>
      </c>
      <c r="AG148" s="77">
        <f t="shared" si="124"/>
        <v>64.242810674946398</v>
      </c>
      <c r="AH148" s="77">
        <f t="shared" si="125"/>
        <v>21</v>
      </c>
      <c r="AI148" s="77">
        <f t="shared" si="126"/>
        <v>7.7389999999999999</v>
      </c>
      <c r="AJ148" s="77">
        <f t="shared" si="127"/>
        <v>13.260999999999999</v>
      </c>
      <c r="AK148" s="77">
        <f t="shared" si="128"/>
        <v>0</v>
      </c>
      <c r="AL148" s="77">
        <f t="shared" si="129"/>
        <v>13.260999999999999</v>
      </c>
      <c r="AM148" s="77">
        <f t="shared" si="130"/>
        <v>63.147619047619045</v>
      </c>
      <c r="AN148" s="52" t="s">
        <v>1563</v>
      </c>
      <c r="AO148" t="s">
        <v>1577</v>
      </c>
      <c r="AP148" t="str">
        <f t="shared" si="117"/>
        <v>DDm85-21</v>
      </c>
      <c r="AQ148">
        <f>_xlfn.XLOOKUP(A148,'SYS Allocations'!A:A,'SYS Allocations'!B:B)</f>
        <v>0</v>
      </c>
      <c r="AR148">
        <f>_xlfn.XLOOKUP(A148,'SYS Allocations'!A:A,'SYS Allocations'!C:C)</f>
        <v>0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18"/>
        <v>DDm85-21</v>
      </c>
    </row>
    <row r="149" spans="1:53">
      <c r="A149" s="35" t="s">
        <v>165</v>
      </c>
      <c r="B149" s="35" t="s">
        <v>1655</v>
      </c>
      <c r="C149" s="35" t="s">
        <v>1823</v>
      </c>
      <c r="D149" s="35" t="s">
        <v>1568</v>
      </c>
      <c r="E149" s="35" t="s">
        <v>1143</v>
      </c>
      <c r="F149" s="35" t="s">
        <v>1570</v>
      </c>
      <c r="G149" s="105">
        <v>36.6</v>
      </c>
      <c r="H149" s="105">
        <v>10</v>
      </c>
      <c r="I149" s="105">
        <v>97</v>
      </c>
      <c r="J149" s="105">
        <v>5.2865000000000002</v>
      </c>
      <c r="K149" s="106">
        <v>45264</v>
      </c>
      <c r="L149" s="105">
        <v>14.361840000000001</v>
      </c>
      <c r="M149" s="105">
        <v>9.0753400000000006</v>
      </c>
      <c r="N149" s="105">
        <v>17.734300000000001</v>
      </c>
      <c r="O149" s="105">
        <v>12.447800000000001</v>
      </c>
      <c r="P149" s="35" t="s">
        <v>1586</v>
      </c>
      <c r="Q149" s="35" t="s">
        <v>1599</v>
      </c>
      <c r="R149" s="35" t="s">
        <v>1600</v>
      </c>
      <c r="S149" s="105">
        <v>3.456</v>
      </c>
      <c r="T149" s="105">
        <v>-1.8305</v>
      </c>
      <c r="U149" s="35" t="s">
        <v>1574</v>
      </c>
      <c r="V149" s="35" t="s">
        <v>1673</v>
      </c>
      <c r="W149" s="105">
        <v>11.25</v>
      </c>
      <c r="X149" s="105">
        <v>5.9634999999999998</v>
      </c>
      <c r="Y149" s="105">
        <v>4</v>
      </c>
      <c r="Z149" s="35" t="s">
        <v>1576</v>
      </c>
      <c r="AA149">
        <f>VLOOKUP(A149,Cover!A:R,18,0)</f>
        <v>0</v>
      </c>
      <c r="AB149" s="77">
        <f t="shared" si="119"/>
        <v>9.0753400000000006</v>
      </c>
      <c r="AC149" s="77">
        <f t="shared" si="120"/>
        <v>12.447800000000001</v>
      </c>
      <c r="AD149" s="77">
        <f t="shared" si="121"/>
        <v>63.190649666059507</v>
      </c>
      <c r="AE149" s="77">
        <f t="shared" si="122"/>
        <v>70.190534726490483</v>
      </c>
      <c r="AF149" s="77">
        <f t="shared" si="123"/>
        <v>-1.8305</v>
      </c>
      <c r="AG149" s="77">
        <f t="shared" si="124"/>
        <v>-52.965856481481481</v>
      </c>
      <c r="AH149" s="77">
        <f t="shared" si="125"/>
        <v>11.25</v>
      </c>
      <c r="AI149" s="77">
        <f t="shared" si="126"/>
        <v>5.2865000000000002</v>
      </c>
      <c r="AJ149" s="77">
        <f t="shared" si="127"/>
        <v>5.9634999999999998</v>
      </c>
      <c r="AK149" s="77">
        <f t="shared" si="128"/>
        <v>0</v>
      </c>
      <c r="AL149" s="77">
        <f t="shared" si="129"/>
        <v>5.9634999999999998</v>
      </c>
      <c r="AM149" s="77">
        <f t="shared" si="130"/>
        <v>53.008888888888883</v>
      </c>
      <c r="AO149" t="s">
        <v>1577</v>
      </c>
      <c r="AP149" t="str">
        <f t="shared" si="117"/>
        <v>SBS C11F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18"/>
        <v>SBS C11F</v>
      </c>
    </row>
    <row r="150" spans="1:53">
      <c r="A150" s="35" t="s">
        <v>166</v>
      </c>
      <c r="B150" s="35" t="s">
        <v>1655</v>
      </c>
      <c r="C150" s="35" t="s">
        <v>1824</v>
      </c>
      <c r="D150" s="35" t="s">
        <v>1613</v>
      </c>
      <c r="E150" s="35" t="s">
        <v>1825</v>
      </c>
      <c r="F150" s="35" t="s">
        <v>1570</v>
      </c>
      <c r="G150" s="105">
        <v>36.6</v>
      </c>
      <c r="H150" s="105">
        <v>26</v>
      </c>
      <c r="I150" s="105">
        <v>300</v>
      </c>
      <c r="J150" s="105">
        <v>16.350000000000001</v>
      </c>
      <c r="K150" s="106">
        <v>45264</v>
      </c>
      <c r="L150" s="105">
        <v>39.893999999999998</v>
      </c>
      <c r="M150" s="105">
        <v>23.544</v>
      </c>
      <c r="N150" s="105">
        <v>28.067499999999999</v>
      </c>
      <c r="O150" s="105">
        <v>11.717499999999999</v>
      </c>
      <c r="P150" s="35" t="s">
        <v>1574</v>
      </c>
      <c r="Q150" s="35" t="s">
        <v>1581</v>
      </c>
      <c r="R150" s="35" t="s">
        <v>1592</v>
      </c>
      <c r="S150" s="105">
        <v>35.553600000000003</v>
      </c>
      <c r="T150" s="105">
        <v>19.203600000000002</v>
      </c>
      <c r="U150" s="35" t="s">
        <v>1571</v>
      </c>
      <c r="V150" s="35" t="s">
        <v>1641</v>
      </c>
      <c r="W150" s="105">
        <v>37.5</v>
      </c>
      <c r="X150" s="105">
        <v>21.15</v>
      </c>
      <c r="Y150" s="105">
        <v>18</v>
      </c>
      <c r="Z150" s="35" t="s">
        <v>1576</v>
      </c>
      <c r="AA150">
        <f>VLOOKUP(A150,Cover!A:R,18,0)</f>
        <v>1.7</v>
      </c>
      <c r="AB150" s="77">
        <f t="shared" si="119"/>
        <v>21.844000000000001</v>
      </c>
      <c r="AC150" s="77">
        <f t="shared" si="120"/>
        <v>10.0175</v>
      </c>
      <c r="AD150" s="77">
        <f t="shared" si="121"/>
        <v>54.755101017696909</v>
      </c>
      <c r="AE150" s="77">
        <f t="shared" si="122"/>
        <v>35.690745524182773</v>
      </c>
      <c r="AF150" s="77">
        <f t="shared" si="123"/>
        <v>17.503600000000002</v>
      </c>
      <c r="AG150" s="77">
        <f t="shared" si="124"/>
        <v>49.231582737050545</v>
      </c>
      <c r="AH150" s="77">
        <f t="shared" si="125"/>
        <v>37.5</v>
      </c>
      <c r="AI150" s="77">
        <f t="shared" si="126"/>
        <v>16.350000000000001</v>
      </c>
      <c r="AJ150" s="77">
        <f t="shared" si="127"/>
        <v>21.15</v>
      </c>
      <c r="AK150" s="77">
        <f t="shared" si="128"/>
        <v>1.7</v>
      </c>
      <c r="AL150" s="77">
        <f t="shared" si="129"/>
        <v>19.45</v>
      </c>
      <c r="AM150" s="77">
        <f t="shared" si="130"/>
        <v>51.866666666666667</v>
      </c>
      <c r="AO150" t="s">
        <v>1577</v>
      </c>
      <c r="AP150" t="str">
        <f t="shared" si="117"/>
        <v>DDm125-33</v>
      </c>
      <c r="AQ150">
        <f>_xlfn.XLOOKUP(A150,'SYS Allocations'!A:A,'SYS Allocations'!B:B)</f>
        <v>0</v>
      </c>
      <c r="AR150" t="str">
        <f>_xlfn.XLOOKUP(A150,'SYS Allocations'!A:A,'SYS Allocations'!C:C)</f>
        <v>RA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18"/>
        <v>DDm125-33</v>
      </c>
    </row>
    <row r="151" spans="1:53">
      <c r="A151" s="35" t="s">
        <v>167</v>
      </c>
      <c r="B151" s="35" t="s">
        <v>1590</v>
      </c>
      <c r="C151" s="35" t="s">
        <v>1590</v>
      </c>
      <c r="D151" s="35" t="s">
        <v>1563</v>
      </c>
      <c r="E151" s="35" t="s">
        <v>864</v>
      </c>
      <c r="F151" s="35" t="s">
        <v>1580</v>
      </c>
      <c r="G151" s="105">
        <v>75</v>
      </c>
      <c r="H151" s="105">
        <v>35</v>
      </c>
      <c r="I151" s="105">
        <v>1430</v>
      </c>
      <c r="J151" s="105">
        <v>77.935000000000002</v>
      </c>
      <c r="K151" s="106">
        <v>44944</v>
      </c>
      <c r="L151" s="105">
        <v>111.18</v>
      </c>
      <c r="M151" s="105">
        <v>33.244999999999997</v>
      </c>
      <c r="N151" s="105">
        <v>95.375</v>
      </c>
      <c r="O151" s="105">
        <v>17.440000000000001</v>
      </c>
      <c r="P151" s="35" t="s">
        <v>1586</v>
      </c>
      <c r="Q151" s="35" t="s">
        <v>1581</v>
      </c>
      <c r="R151" s="35" t="s">
        <v>1635</v>
      </c>
      <c r="S151" s="105">
        <v>113.616</v>
      </c>
      <c r="T151" s="105">
        <v>35.680999999999997</v>
      </c>
      <c r="U151" s="35" t="s">
        <v>1658</v>
      </c>
      <c r="V151" s="35" t="s">
        <v>1826</v>
      </c>
      <c r="W151" s="105">
        <v>71.25</v>
      </c>
      <c r="X151" s="105">
        <v>-6.6849999999999996</v>
      </c>
      <c r="Y151" s="105">
        <v>45</v>
      </c>
      <c r="Z151" s="35" t="s">
        <v>1688</v>
      </c>
      <c r="AA151">
        <f>VLOOKUP(A151,Cover!A:R,18,0)</f>
        <v>11.5</v>
      </c>
      <c r="AB151" s="77">
        <f t="shared" si="119"/>
        <v>21.744999999999997</v>
      </c>
      <c r="AC151" s="77">
        <f t="shared" si="120"/>
        <v>5.9400000000000013</v>
      </c>
      <c r="AD151" s="77">
        <f t="shared" si="121"/>
        <v>19.558373808238887</v>
      </c>
      <c r="AE151" s="77">
        <f t="shared" si="122"/>
        <v>6.228047182175624</v>
      </c>
      <c r="AF151" s="77">
        <f t="shared" si="123"/>
        <v>24.180999999999997</v>
      </c>
      <c r="AG151" s="77">
        <f t="shared" si="124"/>
        <v>21.283093930432329</v>
      </c>
      <c r="AH151" s="77">
        <f t="shared" si="125"/>
        <v>71.25</v>
      </c>
      <c r="AI151" s="77">
        <f t="shared" si="126"/>
        <v>77.935000000000002</v>
      </c>
      <c r="AJ151" s="77">
        <f t="shared" si="127"/>
        <v>-6.6850000000000023</v>
      </c>
      <c r="AK151" s="77">
        <f t="shared" si="128"/>
        <v>11.5</v>
      </c>
      <c r="AL151" s="77">
        <f t="shared" si="129"/>
        <v>-18.185000000000002</v>
      </c>
      <c r="AM151" s="77">
        <f t="shared" si="130"/>
        <v>-25.522807017543862</v>
      </c>
      <c r="AN151" t="s">
        <v>1563</v>
      </c>
      <c r="AO151" t="s">
        <v>1577</v>
      </c>
      <c r="AP151" t="str">
        <f t="shared" si="117"/>
        <v>DDm125-33</v>
      </c>
      <c r="AQ151">
        <f>_xlfn.XLOOKUP(A151,'SYS Allocations'!A:A,'SYS Allocations'!B:B)</f>
        <v>0</v>
      </c>
      <c r="AR151">
        <f>_xlfn.XLOOKUP(A151,'SYS Allocations'!A:A,'SYS Allocations'!C:C)</f>
        <v>0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18"/>
        <v xml:space="preserve">DDm125-33 </v>
      </c>
    </row>
    <row r="152" spans="1:53">
      <c r="A152" s="35" t="s">
        <v>168</v>
      </c>
      <c r="B152" s="35" t="s">
        <v>1629</v>
      </c>
      <c r="C152" s="35" t="s">
        <v>1827</v>
      </c>
      <c r="D152" s="35" t="s">
        <v>1563</v>
      </c>
      <c r="E152" s="35" t="s">
        <v>1285</v>
      </c>
      <c r="F152" s="35" t="s">
        <v>1580</v>
      </c>
      <c r="G152" s="105">
        <v>75</v>
      </c>
      <c r="H152" s="105">
        <v>12</v>
      </c>
      <c r="I152" s="105">
        <v>240</v>
      </c>
      <c r="J152" s="105">
        <v>13.08</v>
      </c>
      <c r="K152" s="106">
        <v>44676.708333333299</v>
      </c>
      <c r="L152" s="105">
        <v>35.97</v>
      </c>
      <c r="M152" s="105">
        <v>22.89</v>
      </c>
      <c r="N152" s="105">
        <v>27.522500000000001</v>
      </c>
      <c r="O152" s="105">
        <v>14.442500000000001</v>
      </c>
      <c r="P152" s="35" t="s">
        <v>1574</v>
      </c>
      <c r="Q152" s="35" t="s">
        <v>1581</v>
      </c>
      <c r="R152" s="35" t="s">
        <v>1644</v>
      </c>
      <c r="S152" s="105">
        <v>28.123200000000001</v>
      </c>
      <c r="T152" s="105">
        <v>15.043200000000001</v>
      </c>
      <c r="U152" s="35" t="s">
        <v>1574</v>
      </c>
      <c r="V152" s="35" t="s">
        <v>1583</v>
      </c>
      <c r="W152" s="105">
        <v>22.5</v>
      </c>
      <c r="X152" s="105">
        <v>9.42</v>
      </c>
      <c r="Y152" s="105">
        <v>7</v>
      </c>
      <c r="Z152" s="35" t="s">
        <v>8</v>
      </c>
      <c r="AA152">
        <f>VLOOKUP(A152,Cover!A:R,18,0)</f>
        <v>1</v>
      </c>
      <c r="AB152" s="77">
        <f t="shared" si="119"/>
        <v>21.89</v>
      </c>
      <c r="AC152" s="77">
        <f t="shared" si="120"/>
        <v>13.442500000000001</v>
      </c>
      <c r="AD152" s="77">
        <f t="shared" si="121"/>
        <v>60.856269113149857</v>
      </c>
      <c r="AE152" s="77">
        <f t="shared" si="122"/>
        <v>48.8418566627305</v>
      </c>
      <c r="AF152" s="77">
        <f t="shared" si="123"/>
        <v>14.043200000000001</v>
      </c>
      <c r="AG152" s="77">
        <f t="shared" si="124"/>
        <v>49.934573590487574</v>
      </c>
      <c r="AH152" s="77">
        <f t="shared" si="125"/>
        <v>22.5</v>
      </c>
      <c r="AI152" s="77">
        <f t="shared" si="126"/>
        <v>13.08</v>
      </c>
      <c r="AJ152" s="77">
        <f t="shared" si="127"/>
        <v>9.42</v>
      </c>
      <c r="AK152" s="77">
        <f t="shared" si="128"/>
        <v>1</v>
      </c>
      <c r="AL152" s="77">
        <f t="shared" si="129"/>
        <v>8.42</v>
      </c>
      <c r="AM152" s="77">
        <f t="shared" si="130"/>
        <v>37.422222222222224</v>
      </c>
      <c r="AN152" t="s">
        <v>1563</v>
      </c>
      <c r="AO152" t="s">
        <v>1577</v>
      </c>
      <c r="AP152" t="str">
        <f t="shared" si="117"/>
        <v>DDm100-33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18"/>
        <v>DDm100-33</v>
      </c>
    </row>
    <row r="153" spans="1:53">
      <c r="A153" s="35" t="s">
        <v>169</v>
      </c>
      <c r="B153" s="35" t="s">
        <v>1655</v>
      </c>
      <c r="C153" s="35" t="s">
        <v>1828</v>
      </c>
      <c r="D153" s="35" t="s">
        <v>1568</v>
      </c>
      <c r="E153" s="35" t="s">
        <v>1172</v>
      </c>
      <c r="F153" s="35" t="s">
        <v>1570</v>
      </c>
      <c r="G153" s="105">
        <v>36.6</v>
      </c>
      <c r="H153" s="105">
        <v>48</v>
      </c>
      <c r="I153" s="105">
        <v>364</v>
      </c>
      <c r="J153" s="105">
        <v>19.838000000000001</v>
      </c>
      <c r="K153" s="106">
        <v>45264</v>
      </c>
      <c r="L153" s="105">
        <v>75.000720000000001</v>
      </c>
      <c r="M153" s="105">
        <v>55.16272</v>
      </c>
      <c r="N153" s="105">
        <v>50.1509</v>
      </c>
      <c r="O153" s="105">
        <v>30.312899999999999</v>
      </c>
      <c r="P153" s="35" t="s">
        <v>1586</v>
      </c>
      <c r="Q153" s="35" t="s">
        <v>1581</v>
      </c>
      <c r="R153" s="35" t="s">
        <v>1592</v>
      </c>
      <c r="S153" s="105">
        <v>71.107200000000205</v>
      </c>
      <c r="T153" s="105">
        <v>51.269200000000197</v>
      </c>
      <c r="U153" s="35" t="s">
        <v>1571</v>
      </c>
      <c r="V153" s="35" t="s">
        <v>1653</v>
      </c>
      <c r="W153" s="105">
        <v>90</v>
      </c>
      <c r="X153" s="105">
        <v>70.162000000000006</v>
      </c>
      <c r="Y153" s="105">
        <v>55</v>
      </c>
      <c r="Z153" s="35" t="s">
        <v>1576</v>
      </c>
      <c r="AA153">
        <f>VLOOKUP(A153,Cover!A:R,18,0)</f>
        <v>2</v>
      </c>
      <c r="AB153" s="77">
        <f t="shared" si="119"/>
        <v>53.16272</v>
      </c>
      <c r="AC153" s="77">
        <f t="shared" si="120"/>
        <v>28.312899999999999</v>
      </c>
      <c r="AD153" s="77">
        <f t="shared" si="121"/>
        <v>70.882946190383237</v>
      </c>
      <c r="AE153" s="77">
        <f t="shared" si="122"/>
        <v>56.4554175498346</v>
      </c>
      <c r="AF153" s="77">
        <f t="shared" si="123"/>
        <v>49.269200000000197</v>
      </c>
      <c r="AG153" s="77">
        <f t="shared" si="124"/>
        <v>69.288623374285663</v>
      </c>
      <c r="AH153" s="346">
        <f>AVERAGE(W153:W154)</f>
        <v>90</v>
      </c>
      <c r="AI153" s="346">
        <f>SUM(J153:J154)</f>
        <v>38.531500000000001</v>
      </c>
      <c r="AJ153" s="346">
        <f t="shared" si="127"/>
        <v>51.468499999999999</v>
      </c>
      <c r="AK153" s="346">
        <f>SUM(AA153:AA154)</f>
        <v>23.099999999999998</v>
      </c>
      <c r="AL153" s="346">
        <f t="shared" si="129"/>
        <v>28.368500000000001</v>
      </c>
      <c r="AM153" s="345">
        <f t="shared" si="130"/>
        <v>31.520555555555557</v>
      </c>
      <c r="AO153" t="s">
        <v>1577</v>
      </c>
      <c r="AP153" t="str">
        <f t="shared" si="117"/>
        <v>DDm125-33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18"/>
        <v>DDm125-33</v>
      </c>
    </row>
    <row r="154" spans="1:53">
      <c r="A154" s="35" t="s">
        <v>170</v>
      </c>
      <c r="B154" s="35" t="s">
        <v>1655</v>
      </c>
      <c r="C154" s="35" t="s">
        <v>1828</v>
      </c>
      <c r="D154" s="35" t="s">
        <v>1568</v>
      </c>
      <c r="E154" s="35" t="s">
        <v>1172</v>
      </c>
      <c r="F154" s="35" t="s">
        <v>1570</v>
      </c>
      <c r="G154" s="105">
        <v>36.6</v>
      </c>
      <c r="H154" s="105">
        <v>42</v>
      </c>
      <c r="I154" s="105">
        <v>343</v>
      </c>
      <c r="J154" s="105">
        <v>18.6935</v>
      </c>
      <c r="K154" s="106">
        <v>45264</v>
      </c>
      <c r="L154" s="105">
        <v>65.426159999999996</v>
      </c>
      <c r="M154" s="105">
        <v>46.732660000000003</v>
      </c>
      <c r="N154" s="105">
        <v>38.182699999999997</v>
      </c>
      <c r="O154" s="105">
        <v>19.4892</v>
      </c>
      <c r="P154" s="35" t="s">
        <v>1586</v>
      </c>
      <c r="Q154" s="35" t="s">
        <v>1581</v>
      </c>
      <c r="R154" s="35" t="s">
        <v>1592</v>
      </c>
      <c r="S154" s="105">
        <v>71.107200000000205</v>
      </c>
      <c r="T154" s="105">
        <v>52.413700000000198</v>
      </c>
      <c r="U154" s="35" t="s">
        <v>1571</v>
      </c>
      <c r="V154" s="35" t="s">
        <v>1653</v>
      </c>
      <c r="W154" s="105">
        <v>90</v>
      </c>
      <c r="X154" s="105">
        <v>71.3065</v>
      </c>
      <c r="Y154" s="105">
        <v>55</v>
      </c>
      <c r="Z154" s="35" t="s">
        <v>1576</v>
      </c>
      <c r="AA154">
        <f>VLOOKUP(A154,Cover!A:R,18,0)</f>
        <v>21.099999999999998</v>
      </c>
      <c r="AB154" s="77">
        <f t="shared" si="119"/>
        <v>25.632660000000005</v>
      </c>
      <c r="AC154" s="77">
        <f t="shared" si="120"/>
        <v>-1.6107999999999976</v>
      </c>
      <c r="AD154" s="77">
        <f t="shared" si="121"/>
        <v>39.177998525360508</v>
      </c>
      <c r="AE154" s="77">
        <f t="shared" si="122"/>
        <v>-4.2186644737014349</v>
      </c>
      <c r="AF154" s="77">
        <f t="shared" si="123"/>
        <v>31.3137000000002</v>
      </c>
      <c r="AG154" s="77">
        <f t="shared" si="124"/>
        <v>44.037312677197399</v>
      </c>
      <c r="AH154" s="346"/>
      <c r="AI154" s="346"/>
      <c r="AJ154" s="346"/>
      <c r="AK154" s="346"/>
      <c r="AL154" s="346"/>
      <c r="AM154" s="345"/>
      <c r="AO154" t="s">
        <v>1577</v>
      </c>
      <c r="AP154" t="str">
        <f t="shared" si="117"/>
        <v>DDm125-33</v>
      </c>
      <c r="AQ154">
        <f>_xlfn.XLOOKUP(A154,'SYS Allocations'!A:A,'SYS Allocations'!B:B)</f>
        <v>0</v>
      </c>
      <c r="AR154" t="str">
        <f>_xlfn.XLOOKUP(A154,'SYS Allocations'!A:A,'SYS Allocations'!C:C)</f>
        <v>RA</v>
      </c>
      <c r="AS154" t="str">
        <f>_xlfn.XLOOKUP(A154,'SYS Allocations'!A:A,'SYS Allocations'!D:D)</f>
        <v>PX</v>
      </c>
      <c r="AT154">
        <f>_xlfn.XLOOKUP(A154,'SYS Allocations'!A:A,'SYS Allocations'!E:E)</f>
        <v>0</v>
      </c>
      <c r="AU154" t="str">
        <f>_xlfn.XLOOKUP(A154,'SYS Allocations'!A:A,'SYS Allocations'!F:F)</f>
        <v>OPEX</v>
      </c>
      <c r="BA154" t="str">
        <f t="shared" si="118"/>
        <v>DDm125-33</v>
      </c>
    </row>
    <row r="155" spans="1:53">
      <c r="A155" s="35" t="s">
        <v>171</v>
      </c>
      <c r="B155" s="35" t="s">
        <v>1655</v>
      </c>
      <c r="C155" s="35" t="s">
        <v>1828</v>
      </c>
      <c r="D155" s="35" t="s">
        <v>1568</v>
      </c>
      <c r="E155" s="35" t="s">
        <v>1172</v>
      </c>
      <c r="F155" s="35" t="s">
        <v>1570</v>
      </c>
      <c r="G155" s="105">
        <v>36.6</v>
      </c>
      <c r="H155" s="105">
        <v>27</v>
      </c>
      <c r="I155" s="105">
        <v>0</v>
      </c>
      <c r="J155" s="105">
        <v>0</v>
      </c>
      <c r="K155" s="106">
        <v>0</v>
      </c>
      <c r="L155" s="105">
        <v>41.489759999999997</v>
      </c>
      <c r="M155" s="105">
        <v>41.489759999999997</v>
      </c>
      <c r="N155" s="105">
        <v>42.924199999999999</v>
      </c>
      <c r="O155" s="105">
        <v>42.924199999999999</v>
      </c>
      <c r="P155" s="35" t="s">
        <v>1574</v>
      </c>
      <c r="Q155" s="35" t="s">
        <v>1829</v>
      </c>
      <c r="R155" s="35" t="s">
        <v>1830</v>
      </c>
      <c r="S155" s="105">
        <v>18.446400000000001</v>
      </c>
      <c r="T155" s="105">
        <v>18.446400000000001</v>
      </c>
      <c r="U155" s="35" t="s">
        <v>1571</v>
      </c>
      <c r="V155" s="35" t="s">
        <v>1653</v>
      </c>
      <c r="W155" s="105">
        <v>90</v>
      </c>
      <c r="X155" s="105">
        <v>90</v>
      </c>
      <c r="Y155" s="105">
        <v>55</v>
      </c>
      <c r="Z155" s="35" t="s">
        <v>1576</v>
      </c>
      <c r="AA155">
        <f>VLOOKUP(A155,Cover!A:R,18,0)</f>
        <v>0</v>
      </c>
      <c r="AB155" s="77"/>
      <c r="AC155" s="77"/>
      <c r="AD155" s="77"/>
      <c r="AE155" s="77"/>
      <c r="AF155" s="77"/>
      <c r="AG155" s="77"/>
      <c r="AH155" s="98"/>
      <c r="AI155" s="98"/>
      <c r="AJ155" s="98"/>
      <c r="AK155" s="98"/>
      <c r="AL155" s="98"/>
      <c r="AM155" s="98"/>
      <c r="AO155" t="s">
        <v>1577</v>
      </c>
      <c r="AP155" t="str">
        <f t="shared" si="117"/>
        <v>VH34</v>
      </c>
      <c r="AQ155">
        <f>_xlfn.XLOOKUP(A155,'SYS Allocations'!A:A,'SYS Allocations'!B:B)</f>
        <v>0</v>
      </c>
      <c r="AR155">
        <f>_xlfn.XLOOKUP(A155,'SYS Allocations'!A:A,'SYS Allocations'!C:C)</f>
        <v>0</v>
      </c>
      <c r="AS155">
        <f>_xlfn.XLOOKUP(A155,'SYS Allocations'!A:A,'SYS Allocations'!D:D)</f>
        <v>0</v>
      </c>
      <c r="AT155">
        <f>_xlfn.XLOOKUP(A155,'SYS Allocations'!A:A,'SYS Allocations'!E:E)</f>
        <v>0</v>
      </c>
      <c r="AU155">
        <f>_xlfn.XLOOKUP(A155,'SYS Allocations'!A:A,'SYS Allocations'!F:F)</f>
        <v>0</v>
      </c>
      <c r="BA155" t="str">
        <f t="shared" si="118"/>
        <v>VH34</v>
      </c>
    </row>
    <row r="156" spans="1:53">
      <c r="A156" s="35" t="s">
        <v>172</v>
      </c>
      <c r="B156" s="35" t="s">
        <v>1655</v>
      </c>
      <c r="C156" s="35" t="s">
        <v>1828</v>
      </c>
      <c r="D156" s="35" t="s">
        <v>1563</v>
      </c>
      <c r="E156" s="35" t="s">
        <v>1145</v>
      </c>
      <c r="F156" s="35" t="s">
        <v>1570</v>
      </c>
      <c r="G156" s="105">
        <v>36.6</v>
      </c>
      <c r="H156" s="105">
        <v>64</v>
      </c>
      <c r="I156" s="105">
        <v>913</v>
      </c>
      <c r="J156" s="105">
        <v>49.758499999999998</v>
      </c>
      <c r="K156" s="106">
        <v>45264</v>
      </c>
      <c r="L156" s="105">
        <v>100.53288000000001</v>
      </c>
      <c r="M156" s="105">
        <v>50.774380000000001</v>
      </c>
      <c r="N156" s="105">
        <v>92.966099999999997</v>
      </c>
      <c r="O156" s="105">
        <v>43.207599999999999</v>
      </c>
      <c r="P156" s="35" t="s">
        <v>1571</v>
      </c>
      <c r="Q156" s="35" t="s">
        <v>1581</v>
      </c>
      <c r="R156" s="35" t="s">
        <v>1592</v>
      </c>
      <c r="S156" s="105">
        <v>53.330399999999997</v>
      </c>
      <c r="T156" s="105">
        <v>3.5718999999999901</v>
      </c>
      <c r="U156" s="35" t="s">
        <v>1618</v>
      </c>
      <c r="V156" s="35" t="s">
        <v>1611</v>
      </c>
      <c r="W156" s="105">
        <v>112.5</v>
      </c>
      <c r="X156" s="105">
        <v>62.741500000000002</v>
      </c>
      <c r="Y156" s="105">
        <v>39</v>
      </c>
      <c r="Z156" s="35" t="s">
        <v>1831</v>
      </c>
      <c r="AA156">
        <f>VLOOKUP(A156,Cover!A:R,18,0)</f>
        <v>4</v>
      </c>
      <c r="AB156" s="77">
        <f t="shared" si="119"/>
        <v>46.774380000000001</v>
      </c>
      <c r="AC156" s="77">
        <f t="shared" si="120"/>
        <v>39.207599999999999</v>
      </c>
      <c r="AD156" s="77">
        <f t="shared" si="121"/>
        <v>46.526449854017912</v>
      </c>
      <c r="AE156" s="77">
        <f t="shared" si="122"/>
        <v>42.174082810831045</v>
      </c>
      <c r="AF156" s="77">
        <f t="shared" si="123"/>
        <v>-0.42810000000000992</v>
      </c>
      <c r="AG156" s="77">
        <f t="shared" si="124"/>
        <v>-0.80273165024078186</v>
      </c>
      <c r="AH156" s="346">
        <f>AVERAGE(W156:W157)</f>
        <v>112.5</v>
      </c>
      <c r="AI156" s="346">
        <f>SUM(J156:J157)</f>
        <v>86.927499999999995</v>
      </c>
      <c r="AJ156" s="346">
        <f t="shared" si="127"/>
        <v>25.572500000000005</v>
      </c>
      <c r="AK156" s="346">
        <f>SUM(AA156:AA157)</f>
        <v>4</v>
      </c>
      <c r="AL156" s="346">
        <f t="shared" si="129"/>
        <v>21.572500000000005</v>
      </c>
      <c r="AM156" s="345">
        <f t="shared" si="130"/>
        <v>19.175555555555562</v>
      </c>
      <c r="AN156" t="s">
        <v>1563</v>
      </c>
      <c r="AO156" t="s">
        <v>1634</v>
      </c>
      <c r="AP156" t="str">
        <f t="shared" si="117"/>
        <v>DDm125-33</v>
      </c>
      <c r="AQ156" t="str">
        <f>_xlfn.XLOOKUP(A156,'SYS Allocations'!A:A,'SYS Allocations'!B:B)</f>
        <v>P-Core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18"/>
        <v>DDm125-33</v>
      </c>
    </row>
    <row r="157" spans="1:53">
      <c r="A157" s="35" t="s">
        <v>173</v>
      </c>
      <c r="B157" s="35" t="s">
        <v>1655</v>
      </c>
      <c r="C157" s="35" t="s">
        <v>1828</v>
      </c>
      <c r="D157" s="35" t="s">
        <v>1563</v>
      </c>
      <c r="E157" s="35" t="s">
        <v>1145</v>
      </c>
      <c r="F157" s="35" t="s">
        <v>1570</v>
      </c>
      <c r="G157" s="105">
        <v>36.6</v>
      </c>
      <c r="H157" s="105">
        <v>64</v>
      </c>
      <c r="I157" s="105">
        <v>682</v>
      </c>
      <c r="J157" s="105">
        <v>37.168999999999997</v>
      </c>
      <c r="K157" s="106">
        <v>45264</v>
      </c>
      <c r="L157" s="105">
        <v>100.53288000000001</v>
      </c>
      <c r="M157" s="105">
        <v>63.363880000000002</v>
      </c>
      <c r="N157" s="105">
        <v>92.966099999999997</v>
      </c>
      <c r="O157" s="105">
        <v>55.7971</v>
      </c>
      <c r="P157" s="35" t="s">
        <v>1571</v>
      </c>
      <c r="Q157" s="35" t="s">
        <v>1581</v>
      </c>
      <c r="R157" s="35" t="s">
        <v>1592</v>
      </c>
      <c r="S157" s="105">
        <v>53.330399999999997</v>
      </c>
      <c r="T157" s="105">
        <v>16.1614</v>
      </c>
      <c r="U157" s="35" t="s">
        <v>1618</v>
      </c>
      <c r="V157" s="35" t="s">
        <v>1611</v>
      </c>
      <c r="W157" s="105">
        <v>112.5</v>
      </c>
      <c r="X157" s="105">
        <v>75.331000000000003</v>
      </c>
      <c r="Y157" s="105">
        <v>39</v>
      </c>
      <c r="Z157" s="35" t="s">
        <v>1831</v>
      </c>
      <c r="AA157">
        <f>VLOOKUP(A157,Cover!A:R,18,0)</f>
        <v>0</v>
      </c>
      <c r="AB157" s="77">
        <f t="shared" si="119"/>
        <v>63.363880000000002</v>
      </c>
      <c r="AC157" s="77">
        <f t="shared" si="120"/>
        <v>55.7971</v>
      </c>
      <c r="AD157" s="77">
        <f t="shared" si="121"/>
        <v>63.028016306704835</v>
      </c>
      <c r="AE157" s="77">
        <f t="shared" si="122"/>
        <v>60.018759526321965</v>
      </c>
      <c r="AF157" s="77">
        <f t="shared" si="123"/>
        <v>16.1614</v>
      </c>
      <c r="AG157" s="77">
        <f t="shared" si="124"/>
        <v>30.304291736045482</v>
      </c>
      <c r="AH157" s="346"/>
      <c r="AI157" s="346"/>
      <c r="AJ157" s="346"/>
      <c r="AK157" s="346"/>
      <c r="AL157" s="346"/>
      <c r="AM157" s="345"/>
      <c r="AN157" t="s">
        <v>1563</v>
      </c>
      <c r="AO157" t="s">
        <v>1634</v>
      </c>
      <c r="AP157" t="str">
        <f t="shared" si="117"/>
        <v>DDm125-33</v>
      </c>
      <c r="AQ157">
        <f>_xlfn.XLOOKUP(A157,'SYS Allocations'!A:A,'SYS Allocations'!B:B)</f>
        <v>0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18"/>
        <v>DDm125-33</v>
      </c>
    </row>
    <row r="158" spans="1:53">
      <c r="A158" s="35" t="s">
        <v>174</v>
      </c>
      <c r="B158" s="35" t="s">
        <v>1655</v>
      </c>
      <c r="C158" s="35" t="s">
        <v>1828</v>
      </c>
      <c r="D158" s="35" t="s">
        <v>1563</v>
      </c>
      <c r="E158" s="35" t="s">
        <v>1153</v>
      </c>
      <c r="F158" s="35" t="s">
        <v>1625</v>
      </c>
      <c r="G158" s="105">
        <v>55</v>
      </c>
      <c r="H158" s="105">
        <v>84</v>
      </c>
      <c r="I158" s="105">
        <v>1793</v>
      </c>
      <c r="J158" s="105">
        <v>97.718500000000006</v>
      </c>
      <c r="K158" s="106">
        <v>45264</v>
      </c>
      <c r="L158" s="105">
        <v>199.03399999999999</v>
      </c>
      <c r="M158" s="105">
        <v>101.3155</v>
      </c>
      <c r="N158" s="105">
        <v>161.5925</v>
      </c>
      <c r="O158" s="105">
        <v>63.874000000000002</v>
      </c>
      <c r="P158" s="35" t="s">
        <v>1591</v>
      </c>
      <c r="Q158" s="35" t="s">
        <v>1581</v>
      </c>
      <c r="R158" s="35" t="s">
        <v>1592</v>
      </c>
      <c r="S158" s="105">
        <v>142.21440000000001</v>
      </c>
      <c r="T158" s="105">
        <v>44.495899999999899</v>
      </c>
      <c r="U158" s="35" t="s">
        <v>1610</v>
      </c>
      <c r="V158" s="35" t="s">
        <v>1832</v>
      </c>
      <c r="W158" s="105">
        <v>375</v>
      </c>
      <c r="X158" s="105">
        <v>277.28149999999999</v>
      </c>
      <c r="Y158" s="105">
        <v>93</v>
      </c>
      <c r="Z158" s="35" t="s">
        <v>1525</v>
      </c>
      <c r="AA158">
        <f>VLOOKUP(A158,Cover!A:R,18,0)</f>
        <v>17.375000000000004</v>
      </c>
      <c r="AB158" s="77">
        <f t="shared" si="119"/>
        <v>83.9405</v>
      </c>
      <c r="AC158" s="77">
        <f t="shared" si="120"/>
        <v>46.498999999999995</v>
      </c>
      <c r="AD158" s="77">
        <f t="shared" si="121"/>
        <v>42.173950179366336</v>
      </c>
      <c r="AE158" s="77">
        <f t="shared" si="122"/>
        <v>28.775469158531486</v>
      </c>
      <c r="AF158" s="77">
        <f t="shared" si="123"/>
        <v>27.120899999999896</v>
      </c>
      <c r="AG158" s="77">
        <f t="shared" si="124"/>
        <v>19.070431686242671</v>
      </c>
      <c r="AH158" s="346">
        <f>AVERAGE(W158:W159)</f>
        <v>375</v>
      </c>
      <c r="AI158" s="346">
        <f>SUM(J158:J159)</f>
        <v>199.52449999999999</v>
      </c>
      <c r="AJ158" s="346">
        <f t="shared" si="127"/>
        <v>175.47550000000001</v>
      </c>
      <c r="AK158" s="346">
        <f>SUM(AA158:AA159)</f>
        <v>34.550000000000004</v>
      </c>
      <c r="AL158" s="346">
        <f t="shared" si="129"/>
        <v>140.9255</v>
      </c>
      <c r="AM158" s="345">
        <f t="shared" si="130"/>
        <v>37.580133333333336</v>
      </c>
      <c r="AN158" t="s">
        <v>1563</v>
      </c>
      <c r="AO158" t="s">
        <v>1634</v>
      </c>
      <c r="AP158" t="str">
        <f t="shared" si="117"/>
        <v>DDm125-33</v>
      </c>
      <c r="AQ158" t="str">
        <f>_xlfn.XLOOKUP(A158,'SYS Allocations'!A:A,'SYS Allocations'!B:B)</f>
        <v>P-Core</v>
      </c>
      <c r="AR158" t="str">
        <f>_xlfn.XLOOKUP(A158,'SYS Allocations'!A:A,'SYS Allocations'!C:C)</f>
        <v>RA</v>
      </c>
      <c r="AS158" t="str">
        <f>_xlfn.XLOOKUP(A158,'SYS Allocations'!A:A,'SYS Allocations'!D:D)</f>
        <v>PX</v>
      </c>
      <c r="AT158">
        <f>_xlfn.XLOOKUP(A158,'SYS Allocations'!A:A,'SYS Allocations'!E:E)</f>
        <v>0</v>
      </c>
      <c r="AU158" t="str">
        <f>_xlfn.XLOOKUP(A158,'SYS Allocations'!A:A,'SYS Allocations'!F:F)</f>
        <v>OPEX</v>
      </c>
      <c r="BA158" t="str">
        <f t="shared" si="118"/>
        <v>DDm125-33</v>
      </c>
    </row>
    <row r="159" spans="1:53">
      <c r="A159" s="35" t="s">
        <v>175</v>
      </c>
      <c r="B159" s="35" t="s">
        <v>1655</v>
      </c>
      <c r="C159" s="35" t="s">
        <v>1828</v>
      </c>
      <c r="D159" s="35" t="s">
        <v>1563</v>
      </c>
      <c r="E159" s="35" t="s">
        <v>1153</v>
      </c>
      <c r="F159" s="35" t="s">
        <v>1625</v>
      </c>
      <c r="G159" s="105">
        <v>55</v>
      </c>
      <c r="H159" s="105">
        <v>84</v>
      </c>
      <c r="I159" s="105">
        <v>1868</v>
      </c>
      <c r="J159" s="105">
        <v>101.806</v>
      </c>
      <c r="K159" s="106">
        <v>45264</v>
      </c>
      <c r="L159" s="105">
        <v>199.03399999999999</v>
      </c>
      <c r="M159" s="105">
        <v>97.227999999999994</v>
      </c>
      <c r="N159" s="105">
        <v>161.5925</v>
      </c>
      <c r="O159" s="105">
        <v>59.786499999999997</v>
      </c>
      <c r="P159" s="35" t="s">
        <v>1591</v>
      </c>
      <c r="Q159" s="35" t="s">
        <v>1581</v>
      </c>
      <c r="R159" s="35" t="s">
        <v>1592</v>
      </c>
      <c r="S159" s="105">
        <v>142.21440000000001</v>
      </c>
      <c r="T159" s="105">
        <v>40.408399999999901</v>
      </c>
      <c r="U159" s="35" t="s">
        <v>1610</v>
      </c>
      <c r="V159" s="35" t="s">
        <v>1832</v>
      </c>
      <c r="W159" s="105">
        <v>375</v>
      </c>
      <c r="X159" s="105">
        <v>273.19400000000002</v>
      </c>
      <c r="Y159" s="105">
        <v>93</v>
      </c>
      <c r="Z159" s="35" t="s">
        <v>1525</v>
      </c>
      <c r="AA159">
        <f>VLOOKUP(A159,Cover!A:R,18,0)</f>
        <v>17.175000000000001</v>
      </c>
      <c r="AB159" s="77">
        <f t="shared" si="119"/>
        <v>80.052999999999997</v>
      </c>
      <c r="AC159" s="77">
        <f t="shared" si="120"/>
        <v>42.611499999999992</v>
      </c>
      <c r="AD159" s="77">
        <f t="shared" si="121"/>
        <v>40.220766301234967</v>
      </c>
      <c r="AE159" s="77">
        <f t="shared" si="122"/>
        <v>26.369726317743702</v>
      </c>
      <c r="AF159" s="77">
        <f t="shared" si="123"/>
        <v>23.2333999999999</v>
      </c>
      <c r="AG159" s="77">
        <f t="shared" si="124"/>
        <v>16.336882903559626</v>
      </c>
      <c r="AH159" s="346"/>
      <c r="AI159" s="346"/>
      <c r="AJ159" s="346"/>
      <c r="AK159" s="346"/>
      <c r="AL159" s="346"/>
      <c r="AM159" s="345"/>
      <c r="AN159" t="s">
        <v>1563</v>
      </c>
      <c r="AO159" t="s">
        <v>1634</v>
      </c>
      <c r="AP159" t="str">
        <f t="shared" si="117"/>
        <v>DDm125-33</v>
      </c>
      <c r="AQ159">
        <f>_xlfn.XLOOKUP(A159,'SYS Allocations'!A:A,'SYS Allocations'!B:B)</f>
        <v>0</v>
      </c>
      <c r="AR159">
        <f>_xlfn.XLOOKUP(A159,'SYS Allocations'!A:A,'SYS Allocations'!C:C)</f>
        <v>0</v>
      </c>
      <c r="AS159">
        <f>_xlfn.XLOOKUP(A159,'SYS Allocations'!A:A,'SYS Allocations'!D:D)</f>
        <v>0</v>
      </c>
      <c r="AT159">
        <f>_xlfn.XLOOKUP(A159,'SYS Allocations'!A:A,'SYS Allocations'!E:E)</f>
        <v>0</v>
      </c>
      <c r="AU159">
        <f>_xlfn.XLOOKUP(A159,'SYS Allocations'!A:A,'SYS Allocations'!F:F)</f>
        <v>0</v>
      </c>
      <c r="BA159" t="str">
        <f t="shared" si="118"/>
        <v>DDm125-33</v>
      </c>
    </row>
    <row r="160" spans="1:53">
      <c r="A160" s="35" t="s">
        <v>176</v>
      </c>
      <c r="B160" s="35" t="s">
        <v>1636</v>
      </c>
      <c r="C160" s="35" t="s">
        <v>1833</v>
      </c>
      <c r="D160" s="35" t="s">
        <v>1568</v>
      </c>
      <c r="E160" s="35" t="s">
        <v>1086</v>
      </c>
      <c r="F160" s="35" t="s">
        <v>1834</v>
      </c>
      <c r="G160" s="105">
        <v>45</v>
      </c>
      <c r="H160" s="105">
        <v>15</v>
      </c>
      <c r="I160" s="105">
        <v>137</v>
      </c>
      <c r="J160" s="105">
        <v>7.4664999999999999</v>
      </c>
      <c r="K160" s="106">
        <v>44391.458333333299</v>
      </c>
      <c r="L160" s="105">
        <v>27.468</v>
      </c>
      <c r="M160" s="105">
        <v>20.0015</v>
      </c>
      <c r="N160" s="105">
        <v>27.849499999999999</v>
      </c>
      <c r="O160" s="105">
        <v>20.382999999999999</v>
      </c>
      <c r="P160" s="35" t="s">
        <v>1574</v>
      </c>
      <c r="Q160" s="35" t="s">
        <v>1581</v>
      </c>
      <c r="R160" s="35" t="s">
        <v>1609</v>
      </c>
      <c r="S160" s="105">
        <v>10.1088</v>
      </c>
      <c r="T160" s="105">
        <v>2.6422999999999801</v>
      </c>
      <c r="U160" s="35" t="s">
        <v>1574</v>
      </c>
      <c r="V160" s="35" t="s">
        <v>1583</v>
      </c>
      <c r="W160" s="105">
        <v>22.5</v>
      </c>
      <c r="X160" s="105">
        <v>15.0335</v>
      </c>
      <c r="Y160" s="105">
        <v>27</v>
      </c>
      <c r="Z160" s="35" t="s">
        <v>1576</v>
      </c>
      <c r="AA160">
        <f>VLOOKUP(A160,Cover!A:R,18,0)</f>
        <v>0</v>
      </c>
      <c r="AB160" s="77">
        <f t="shared" si="119"/>
        <v>20.0015</v>
      </c>
      <c r="AC160" s="77">
        <f t="shared" si="120"/>
        <v>20.382999999999999</v>
      </c>
      <c r="AD160" s="77">
        <f t="shared" si="121"/>
        <v>72.817460317460316</v>
      </c>
      <c r="AE160" s="77">
        <f t="shared" si="122"/>
        <v>73.189823874755376</v>
      </c>
      <c r="AF160" s="77">
        <f t="shared" si="123"/>
        <v>2.6422999999999801</v>
      </c>
      <c r="AG160" s="77">
        <f t="shared" si="124"/>
        <v>26.138611902500593</v>
      </c>
      <c r="AH160" s="77">
        <f t="shared" si="125"/>
        <v>22.5</v>
      </c>
      <c r="AI160" s="77">
        <f t="shared" si="126"/>
        <v>7.4664999999999999</v>
      </c>
      <c r="AJ160" s="77">
        <f t="shared" si="127"/>
        <v>15.0335</v>
      </c>
      <c r="AK160" s="77">
        <f t="shared" si="128"/>
        <v>0</v>
      </c>
      <c r="AL160" s="77">
        <f t="shared" si="129"/>
        <v>15.0335</v>
      </c>
      <c r="AM160" s="77">
        <f t="shared" si="130"/>
        <v>66.815555555555548</v>
      </c>
      <c r="AO160" t="s">
        <v>1577</v>
      </c>
      <c r="AP160" t="str">
        <f t="shared" si="117"/>
        <v>2DDm85-15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18"/>
        <v>2DDm85-15</v>
      </c>
    </row>
    <row r="161" spans="1:53">
      <c r="A161" s="35" t="s">
        <v>177</v>
      </c>
      <c r="B161" s="35" t="s">
        <v>1602</v>
      </c>
      <c r="C161" s="35" t="s">
        <v>1835</v>
      </c>
      <c r="D161" s="35" t="s">
        <v>1568</v>
      </c>
      <c r="E161" s="35" t="s">
        <v>1288</v>
      </c>
      <c r="F161" s="35" t="s">
        <v>1570</v>
      </c>
      <c r="G161" s="105">
        <v>36.6</v>
      </c>
      <c r="H161" s="105">
        <v>23</v>
      </c>
      <c r="I161" s="105">
        <v>221</v>
      </c>
      <c r="J161" s="105">
        <v>12.044499999999999</v>
      </c>
      <c r="K161" s="106">
        <v>44663</v>
      </c>
      <c r="L161" s="105">
        <v>35.106720000000003</v>
      </c>
      <c r="M161" s="105">
        <v>23.06222</v>
      </c>
      <c r="N161" s="105">
        <v>22.083400000000001</v>
      </c>
      <c r="O161" s="105">
        <v>10.0389</v>
      </c>
      <c r="P161" s="35" t="s">
        <v>1574</v>
      </c>
      <c r="Q161" s="35" t="s">
        <v>1581</v>
      </c>
      <c r="R161" s="35" t="s">
        <v>1592</v>
      </c>
      <c r="S161" s="105">
        <v>35.553600000000003</v>
      </c>
      <c r="T161" s="105">
        <v>23.5091</v>
      </c>
      <c r="U161" s="35" t="s">
        <v>1586</v>
      </c>
      <c r="V161" s="35" t="s">
        <v>1587</v>
      </c>
      <c r="W161" s="105">
        <v>33.75</v>
      </c>
      <c r="X161" s="105">
        <v>21.705500000000001</v>
      </c>
      <c r="Y161" s="105">
        <v>17</v>
      </c>
      <c r="Z161" s="35" t="s">
        <v>1576</v>
      </c>
      <c r="AA161">
        <f>VLOOKUP(A161,Cover!A:R,18,0)</f>
        <v>0</v>
      </c>
      <c r="AB161" s="77">
        <f t="shared" si="119"/>
        <v>23.06222</v>
      </c>
      <c r="AC161" s="77">
        <f t="shared" si="120"/>
        <v>10.0389</v>
      </c>
      <c r="AD161" s="77">
        <f t="shared" si="121"/>
        <v>65.691753601589667</v>
      </c>
      <c r="AE161" s="77">
        <f t="shared" si="122"/>
        <v>45.459032576505429</v>
      </c>
      <c r="AF161" s="77">
        <f t="shared" si="123"/>
        <v>23.5091</v>
      </c>
      <c r="AG161" s="77">
        <f t="shared" si="124"/>
        <v>66.122980513928269</v>
      </c>
      <c r="AH161" s="77">
        <f t="shared" si="125"/>
        <v>33.75</v>
      </c>
      <c r="AI161" s="77">
        <f t="shared" si="126"/>
        <v>12.044499999999999</v>
      </c>
      <c r="AJ161" s="77">
        <f t="shared" si="127"/>
        <v>21.705500000000001</v>
      </c>
      <c r="AK161" s="77">
        <f t="shared" si="128"/>
        <v>0</v>
      </c>
      <c r="AL161" s="77">
        <f t="shared" si="129"/>
        <v>21.705500000000001</v>
      </c>
      <c r="AM161" s="77">
        <f t="shared" si="130"/>
        <v>64.312592592592594</v>
      </c>
      <c r="AO161" t="s">
        <v>1577</v>
      </c>
      <c r="AP161" t="str">
        <f t="shared" si="117"/>
        <v>DDm125-33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18"/>
        <v>DDm125-33</v>
      </c>
    </row>
    <row r="162" spans="1:53">
      <c r="A162" s="35" t="s">
        <v>178</v>
      </c>
      <c r="B162" s="35" t="s">
        <v>1578</v>
      </c>
      <c r="C162" s="35" t="s">
        <v>1836</v>
      </c>
      <c r="D162" s="35" t="s">
        <v>1563</v>
      </c>
      <c r="E162" s="35" t="s">
        <v>1837</v>
      </c>
      <c r="F162" s="35" t="s">
        <v>1756</v>
      </c>
      <c r="G162" s="105">
        <v>37.5</v>
      </c>
      <c r="H162" s="105">
        <v>4</v>
      </c>
      <c r="I162" s="105">
        <v>35</v>
      </c>
      <c r="J162" s="105">
        <v>1.9075</v>
      </c>
      <c r="K162" s="106">
        <v>44564.486111111102</v>
      </c>
      <c r="L162" s="105">
        <v>4.9050000000000002</v>
      </c>
      <c r="M162" s="105">
        <v>2.9975000000000001</v>
      </c>
      <c r="N162" s="105">
        <v>5.9132499999999997</v>
      </c>
      <c r="O162" s="105">
        <v>4.0057499999999999</v>
      </c>
      <c r="P162" s="35" t="s">
        <v>1586</v>
      </c>
      <c r="Q162" s="35" t="s">
        <v>1599</v>
      </c>
      <c r="R162" s="35" t="s">
        <v>1600</v>
      </c>
      <c r="S162" s="105">
        <v>3.456</v>
      </c>
      <c r="T162" s="105">
        <v>1.5485</v>
      </c>
      <c r="U162" s="35" t="s">
        <v>1658</v>
      </c>
      <c r="V162" s="35" t="s">
        <v>1591</v>
      </c>
      <c r="W162" s="105">
        <v>6</v>
      </c>
      <c r="X162" s="105">
        <v>4.0925000000000002</v>
      </c>
      <c r="Y162" s="105">
        <v>2</v>
      </c>
      <c r="Z162" s="35" t="s">
        <v>8</v>
      </c>
      <c r="AA162">
        <f>VLOOKUP(A162,Cover!A:R,18,0)</f>
        <v>4</v>
      </c>
      <c r="AB162" s="77">
        <f t="shared" si="119"/>
        <v>-1.0024999999999999</v>
      </c>
      <c r="AC162" s="77">
        <f t="shared" si="120"/>
        <v>5.7499999999999218E-3</v>
      </c>
      <c r="AD162" s="77">
        <f t="shared" si="121"/>
        <v>-20.438328236493373</v>
      </c>
      <c r="AE162" s="77">
        <f t="shared" si="122"/>
        <v>9.7239250834987898E-2</v>
      </c>
      <c r="AF162" s="77">
        <f t="shared" si="123"/>
        <v>-2.4515000000000002</v>
      </c>
      <c r="AG162" s="77">
        <f t="shared" si="124"/>
        <v>-70.934606481481481</v>
      </c>
      <c r="AH162" s="77">
        <f t="shared" si="125"/>
        <v>6</v>
      </c>
      <c r="AI162" s="77">
        <f t="shared" si="126"/>
        <v>1.9075</v>
      </c>
      <c r="AJ162" s="77">
        <f t="shared" si="127"/>
        <v>4.0925000000000002</v>
      </c>
      <c r="AK162" s="77">
        <f t="shared" si="128"/>
        <v>4</v>
      </c>
      <c r="AL162" s="77">
        <f t="shared" si="129"/>
        <v>9.2500000000000249E-2</v>
      </c>
      <c r="AM162" s="77">
        <f t="shared" si="130"/>
        <v>1.541666666666671</v>
      </c>
      <c r="AN162" s="52" t="s">
        <v>1563</v>
      </c>
      <c r="AO162" t="s">
        <v>1577</v>
      </c>
      <c r="AP162" t="str">
        <f t="shared" si="117"/>
        <v>SBS C11F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18"/>
        <v>SBS C11F</v>
      </c>
    </row>
    <row r="163" spans="1:53">
      <c r="A163" s="35" t="s">
        <v>179</v>
      </c>
      <c r="B163" s="35" t="s">
        <v>1629</v>
      </c>
      <c r="C163" s="35" t="s">
        <v>1838</v>
      </c>
      <c r="D163" s="35" t="s">
        <v>1568</v>
      </c>
      <c r="E163" s="35" t="s">
        <v>1195</v>
      </c>
      <c r="F163" s="35" t="s">
        <v>1570</v>
      </c>
      <c r="G163" s="105">
        <v>36.6</v>
      </c>
      <c r="H163" s="105">
        <v>29</v>
      </c>
      <c r="I163" s="105">
        <v>462</v>
      </c>
      <c r="J163" s="105">
        <v>25.178999999999998</v>
      </c>
      <c r="K163" s="106">
        <v>44553.416666666701</v>
      </c>
      <c r="L163" s="105">
        <v>44.681280000000001</v>
      </c>
      <c r="M163" s="105">
        <v>19.502279999999999</v>
      </c>
      <c r="N163" s="105">
        <v>34.051600000000001</v>
      </c>
      <c r="O163" s="105">
        <v>8.8726000000000003</v>
      </c>
      <c r="P163" s="35" t="s">
        <v>1574</v>
      </c>
      <c r="Q163" s="35" t="s">
        <v>1581</v>
      </c>
      <c r="R163" s="35" t="s">
        <v>1592</v>
      </c>
      <c r="S163" s="105">
        <v>35.553600000000003</v>
      </c>
      <c r="T163" s="105">
        <v>10.374599999999999</v>
      </c>
      <c r="U163" s="35" t="s">
        <v>1622</v>
      </c>
      <c r="V163" s="35" t="s">
        <v>1645</v>
      </c>
      <c r="W163" s="105">
        <v>54</v>
      </c>
      <c r="X163" s="105">
        <v>28.821000000000002</v>
      </c>
      <c r="Y163" s="105">
        <v>24</v>
      </c>
      <c r="Z163" s="35" t="s">
        <v>1576</v>
      </c>
      <c r="AA163">
        <f>VLOOKUP(A163,Cover!A:R,18,0)</f>
        <v>1</v>
      </c>
      <c r="AB163" s="77">
        <f t="shared" si="119"/>
        <v>18.502279999999999</v>
      </c>
      <c r="AC163" s="77">
        <f t="shared" si="120"/>
        <v>7.8726000000000003</v>
      </c>
      <c r="AD163" s="77">
        <f t="shared" si="121"/>
        <v>41.409467231019342</v>
      </c>
      <c r="AE163" s="77">
        <f t="shared" si="122"/>
        <v>23.119618461393888</v>
      </c>
      <c r="AF163" s="77">
        <f t="shared" si="123"/>
        <v>9.3745999999999992</v>
      </c>
      <c r="AG163" s="77">
        <f t="shared" si="124"/>
        <v>26.367512713199222</v>
      </c>
      <c r="AH163" s="77">
        <f t="shared" si="125"/>
        <v>54</v>
      </c>
      <c r="AI163" s="77">
        <f t="shared" si="126"/>
        <v>25.178999999999998</v>
      </c>
      <c r="AJ163" s="77">
        <f t="shared" si="127"/>
        <v>28.821000000000002</v>
      </c>
      <c r="AK163" s="77">
        <f t="shared" si="128"/>
        <v>1</v>
      </c>
      <c r="AL163" s="77">
        <f t="shared" si="129"/>
        <v>27.821000000000002</v>
      </c>
      <c r="AM163" s="77">
        <f t="shared" si="130"/>
        <v>51.520370370370372</v>
      </c>
      <c r="AO163" t="s">
        <v>1577</v>
      </c>
      <c r="AP163" t="str">
        <f t="shared" si="117"/>
        <v>DDm125-33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18"/>
        <v>DDm125-33</v>
      </c>
    </row>
    <row r="164" spans="1:53">
      <c r="A164" s="35" t="s">
        <v>180</v>
      </c>
      <c r="B164" s="35" t="s">
        <v>1607</v>
      </c>
      <c r="C164" s="35" t="s">
        <v>1839</v>
      </c>
      <c r="D164" s="35" t="s">
        <v>1563</v>
      </c>
      <c r="E164" s="35" t="s">
        <v>1464</v>
      </c>
      <c r="F164" s="35" t="s">
        <v>1625</v>
      </c>
      <c r="G164" s="105">
        <v>55</v>
      </c>
      <c r="H164" s="105">
        <v>13</v>
      </c>
      <c r="I164" s="105">
        <v>281</v>
      </c>
      <c r="J164" s="105">
        <v>15.314500000000001</v>
      </c>
      <c r="K164" s="106">
        <v>45098</v>
      </c>
      <c r="L164" s="105">
        <v>28.776</v>
      </c>
      <c r="M164" s="105">
        <v>13.461499999999999</v>
      </c>
      <c r="N164" s="105">
        <v>19.456499999999998</v>
      </c>
      <c r="O164" s="105">
        <v>4.1420000000000003</v>
      </c>
      <c r="P164" s="35" t="s">
        <v>1571</v>
      </c>
      <c r="Q164" s="35" t="s">
        <v>1581</v>
      </c>
      <c r="R164" s="35" t="s">
        <v>1840</v>
      </c>
      <c r="S164" s="105">
        <v>27.086400000000001</v>
      </c>
      <c r="T164" s="105">
        <v>11.7719</v>
      </c>
      <c r="U164" s="35" t="s">
        <v>1571</v>
      </c>
      <c r="V164" s="35" t="s">
        <v>1683</v>
      </c>
      <c r="W164" s="105">
        <v>33</v>
      </c>
      <c r="X164" s="105">
        <v>17.685500000000001</v>
      </c>
      <c r="Y164" s="105">
        <v>0</v>
      </c>
      <c r="Z164" s="35" t="s">
        <v>8</v>
      </c>
      <c r="AA164">
        <f>VLOOKUP(A164,Cover!A:R,18,0)</f>
        <v>0.5</v>
      </c>
      <c r="AB164" s="77">
        <f t="shared" si="119"/>
        <v>12.961499999999999</v>
      </c>
      <c r="AC164" s="77">
        <f t="shared" si="120"/>
        <v>3.6420000000000003</v>
      </c>
      <c r="AD164" s="77">
        <f t="shared" si="121"/>
        <v>45.042743953294405</v>
      </c>
      <c r="AE164" s="77">
        <f t="shared" si="122"/>
        <v>18.718680132603502</v>
      </c>
      <c r="AF164" s="77">
        <f t="shared" si="123"/>
        <v>11.2719</v>
      </c>
      <c r="AG164" s="77">
        <f t="shared" si="124"/>
        <v>41.614611022505763</v>
      </c>
      <c r="AH164" s="77">
        <f t="shared" si="125"/>
        <v>33</v>
      </c>
      <c r="AI164" s="77">
        <f t="shared" si="126"/>
        <v>15.314500000000001</v>
      </c>
      <c r="AJ164" s="77">
        <f t="shared" si="127"/>
        <v>17.685499999999998</v>
      </c>
      <c r="AK164" s="77">
        <f t="shared" si="128"/>
        <v>0.5</v>
      </c>
      <c r="AL164" s="77">
        <f t="shared" si="129"/>
        <v>17.185499999999998</v>
      </c>
      <c r="AM164" s="77">
        <f t="shared" si="130"/>
        <v>52.077272727272721</v>
      </c>
      <c r="AN164" t="s">
        <v>1563</v>
      </c>
      <c r="AO164" t="s">
        <v>1577</v>
      </c>
      <c r="AP164" t="str">
        <f t="shared" si="117"/>
        <v>2CP1000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18"/>
        <v xml:space="preserve">2CP1000 </v>
      </c>
    </row>
    <row r="165" spans="1:53">
      <c r="A165" s="35" t="s">
        <v>181</v>
      </c>
      <c r="B165" s="35" t="s">
        <v>1620</v>
      </c>
      <c r="C165" s="35" t="s">
        <v>1647</v>
      </c>
      <c r="D165" s="35" t="s">
        <v>1568</v>
      </c>
      <c r="E165" s="35" t="s">
        <v>974</v>
      </c>
      <c r="F165" s="35" t="s">
        <v>1570</v>
      </c>
      <c r="G165" s="105">
        <v>36.6</v>
      </c>
      <c r="H165" s="105">
        <v>8</v>
      </c>
      <c r="I165" s="105">
        <v>53</v>
      </c>
      <c r="J165" s="105">
        <v>2.8885000000000001</v>
      </c>
      <c r="K165" s="106">
        <v>44624.375</v>
      </c>
      <c r="L165" s="105">
        <v>11.17032</v>
      </c>
      <c r="M165" s="105">
        <v>8.2818199999999997</v>
      </c>
      <c r="N165" s="105">
        <v>10.169700000000001</v>
      </c>
      <c r="O165" s="105">
        <v>7.2812000000000001</v>
      </c>
      <c r="P165" s="35" t="s">
        <v>1591</v>
      </c>
      <c r="Q165" s="35" t="s">
        <v>1599</v>
      </c>
      <c r="R165" s="35" t="s">
        <v>1721</v>
      </c>
      <c r="S165" s="105">
        <v>7.1712000000000096</v>
      </c>
      <c r="T165" s="105">
        <v>4.2827000000000099</v>
      </c>
      <c r="U165" s="35" t="s">
        <v>1574</v>
      </c>
      <c r="V165" s="35" t="s">
        <v>1673</v>
      </c>
      <c r="W165" s="105">
        <v>11.25</v>
      </c>
      <c r="X165" s="105">
        <v>8.3614999999999995</v>
      </c>
      <c r="Y165" s="105">
        <v>0</v>
      </c>
      <c r="Z165" s="35" t="s">
        <v>1576</v>
      </c>
      <c r="AA165">
        <f>VLOOKUP(A165,Cover!A:R,18,0)</f>
        <v>0</v>
      </c>
      <c r="AB165" s="77">
        <f t="shared" si="119"/>
        <v>8.2818199999999997</v>
      </c>
      <c r="AC165" s="77">
        <f t="shared" si="120"/>
        <v>7.2812000000000001</v>
      </c>
      <c r="AD165" s="77">
        <f t="shared" si="121"/>
        <v>74.141295862607336</v>
      </c>
      <c r="AE165" s="77">
        <f t="shared" si="122"/>
        <v>71.59699892818864</v>
      </c>
      <c r="AF165" s="77">
        <f t="shared" si="123"/>
        <v>4.2827000000000099</v>
      </c>
      <c r="AG165" s="77">
        <f t="shared" si="124"/>
        <v>59.720827755466367</v>
      </c>
      <c r="AH165" s="77">
        <f t="shared" si="125"/>
        <v>11.25</v>
      </c>
      <c r="AI165" s="77">
        <f t="shared" si="126"/>
        <v>2.8885000000000001</v>
      </c>
      <c r="AJ165" s="77">
        <f t="shared" si="127"/>
        <v>8.3614999999999995</v>
      </c>
      <c r="AK165" s="77">
        <f t="shared" si="128"/>
        <v>0</v>
      </c>
      <c r="AL165" s="77">
        <f t="shared" si="129"/>
        <v>8.3614999999999995</v>
      </c>
      <c r="AM165" s="77">
        <f t="shared" si="130"/>
        <v>74.324444444444438</v>
      </c>
      <c r="AO165" t="s">
        <v>1577</v>
      </c>
      <c r="AP165" t="str">
        <f t="shared" si="117"/>
        <v>12V105F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18"/>
        <v>12V105F</v>
      </c>
    </row>
    <row r="166" spans="1:53">
      <c r="A166" s="35" t="s">
        <v>182</v>
      </c>
      <c r="B166" s="35" t="s">
        <v>1620</v>
      </c>
      <c r="C166" s="35" t="s">
        <v>1841</v>
      </c>
      <c r="D166" s="35" t="s">
        <v>1568</v>
      </c>
      <c r="E166" s="35" t="s">
        <v>1004</v>
      </c>
      <c r="F166" s="35" t="s">
        <v>1570</v>
      </c>
      <c r="G166" s="105">
        <v>36.6</v>
      </c>
      <c r="H166" s="105">
        <v>31</v>
      </c>
      <c r="I166" s="105">
        <v>579</v>
      </c>
      <c r="J166" s="105">
        <v>31.555499999999999</v>
      </c>
      <c r="K166" s="106">
        <v>44498.708333333299</v>
      </c>
      <c r="L166" s="105">
        <v>47.872799999999998</v>
      </c>
      <c r="M166" s="105">
        <v>16.317299999999999</v>
      </c>
      <c r="N166" s="105">
        <v>36.787500000000001</v>
      </c>
      <c r="O166" s="105">
        <v>5.2320000000000002</v>
      </c>
      <c r="P166" s="35" t="s">
        <v>1571</v>
      </c>
      <c r="Q166" s="35" t="s">
        <v>1581</v>
      </c>
      <c r="R166" s="35" t="s">
        <v>1842</v>
      </c>
      <c r="S166" s="105">
        <v>37.908000000000001</v>
      </c>
      <c r="T166" s="105">
        <v>6.3525000000000098</v>
      </c>
      <c r="U166" s="35" t="s">
        <v>1591</v>
      </c>
      <c r="V166" s="35" t="s">
        <v>1843</v>
      </c>
      <c r="W166" s="105">
        <v>99.75</v>
      </c>
      <c r="X166" s="105">
        <v>68.194500000000005</v>
      </c>
      <c r="Y166" s="105">
        <v>21</v>
      </c>
      <c r="Z166" s="35" t="s">
        <v>1576</v>
      </c>
      <c r="AA166">
        <f>VLOOKUP(A166,Cover!A:R,18,0)</f>
        <v>1</v>
      </c>
      <c r="AB166" s="77">
        <f t="shared" si="119"/>
        <v>15.317299999999999</v>
      </c>
      <c r="AC166" s="77">
        <f t="shared" si="120"/>
        <v>4.2320000000000002</v>
      </c>
      <c r="AD166" s="77">
        <f t="shared" si="121"/>
        <v>31.995830617803847</v>
      </c>
      <c r="AE166" s="77">
        <f t="shared" si="122"/>
        <v>11.503907577302073</v>
      </c>
      <c r="AF166" s="77">
        <f t="shared" si="123"/>
        <v>5.3525000000000098</v>
      </c>
      <c r="AG166" s="77">
        <f t="shared" si="124"/>
        <v>14.119710878970164</v>
      </c>
      <c r="AH166" s="77">
        <f t="shared" si="125"/>
        <v>99.75</v>
      </c>
      <c r="AI166" s="77">
        <f t="shared" si="126"/>
        <v>31.555499999999999</v>
      </c>
      <c r="AJ166" s="77">
        <f t="shared" si="127"/>
        <v>68.194500000000005</v>
      </c>
      <c r="AK166" s="77">
        <f t="shared" si="128"/>
        <v>1</v>
      </c>
      <c r="AL166" s="77">
        <f t="shared" si="129"/>
        <v>67.194500000000005</v>
      </c>
      <c r="AM166" s="77">
        <f t="shared" si="130"/>
        <v>67.362907268170432</v>
      </c>
      <c r="AO166" t="s">
        <v>1577</v>
      </c>
      <c r="AP166" t="str">
        <f t="shared" si="117"/>
        <v>2CP1400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18"/>
        <v>2CP1400</v>
      </c>
    </row>
    <row r="167" spans="1:53">
      <c r="A167" s="35" t="s">
        <v>183</v>
      </c>
      <c r="B167" s="35" t="s">
        <v>1620</v>
      </c>
      <c r="C167" s="35" t="s">
        <v>1841</v>
      </c>
      <c r="D167" s="35" t="s">
        <v>1568</v>
      </c>
      <c r="E167" s="35" t="s">
        <v>1008</v>
      </c>
      <c r="F167" s="35" t="s">
        <v>1639</v>
      </c>
      <c r="G167" s="105">
        <v>50</v>
      </c>
      <c r="H167" s="105">
        <v>11</v>
      </c>
      <c r="I167" s="105">
        <v>163.1</v>
      </c>
      <c r="J167" s="105">
        <v>8.8889499999999995</v>
      </c>
      <c r="K167" s="106">
        <v>44729.636111111096</v>
      </c>
      <c r="L167" s="105">
        <v>21.8</v>
      </c>
      <c r="M167" s="105">
        <v>12.911049999999999</v>
      </c>
      <c r="N167" s="105">
        <v>17.521750000000001</v>
      </c>
      <c r="O167" s="105">
        <v>8.6327999999999996</v>
      </c>
      <c r="P167" s="35" t="s">
        <v>1571</v>
      </c>
      <c r="Q167" s="35" t="s">
        <v>1581</v>
      </c>
      <c r="R167" s="35" t="s">
        <v>1609</v>
      </c>
      <c r="S167" s="105">
        <v>15.1632</v>
      </c>
      <c r="T167" s="105">
        <v>6.2742499999999897</v>
      </c>
      <c r="U167" s="35" t="s">
        <v>1571</v>
      </c>
      <c r="V167" s="35" t="s">
        <v>1589</v>
      </c>
      <c r="W167" s="105">
        <v>45</v>
      </c>
      <c r="X167" s="105">
        <v>36.111049999999999</v>
      </c>
      <c r="Y167" s="105">
        <v>96</v>
      </c>
      <c r="Z167" s="35" t="s">
        <v>1576</v>
      </c>
      <c r="AA167">
        <f>VLOOKUP(A167,Cover!A:R,18,0)</f>
        <v>0</v>
      </c>
      <c r="AB167" s="77">
        <f t="shared" si="119"/>
        <v>12.911049999999999</v>
      </c>
      <c r="AC167" s="77">
        <f t="shared" si="120"/>
        <v>8.6327999999999996</v>
      </c>
      <c r="AD167" s="77">
        <f t="shared" si="121"/>
        <v>59.224999999999994</v>
      </c>
      <c r="AE167" s="77">
        <f t="shared" si="122"/>
        <v>49.269051321928458</v>
      </c>
      <c r="AF167" s="77">
        <f t="shared" si="123"/>
        <v>6.2742499999999897</v>
      </c>
      <c r="AG167" s="77">
        <f t="shared" si="124"/>
        <v>41.378139179065037</v>
      </c>
      <c r="AH167" s="77">
        <f t="shared" si="125"/>
        <v>45</v>
      </c>
      <c r="AI167" s="77">
        <f t="shared" si="126"/>
        <v>8.8889499999999995</v>
      </c>
      <c r="AJ167" s="77">
        <f t="shared" si="127"/>
        <v>36.111049999999999</v>
      </c>
      <c r="AK167" s="77">
        <f t="shared" si="128"/>
        <v>0</v>
      </c>
      <c r="AL167" s="77">
        <f t="shared" si="129"/>
        <v>36.111049999999999</v>
      </c>
      <c r="AM167" s="77">
        <f t="shared" si="130"/>
        <v>80.24677777777778</v>
      </c>
      <c r="AO167" t="s">
        <v>1577</v>
      </c>
      <c r="AP167" t="str">
        <f t="shared" si="117"/>
        <v>2DDm85-15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18"/>
        <v>2DDm85-15</v>
      </c>
    </row>
    <row r="168" spans="1:53">
      <c r="A168" s="35" t="s">
        <v>184</v>
      </c>
      <c r="B168" s="35" t="s">
        <v>1566</v>
      </c>
      <c r="C168" s="35" t="s">
        <v>1844</v>
      </c>
      <c r="D168" s="35" t="s">
        <v>1568</v>
      </c>
      <c r="E168" s="35" t="s">
        <v>783</v>
      </c>
      <c r="F168" s="35" t="s">
        <v>1570</v>
      </c>
      <c r="G168" s="105">
        <v>36.6</v>
      </c>
      <c r="H168" s="105">
        <v>7</v>
      </c>
      <c r="I168" s="105">
        <v>89</v>
      </c>
      <c r="J168" s="105">
        <v>4.8505000000000003</v>
      </c>
      <c r="K168" s="106">
        <v>45264</v>
      </c>
      <c r="L168" s="105">
        <v>9.57456</v>
      </c>
      <c r="M168" s="105">
        <v>4.7240599999999997</v>
      </c>
      <c r="N168" s="105">
        <v>5.4282000000000004</v>
      </c>
      <c r="O168" s="105">
        <v>0.57770000000000099</v>
      </c>
      <c r="P168" s="35" t="s">
        <v>1663</v>
      </c>
      <c r="Q168" s="35" t="s">
        <v>1581</v>
      </c>
      <c r="R168" s="35" t="s">
        <v>1808</v>
      </c>
      <c r="S168" s="105">
        <v>18.429120000000001</v>
      </c>
      <c r="T168" s="105">
        <v>13.578620000000001</v>
      </c>
      <c r="U168" s="35" t="s">
        <v>1574</v>
      </c>
      <c r="V168" s="35" t="s">
        <v>1673</v>
      </c>
      <c r="W168" s="105">
        <v>11.25</v>
      </c>
      <c r="X168" s="105">
        <v>6.3994999999999997</v>
      </c>
      <c r="Y168" s="105">
        <v>8</v>
      </c>
      <c r="Z168" s="35" t="s">
        <v>1576</v>
      </c>
      <c r="AA168">
        <f>VLOOKUP(A168,Cover!A:R,18,0)</f>
        <v>2.4</v>
      </c>
      <c r="AB168" s="77">
        <f t="shared" si="119"/>
        <v>2.3240599999999998</v>
      </c>
      <c r="AC168" s="77">
        <f t="shared" si="120"/>
        <v>-1.8222999999999989</v>
      </c>
      <c r="AD168" s="77">
        <f t="shared" si="121"/>
        <v>24.273282532043247</v>
      </c>
      <c r="AE168" s="77">
        <f t="shared" si="122"/>
        <v>-33.570981172395982</v>
      </c>
      <c r="AF168" s="77">
        <f t="shared" si="123"/>
        <v>11.17862</v>
      </c>
      <c r="AG168" s="77">
        <f t="shared" si="124"/>
        <v>60.657372679758986</v>
      </c>
      <c r="AH168" s="77">
        <f t="shared" si="125"/>
        <v>11.25</v>
      </c>
      <c r="AI168" s="77">
        <f t="shared" si="126"/>
        <v>4.8505000000000003</v>
      </c>
      <c r="AJ168" s="77">
        <f t="shared" si="127"/>
        <v>6.3994999999999997</v>
      </c>
      <c r="AK168" s="77">
        <f t="shared" si="128"/>
        <v>2.4</v>
      </c>
      <c r="AL168" s="77">
        <f t="shared" si="129"/>
        <v>3.9994999999999998</v>
      </c>
      <c r="AM168" s="77">
        <f t="shared" si="130"/>
        <v>35.551111111111112</v>
      </c>
      <c r="AO168" t="s">
        <v>1577</v>
      </c>
      <c r="AP168" t="str">
        <f t="shared" si="117"/>
        <v>12V101F</v>
      </c>
      <c r="AQ168">
        <f>_xlfn.XLOOKUP(A168,'SYS Allocations'!A:A,'SYS Allocations'!B:B)</f>
        <v>0</v>
      </c>
      <c r="AR168" t="str">
        <f>_xlfn.XLOOKUP(A168,'SYS Allocations'!A:A,'SYS Allocations'!C:C)</f>
        <v>RA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18"/>
        <v xml:space="preserve">12V101F </v>
      </c>
    </row>
    <row r="169" spans="1:53">
      <c r="A169" s="35" t="s">
        <v>185</v>
      </c>
      <c r="B169" s="35" t="s">
        <v>1566</v>
      </c>
      <c r="C169" s="35" t="s">
        <v>1844</v>
      </c>
      <c r="D169" s="35" t="s">
        <v>1568</v>
      </c>
      <c r="E169" s="35" t="s">
        <v>785</v>
      </c>
      <c r="F169" s="35" t="s">
        <v>1570</v>
      </c>
      <c r="G169" s="105">
        <v>36.6</v>
      </c>
      <c r="H169" s="105">
        <v>18</v>
      </c>
      <c r="I169" s="105">
        <v>226</v>
      </c>
      <c r="J169" s="105">
        <v>12.317</v>
      </c>
      <c r="K169" s="106">
        <v>44565.75</v>
      </c>
      <c r="L169" s="105">
        <v>27.12792</v>
      </c>
      <c r="M169" s="105">
        <v>14.810919999999999</v>
      </c>
      <c r="N169" s="105">
        <v>15.84315</v>
      </c>
      <c r="O169" s="105">
        <v>3.5261499999999999</v>
      </c>
      <c r="P169" s="35" t="s">
        <v>1571</v>
      </c>
      <c r="Q169" s="35" t="s">
        <v>1581</v>
      </c>
      <c r="R169" s="35" t="s">
        <v>1789</v>
      </c>
      <c r="S169" s="105">
        <v>28.187999999999999</v>
      </c>
      <c r="T169" s="105">
        <v>15.871</v>
      </c>
      <c r="U169" s="35" t="s">
        <v>1586</v>
      </c>
      <c r="V169" s="35" t="s">
        <v>1583</v>
      </c>
      <c r="W169" s="105">
        <v>22.5</v>
      </c>
      <c r="X169" s="105">
        <v>10.183</v>
      </c>
      <c r="Y169" s="105">
        <v>9</v>
      </c>
      <c r="Z169" s="35" t="s">
        <v>1576</v>
      </c>
      <c r="AA169">
        <f>VLOOKUP(A169,Cover!A:R,18,0)</f>
        <v>1</v>
      </c>
      <c r="AB169" s="77">
        <f t="shared" si="119"/>
        <v>13.810919999999999</v>
      </c>
      <c r="AC169" s="77">
        <f t="shared" si="120"/>
        <v>2.5261499999999999</v>
      </c>
      <c r="AD169" s="77">
        <f t="shared" si="121"/>
        <v>50.910353613546484</v>
      </c>
      <c r="AE169" s="77">
        <f t="shared" si="122"/>
        <v>15.944745836528719</v>
      </c>
      <c r="AF169" s="77">
        <f t="shared" si="123"/>
        <v>14.871</v>
      </c>
      <c r="AG169" s="77">
        <f t="shared" si="124"/>
        <v>52.756492124308224</v>
      </c>
      <c r="AH169" s="77">
        <f t="shared" si="125"/>
        <v>22.5</v>
      </c>
      <c r="AI169" s="77">
        <f t="shared" si="126"/>
        <v>12.317</v>
      </c>
      <c r="AJ169" s="77">
        <f t="shared" si="127"/>
        <v>10.183</v>
      </c>
      <c r="AK169" s="77">
        <f t="shared" si="128"/>
        <v>1</v>
      </c>
      <c r="AL169" s="77">
        <f t="shared" si="129"/>
        <v>9.1829999999999998</v>
      </c>
      <c r="AM169" s="77">
        <f t="shared" si="130"/>
        <v>40.813333333333333</v>
      </c>
      <c r="AO169" t="s">
        <v>1577</v>
      </c>
      <c r="AP169" t="str">
        <f t="shared" si="117"/>
        <v>DDm85-27</v>
      </c>
      <c r="AQ169">
        <f>_xlfn.XLOOKUP(A169,'SYS Allocations'!A:A,'SYS Allocations'!B:B)</f>
        <v>0</v>
      </c>
      <c r="AR169">
        <f>_xlfn.XLOOKUP(A169,'SYS Allocations'!A:A,'SYS Allocations'!C:C)</f>
        <v>0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18"/>
        <v>DDm85-27</v>
      </c>
    </row>
    <row r="170" spans="1:53">
      <c r="A170" s="35" t="s">
        <v>186</v>
      </c>
      <c r="B170" s="35" t="s">
        <v>1655</v>
      </c>
      <c r="C170" s="35" t="s">
        <v>1845</v>
      </c>
      <c r="D170" s="35" t="s">
        <v>1568</v>
      </c>
      <c r="E170" s="35" t="s">
        <v>1089</v>
      </c>
      <c r="F170" s="35" t="s">
        <v>1570</v>
      </c>
      <c r="G170" s="105">
        <v>36.6</v>
      </c>
      <c r="H170" s="105">
        <v>11</v>
      </c>
      <c r="I170" s="105">
        <v>99</v>
      </c>
      <c r="J170" s="105">
        <v>5.3955000000000002</v>
      </c>
      <c r="K170" s="106">
        <v>45264</v>
      </c>
      <c r="L170" s="105">
        <v>15.957599999999999</v>
      </c>
      <c r="M170" s="105">
        <v>10.562099999999999</v>
      </c>
      <c r="N170" s="105">
        <v>11.663</v>
      </c>
      <c r="O170" s="105">
        <v>6.2675000000000001</v>
      </c>
      <c r="P170" s="35" t="s">
        <v>1591</v>
      </c>
      <c r="Q170" s="35" t="s">
        <v>1599</v>
      </c>
      <c r="R170" s="35" t="s">
        <v>1753</v>
      </c>
      <c r="S170" s="105">
        <v>14.91264</v>
      </c>
      <c r="T170" s="105">
        <v>9.5171400000000208</v>
      </c>
      <c r="U170" s="35" t="s">
        <v>1571</v>
      </c>
      <c r="V170" s="35" t="s">
        <v>1722</v>
      </c>
      <c r="W170" s="105">
        <v>10.5</v>
      </c>
      <c r="X170" s="105">
        <v>5.1044999999999998</v>
      </c>
      <c r="Y170" s="105">
        <v>6</v>
      </c>
      <c r="Z170" s="35" t="s">
        <v>1576</v>
      </c>
      <c r="AA170">
        <f>VLOOKUP(A170,Cover!A:R,18,0)</f>
        <v>1.7</v>
      </c>
      <c r="AB170" s="77">
        <f t="shared" si="119"/>
        <v>8.8620999999999999</v>
      </c>
      <c r="AC170" s="77">
        <f t="shared" si="120"/>
        <v>4.5674999999999999</v>
      </c>
      <c r="AD170" s="77">
        <f t="shared" si="121"/>
        <v>55.5352935278488</v>
      </c>
      <c r="AE170" s="77">
        <f t="shared" si="122"/>
        <v>39.162308153991255</v>
      </c>
      <c r="AF170" s="77">
        <f t="shared" si="123"/>
        <v>7.8171400000000206</v>
      </c>
      <c r="AG170" s="77">
        <f t="shared" si="124"/>
        <v>52.419558173469092</v>
      </c>
      <c r="AH170" s="77">
        <f t="shared" si="125"/>
        <v>10.5</v>
      </c>
      <c r="AI170" s="77">
        <f t="shared" si="126"/>
        <v>5.3955000000000002</v>
      </c>
      <c r="AJ170" s="77">
        <f t="shared" si="127"/>
        <v>5.1044999999999998</v>
      </c>
      <c r="AK170" s="77">
        <f t="shared" si="128"/>
        <v>1.7</v>
      </c>
      <c r="AL170" s="77">
        <f t="shared" si="129"/>
        <v>3.4044999999999996</v>
      </c>
      <c r="AM170" s="77">
        <f t="shared" si="130"/>
        <v>32.423809523809524</v>
      </c>
      <c r="AO170" t="s">
        <v>1577</v>
      </c>
      <c r="AP170" t="str">
        <f t="shared" si="117"/>
        <v>12V190F</v>
      </c>
      <c r="AQ170">
        <f>_xlfn.XLOOKUP(A170,'SYS Allocations'!A:A,'SYS Allocations'!B:B)</f>
        <v>0</v>
      </c>
      <c r="AR170" t="str">
        <f>_xlfn.XLOOKUP(A170,'SYS Allocations'!A:A,'SYS Allocations'!C:C)</f>
        <v>RA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18"/>
        <v>12V190F</v>
      </c>
    </row>
    <row r="171" spans="1:53">
      <c r="A171" s="35" t="s">
        <v>187</v>
      </c>
      <c r="B171" s="35" t="s">
        <v>1636</v>
      </c>
      <c r="C171" s="35" t="s">
        <v>1846</v>
      </c>
      <c r="D171" s="35" t="s">
        <v>1568</v>
      </c>
      <c r="E171" s="35" t="s">
        <v>1091</v>
      </c>
      <c r="F171" s="35" t="s">
        <v>1570</v>
      </c>
      <c r="G171" s="105">
        <v>36.6</v>
      </c>
      <c r="H171" s="105">
        <v>32</v>
      </c>
      <c r="I171" s="105">
        <v>415</v>
      </c>
      <c r="J171" s="105">
        <v>22.6175</v>
      </c>
      <c r="K171" s="106">
        <v>45264</v>
      </c>
      <c r="L171" s="105">
        <v>49.468559999999997</v>
      </c>
      <c r="M171" s="105">
        <v>26.85106</v>
      </c>
      <c r="N171" s="105">
        <v>35.675699999999999</v>
      </c>
      <c r="O171" s="105">
        <v>13.058199999999999</v>
      </c>
      <c r="P171" s="35" t="s">
        <v>1586</v>
      </c>
      <c r="Q171" s="35" t="s">
        <v>1581</v>
      </c>
      <c r="R171" s="35" t="s">
        <v>1585</v>
      </c>
      <c r="S171" s="105">
        <v>42.249600000000001</v>
      </c>
      <c r="T171" s="105">
        <v>19.632100000000001</v>
      </c>
      <c r="U171" s="35" t="s">
        <v>1571</v>
      </c>
      <c r="V171" s="35" t="s">
        <v>1589</v>
      </c>
      <c r="W171" s="105">
        <v>45</v>
      </c>
      <c r="X171" s="105">
        <v>22.3825</v>
      </c>
      <c r="Y171" s="105">
        <v>40</v>
      </c>
      <c r="Z171" s="35" t="s">
        <v>1576</v>
      </c>
      <c r="AA171">
        <f>VLOOKUP(A171,Cover!A:R,18,0)</f>
        <v>20.2</v>
      </c>
      <c r="AB171" s="77">
        <f t="shared" si="119"/>
        <v>6.6510600000000011</v>
      </c>
      <c r="AC171" s="77">
        <f t="shared" si="120"/>
        <v>-7.1417999999999999</v>
      </c>
      <c r="AD171" s="77">
        <f t="shared" si="121"/>
        <v>13.445024476152129</v>
      </c>
      <c r="AE171" s="77">
        <f t="shared" si="122"/>
        <v>-20.018668169089885</v>
      </c>
      <c r="AF171" s="77">
        <f t="shared" si="123"/>
        <v>-0.56789999999999807</v>
      </c>
      <c r="AG171" s="77">
        <f t="shared" si="124"/>
        <v>-1.344154737559641</v>
      </c>
      <c r="AH171" s="77">
        <f t="shared" si="125"/>
        <v>45</v>
      </c>
      <c r="AI171" s="77">
        <f t="shared" si="126"/>
        <v>22.6175</v>
      </c>
      <c r="AJ171" s="77">
        <f t="shared" si="127"/>
        <v>22.3825</v>
      </c>
      <c r="AK171" s="77">
        <f t="shared" si="128"/>
        <v>20.2</v>
      </c>
      <c r="AL171" s="77">
        <f t="shared" si="129"/>
        <v>2.182500000000001</v>
      </c>
      <c r="AM171" s="77">
        <f t="shared" si="130"/>
        <v>4.8500000000000023</v>
      </c>
      <c r="AO171" t="s">
        <v>1577</v>
      </c>
      <c r="AP171" t="str">
        <f t="shared" si="117"/>
        <v>DDm100-25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 t="str">
        <f>_xlfn.XLOOKUP(A171,'SYS Allocations'!A:A,'SYS Allocations'!F:F)</f>
        <v>OPEX</v>
      </c>
      <c r="BA171" t="str">
        <f t="shared" si="118"/>
        <v>DDm100-25</v>
      </c>
    </row>
    <row r="172" spans="1:53">
      <c r="A172" s="35" t="s">
        <v>188</v>
      </c>
      <c r="B172" s="35" t="s">
        <v>1636</v>
      </c>
      <c r="C172" s="35" t="s">
        <v>1847</v>
      </c>
      <c r="D172" s="35" t="s">
        <v>1568</v>
      </c>
      <c r="E172" s="35" t="s">
        <v>1848</v>
      </c>
      <c r="F172" s="35" t="s">
        <v>1699</v>
      </c>
      <c r="G172" s="105">
        <v>60.4</v>
      </c>
      <c r="H172" s="105">
        <v>8</v>
      </c>
      <c r="I172" s="105">
        <v>132</v>
      </c>
      <c r="J172" s="105">
        <v>7.194</v>
      </c>
      <c r="K172" s="106">
        <v>44638.5</v>
      </c>
      <c r="L172" s="105">
        <v>18.434080000000002</v>
      </c>
      <c r="M172" s="105">
        <v>11.240080000000001</v>
      </c>
      <c r="N172" s="105">
        <v>16.557099999999998</v>
      </c>
      <c r="O172" s="105">
        <v>9.3630999999999993</v>
      </c>
      <c r="P172" s="35" t="s">
        <v>1574</v>
      </c>
      <c r="Q172" s="35" t="s">
        <v>1581</v>
      </c>
      <c r="R172" s="35" t="s">
        <v>1609</v>
      </c>
      <c r="S172" s="105">
        <v>10.1088</v>
      </c>
      <c r="T172" s="105">
        <v>2.9147999999999801</v>
      </c>
      <c r="U172" s="35" t="s">
        <v>1574</v>
      </c>
      <c r="V172" s="35" t="s">
        <v>1583</v>
      </c>
      <c r="W172" s="105">
        <v>22.5</v>
      </c>
      <c r="X172" s="105">
        <v>15.305999999999999</v>
      </c>
      <c r="Y172" s="105">
        <v>24</v>
      </c>
      <c r="Z172" s="35" t="s">
        <v>1576</v>
      </c>
      <c r="AA172">
        <f>VLOOKUP(A172,Cover!A:R,18,0)</f>
        <v>0</v>
      </c>
      <c r="AB172" s="77">
        <f t="shared" si="119"/>
        <v>11.240080000000001</v>
      </c>
      <c r="AC172" s="77">
        <f t="shared" si="120"/>
        <v>9.3630999999999993</v>
      </c>
      <c r="AD172" s="77">
        <f t="shared" si="121"/>
        <v>60.974456007568584</v>
      </c>
      <c r="AE172" s="77">
        <f t="shared" si="122"/>
        <v>56.550362080315992</v>
      </c>
      <c r="AF172" s="77">
        <f t="shared" si="123"/>
        <v>2.9147999999999801</v>
      </c>
      <c r="AG172" s="77">
        <f t="shared" si="124"/>
        <v>28.834283000949469</v>
      </c>
      <c r="AH172" s="77">
        <f t="shared" si="125"/>
        <v>22.5</v>
      </c>
      <c r="AI172" s="77">
        <f t="shared" si="126"/>
        <v>7.194</v>
      </c>
      <c r="AJ172" s="77">
        <f t="shared" si="127"/>
        <v>15.306000000000001</v>
      </c>
      <c r="AK172" s="77">
        <f t="shared" si="128"/>
        <v>0</v>
      </c>
      <c r="AL172" s="77">
        <f t="shared" si="129"/>
        <v>15.306000000000001</v>
      </c>
      <c r="AM172" s="77">
        <f t="shared" si="130"/>
        <v>68.026666666666671</v>
      </c>
      <c r="AO172" t="s">
        <v>1577</v>
      </c>
      <c r="AP172" t="str">
        <f t="shared" si="117"/>
        <v>2DDm85-15</v>
      </c>
      <c r="AQ172">
        <f>_xlfn.XLOOKUP(A172,'SYS Allocations'!A:A,'SYS Allocations'!B:B)</f>
        <v>0</v>
      </c>
      <c r="AR172">
        <f>_xlfn.XLOOKUP(A172,'SYS Allocations'!A:A,'SYS Allocations'!C:C)</f>
        <v>0</v>
      </c>
      <c r="AS172">
        <f>_xlfn.XLOOKUP(A172,'SYS Allocations'!A:A,'SYS Allocations'!D:D)</f>
        <v>0</v>
      </c>
      <c r="AT172">
        <f>_xlfn.XLOOKUP(A172,'SYS Allocations'!A:A,'SYS Allocations'!E:E)</f>
        <v>0</v>
      </c>
      <c r="AU172">
        <f>_xlfn.XLOOKUP(A172,'SYS Allocations'!A:A,'SYS Allocations'!F:F)</f>
        <v>0</v>
      </c>
      <c r="BA172" t="str">
        <f t="shared" si="118"/>
        <v>2DDm85-15</v>
      </c>
    </row>
    <row r="173" spans="1:53">
      <c r="A173" s="35" t="s">
        <v>189</v>
      </c>
      <c r="B173" s="35" t="s">
        <v>1706</v>
      </c>
      <c r="C173" s="35" t="s">
        <v>1849</v>
      </c>
      <c r="D173" s="35" t="s">
        <v>1563</v>
      </c>
      <c r="E173" s="35" t="s">
        <v>1850</v>
      </c>
      <c r="F173" s="35" t="s">
        <v>1625</v>
      </c>
      <c r="G173" s="105">
        <v>55</v>
      </c>
      <c r="H173" s="105">
        <v>6</v>
      </c>
      <c r="I173" s="105">
        <v>154</v>
      </c>
      <c r="J173" s="105">
        <v>8.3930000000000007</v>
      </c>
      <c r="K173" s="106">
        <v>44532.583333333299</v>
      </c>
      <c r="L173" s="105">
        <v>11.99</v>
      </c>
      <c r="M173" s="105">
        <v>3.597</v>
      </c>
      <c r="N173" s="105">
        <v>9.3369395639999997</v>
      </c>
      <c r="O173" s="105">
        <v>0.94393956400000101</v>
      </c>
      <c r="P173" s="35" t="s">
        <v>1586</v>
      </c>
      <c r="Q173" s="35" t="s">
        <v>1572</v>
      </c>
      <c r="R173" s="35" t="s">
        <v>1851</v>
      </c>
      <c r="S173" s="105">
        <v>11.664</v>
      </c>
      <c r="T173" s="105">
        <v>3.2709999999999901</v>
      </c>
      <c r="U173" s="35" t="s">
        <v>1586</v>
      </c>
      <c r="V173" s="35" t="s">
        <v>1583</v>
      </c>
      <c r="W173" s="105">
        <v>22.5</v>
      </c>
      <c r="X173" s="105">
        <v>14.106999999999999</v>
      </c>
      <c r="Y173" s="105">
        <v>3</v>
      </c>
      <c r="Z173" s="35" t="s">
        <v>8</v>
      </c>
      <c r="AA173">
        <f>VLOOKUP(A173,Cover!A:R,18,0)</f>
        <v>0</v>
      </c>
      <c r="AB173" s="77">
        <f t="shared" si="119"/>
        <v>3.597</v>
      </c>
      <c r="AC173" s="77">
        <f t="shared" si="120"/>
        <v>0.94393956400000101</v>
      </c>
      <c r="AD173" s="77">
        <f t="shared" si="121"/>
        <v>29.999999999999996</v>
      </c>
      <c r="AE173" s="77">
        <f t="shared" si="122"/>
        <v>10.109731968701015</v>
      </c>
      <c r="AF173" s="77">
        <f t="shared" si="123"/>
        <v>3.2709999999999901</v>
      </c>
      <c r="AG173" s="77">
        <f t="shared" si="124"/>
        <v>28.043552812071248</v>
      </c>
      <c r="AH173" s="77">
        <f t="shared" si="125"/>
        <v>22.5</v>
      </c>
      <c r="AI173" s="77">
        <f t="shared" si="126"/>
        <v>8.3930000000000007</v>
      </c>
      <c r="AJ173" s="77">
        <f t="shared" si="127"/>
        <v>14.106999999999999</v>
      </c>
      <c r="AK173" s="77">
        <f t="shared" si="128"/>
        <v>0</v>
      </c>
      <c r="AL173" s="77">
        <f t="shared" si="129"/>
        <v>14.106999999999999</v>
      </c>
      <c r="AM173" s="77">
        <f t="shared" si="130"/>
        <v>62.697777777777773</v>
      </c>
      <c r="AN173" t="s">
        <v>1563</v>
      </c>
      <c r="AO173" t="s">
        <v>1577</v>
      </c>
      <c r="AP173" t="str">
        <f t="shared" si="117"/>
        <v>EN320</v>
      </c>
      <c r="AQ173">
        <f>_xlfn.XLOOKUP(A173,'SYS Allocations'!A:A,'SYS Allocations'!B:B)</f>
        <v>0</v>
      </c>
      <c r="AR173">
        <f>_xlfn.XLOOKUP(A173,'SYS Allocations'!A:A,'SYS Allocations'!C:C)</f>
        <v>0</v>
      </c>
      <c r="AS173">
        <f>_xlfn.XLOOKUP(A173,'SYS Allocations'!A:A,'SYS Allocations'!D:D)</f>
        <v>0</v>
      </c>
      <c r="AT173">
        <f>_xlfn.XLOOKUP(A173,'SYS Allocations'!A:A,'SYS Allocations'!E:E)</f>
        <v>0</v>
      </c>
      <c r="AU173">
        <f>_xlfn.XLOOKUP(A173,'SYS Allocations'!A:A,'SYS Allocations'!F:F)</f>
        <v>0</v>
      </c>
      <c r="BA173" t="str">
        <f t="shared" si="118"/>
        <v>EN320</v>
      </c>
    </row>
    <row r="174" spans="1:53">
      <c r="A174" s="35" t="s">
        <v>190</v>
      </c>
      <c r="B174" s="35" t="s">
        <v>1706</v>
      </c>
      <c r="C174" s="35" t="s">
        <v>1852</v>
      </c>
      <c r="D174" s="35" t="s">
        <v>1568</v>
      </c>
      <c r="E174" s="35" t="s">
        <v>1488</v>
      </c>
      <c r="F174" s="35" t="s">
        <v>1580</v>
      </c>
      <c r="G174" s="105">
        <v>75</v>
      </c>
      <c r="H174" s="105">
        <v>9</v>
      </c>
      <c r="I174" s="105">
        <v>175</v>
      </c>
      <c r="J174" s="105">
        <v>9.5374999999999996</v>
      </c>
      <c r="K174" s="106">
        <v>44355.416666666701</v>
      </c>
      <c r="L174" s="105">
        <v>26.16</v>
      </c>
      <c r="M174" s="105">
        <v>16.622499999999999</v>
      </c>
      <c r="N174" s="105">
        <v>20.6555</v>
      </c>
      <c r="O174" s="105">
        <v>11.118</v>
      </c>
      <c r="P174" s="35" t="s">
        <v>1574</v>
      </c>
      <c r="Q174" s="35" t="s">
        <v>1581</v>
      </c>
      <c r="R174" s="35" t="s">
        <v>1789</v>
      </c>
      <c r="S174" s="105">
        <v>18.792000000000002</v>
      </c>
      <c r="T174" s="105">
        <v>9.2544999999999806</v>
      </c>
      <c r="U174" s="35" t="s">
        <v>1571</v>
      </c>
      <c r="V174" s="35" t="s">
        <v>1589</v>
      </c>
      <c r="W174" s="105">
        <v>45</v>
      </c>
      <c r="X174" s="105">
        <v>35.462499999999999</v>
      </c>
      <c r="Y174" s="105">
        <v>21</v>
      </c>
      <c r="Z174" s="35" t="s">
        <v>1576</v>
      </c>
      <c r="AA174">
        <f>VLOOKUP(A174,Cover!A:R,18,0)</f>
        <v>2</v>
      </c>
      <c r="AB174" s="77">
        <f t="shared" si="119"/>
        <v>14.622499999999999</v>
      </c>
      <c r="AC174" s="77">
        <f t="shared" si="120"/>
        <v>9.1180000000000003</v>
      </c>
      <c r="AD174" s="77">
        <f t="shared" si="121"/>
        <v>55.89640672782874</v>
      </c>
      <c r="AE174" s="77">
        <f t="shared" si="122"/>
        <v>44.143206409915038</v>
      </c>
      <c r="AF174" s="77">
        <f t="shared" si="123"/>
        <v>7.2544999999999806</v>
      </c>
      <c r="AG174" s="77">
        <f t="shared" si="124"/>
        <v>38.604193273733401</v>
      </c>
      <c r="AH174" s="346">
        <f>AVERAGE(W174:W175)</f>
        <v>45</v>
      </c>
      <c r="AI174" s="346">
        <f>SUM(J174:J175)</f>
        <v>19.3475</v>
      </c>
      <c r="AJ174" s="346">
        <f t="shared" si="127"/>
        <v>25.6525</v>
      </c>
      <c r="AK174" s="346">
        <f>SUM(AA174:AA175)</f>
        <v>2</v>
      </c>
      <c r="AL174" s="346">
        <f t="shared" si="129"/>
        <v>23.6525</v>
      </c>
      <c r="AM174" s="345">
        <f t="shared" si="130"/>
        <v>52.56111111111111</v>
      </c>
      <c r="AO174" t="s">
        <v>1577</v>
      </c>
      <c r="AP174" t="str">
        <f t="shared" si="117"/>
        <v>DDm85-27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18"/>
        <v>DDm85-27</v>
      </c>
    </row>
    <row r="175" spans="1:53">
      <c r="A175" s="35" t="s">
        <v>191</v>
      </c>
      <c r="B175" s="35" t="s">
        <v>1706</v>
      </c>
      <c r="C175" s="35" t="s">
        <v>1852</v>
      </c>
      <c r="D175" s="35" t="s">
        <v>1568</v>
      </c>
      <c r="E175" s="35" t="s">
        <v>1488</v>
      </c>
      <c r="F175" s="35" t="s">
        <v>1580</v>
      </c>
      <c r="G175" s="105">
        <v>75</v>
      </c>
      <c r="H175" s="105">
        <v>7</v>
      </c>
      <c r="I175" s="105">
        <v>180</v>
      </c>
      <c r="J175" s="105">
        <v>9.81</v>
      </c>
      <c r="K175" s="106">
        <v>44355.5</v>
      </c>
      <c r="L175" s="105">
        <v>19.62</v>
      </c>
      <c r="M175" s="105">
        <v>9.81</v>
      </c>
      <c r="N175" s="105">
        <v>12.480499999999999</v>
      </c>
      <c r="O175" s="105">
        <v>2.6705000000000001</v>
      </c>
      <c r="P175" s="35" t="s">
        <v>1574</v>
      </c>
      <c r="Q175" s="35" t="s">
        <v>1581</v>
      </c>
      <c r="R175" s="35" t="s">
        <v>1789</v>
      </c>
      <c r="S175" s="105">
        <v>18.792000000000002</v>
      </c>
      <c r="T175" s="105">
        <v>8.9819999999999798</v>
      </c>
      <c r="U175" s="35" t="s">
        <v>1571</v>
      </c>
      <c r="V175" s="35" t="s">
        <v>1589</v>
      </c>
      <c r="W175" s="105">
        <v>45</v>
      </c>
      <c r="X175" s="105">
        <v>35.19</v>
      </c>
      <c r="Y175" s="105">
        <v>21</v>
      </c>
      <c r="Z175" s="35" t="s">
        <v>1576</v>
      </c>
      <c r="AA175">
        <f>VLOOKUP(A175,Cover!A:R,18,0)</f>
        <v>0</v>
      </c>
      <c r="AB175" s="77">
        <f t="shared" si="119"/>
        <v>9.81</v>
      </c>
      <c r="AC175" s="77">
        <f t="shared" si="120"/>
        <v>2.6705000000000001</v>
      </c>
      <c r="AD175" s="77">
        <f t="shared" si="121"/>
        <v>50</v>
      </c>
      <c r="AE175" s="77">
        <f t="shared" si="122"/>
        <v>21.397379912663755</v>
      </c>
      <c r="AF175" s="77">
        <f t="shared" si="123"/>
        <v>8.9819999999999798</v>
      </c>
      <c r="AG175" s="77">
        <f t="shared" si="124"/>
        <v>47.796934865900276</v>
      </c>
      <c r="AH175" s="346"/>
      <c r="AI175" s="346"/>
      <c r="AJ175" s="346"/>
      <c r="AK175" s="346"/>
      <c r="AL175" s="346"/>
      <c r="AM175" s="345"/>
      <c r="AO175" t="s">
        <v>1577</v>
      </c>
      <c r="AP175" t="str">
        <f t="shared" si="117"/>
        <v>DDm85-27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18"/>
        <v>DDm85-27</v>
      </c>
    </row>
    <row r="176" spans="1:53">
      <c r="A176" s="35" t="s">
        <v>192</v>
      </c>
      <c r="B176" s="35" t="s">
        <v>1616</v>
      </c>
      <c r="C176" s="35" t="s">
        <v>1853</v>
      </c>
      <c r="D176" s="35" t="s">
        <v>1568</v>
      </c>
      <c r="E176" s="35" t="s">
        <v>1361</v>
      </c>
      <c r="F176" s="35" t="s">
        <v>1570</v>
      </c>
      <c r="G176" s="105">
        <v>36.6</v>
      </c>
      <c r="H176" s="105">
        <v>22</v>
      </c>
      <c r="I176" s="105">
        <v>62</v>
      </c>
      <c r="J176" s="105">
        <v>3.379</v>
      </c>
      <c r="K176" s="106">
        <v>45264</v>
      </c>
      <c r="L176" s="105">
        <v>33.510959999999997</v>
      </c>
      <c r="M176" s="105">
        <v>30.131959999999999</v>
      </c>
      <c r="N176" s="105">
        <v>27.064699999999998</v>
      </c>
      <c r="O176" s="105">
        <v>23.685700000000001</v>
      </c>
      <c r="P176" s="35" t="s">
        <v>1574</v>
      </c>
      <c r="Q176" s="35" t="s">
        <v>1581</v>
      </c>
      <c r="R176" s="35" t="s">
        <v>1694</v>
      </c>
      <c r="S176" s="105">
        <v>22.982399999999998</v>
      </c>
      <c r="T176" s="105">
        <v>19.603400000000001</v>
      </c>
      <c r="U176" s="35" t="s">
        <v>1571</v>
      </c>
      <c r="V176" s="35" t="s">
        <v>1854</v>
      </c>
      <c r="W176" s="105">
        <v>39</v>
      </c>
      <c r="X176" s="105">
        <v>35.621000000000002</v>
      </c>
      <c r="Y176" s="105">
        <v>7</v>
      </c>
      <c r="Z176" s="35" t="s">
        <v>1576</v>
      </c>
      <c r="AA176">
        <f>VLOOKUP(A176,Cover!A:R,18,0)</f>
        <v>7.2</v>
      </c>
      <c r="AB176" s="77">
        <f t="shared" si="119"/>
        <v>22.93196</v>
      </c>
      <c r="AC176" s="77">
        <f t="shared" si="120"/>
        <v>16.485700000000001</v>
      </c>
      <c r="AD176" s="77">
        <f t="shared" si="121"/>
        <v>68.431223695173173</v>
      </c>
      <c r="AE176" s="77">
        <f t="shared" si="122"/>
        <v>60.912184506017077</v>
      </c>
      <c r="AF176" s="77">
        <f t="shared" si="123"/>
        <v>12.403400000000001</v>
      </c>
      <c r="AG176" s="77">
        <f t="shared" si="124"/>
        <v>53.969124199387366</v>
      </c>
      <c r="AH176" s="346">
        <f>AVERAGE(W176:W177)</f>
        <v>39</v>
      </c>
      <c r="AI176" s="346">
        <f>SUM(J176:J177)</f>
        <v>6.3220000000000001</v>
      </c>
      <c r="AJ176" s="346">
        <f t="shared" si="127"/>
        <v>32.677999999999997</v>
      </c>
      <c r="AK176" s="346">
        <f>SUM(AA176:AA177)</f>
        <v>14.5</v>
      </c>
      <c r="AL176" s="346">
        <f t="shared" si="129"/>
        <v>18.177999999999997</v>
      </c>
      <c r="AM176" s="345">
        <f t="shared" si="130"/>
        <v>46.610256410256405</v>
      </c>
      <c r="AO176" s="52" t="s">
        <v>1634</v>
      </c>
      <c r="AP176" t="str">
        <f t="shared" si="117"/>
        <v>DDm85-33</v>
      </c>
      <c r="AQ176">
        <f>_xlfn.XLOOKUP(A176,'SYS Allocations'!A:A,'SYS Allocations'!B:B)</f>
        <v>0</v>
      </c>
      <c r="AR176" t="str">
        <f>_xlfn.XLOOKUP(A176,'SYS Allocations'!A:A,'SYS Allocations'!C:C)</f>
        <v>RA</v>
      </c>
      <c r="AS176">
        <f>_xlfn.XLOOKUP(A176,'SYS Allocations'!A:A,'SYS Allocations'!D:D)</f>
        <v>0</v>
      </c>
      <c r="AT176" t="str">
        <f>_xlfn.XLOOKUP(A176,'SYS Allocations'!A:A,'SYS Allocations'!E:E)</f>
        <v>AM</v>
      </c>
      <c r="AU176">
        <f>_xlfn.XLOOKUP(A176,'SYS Allocations'!A:A,'SYS Allocations'!F:F)</f>
        <v>0</v>
      </c>
      <c r="BA176" t="str">
        <f t="shared" si="118"/>
        <v>DDm85-33</v>
      </c>
    </row>
    <row r="177" spans="1:53">
      <c r="A177" s="35" t="s">
        <v>193</v>
      </c>
      <c r="B177" s="35" t="s">
        <v>1616</v>
      </c>
      <c r="C177" s="35" t="s">
        <v>1853</v>
      </c>
      <c r="D177" s="35" t="s">
        <v>1568</v>
      </c>
      <c r="E177" s="35" t="s">
        <v>1361</v>
      </c>
      <c r="F177" s="35" t="s">
        <v>1570</v>
      </c>
      <c r="G177" s="105">
        <v>36.6</v>
      </c>
      <c r="H177" s="105">
        <v>22</v>
      </c>
      <c r="I177" s="105">
        <v>54</v>
      </c>
      <c r="J177" s="105">
        <v>2.9430000000000001</v>
      </c>
      <c r="K177" s="106">
        <v>45264</v>
      </c>
      <c r="L177" s="105">
        <v>33.510959999999997</v>
      </c>
      <c r="M177" s="105">
        <v>30.567959999999999</v>
      </c>
      <c r="N177" s="105">
        <v>27.064699999999998</v>
      </c>
      <c r="O177" s="105">
        <v>24.121700000000001</v>
      </c>
      <c r="P177" s="35" t="s">
        <v>1574</v>
      </c>
      <c r="Q177" s="35" t="s">
        <v>1581</v>
      </c>
      <c r="R177" s="35" t="s">
        <v>1694</v>
      </c>
      <c r="S177" s="105">
        <v>22.982399999999998</v>
      </c>
      <c r="T177" s="105">
        <v>20.039400000000001</v>
      </c>
      <c r="U177" s="35" t="s">
        <v>1571</v>
      </c>
      <c r="V177" s="35" t="s">
        <v>1854</v>
      </c>
      <c r="W177" s="105">
        <v>39</v>
      </c>
      <c r="X177" s="105">
        <v>36.057000000000002</v>
      </c>
      <c r="Y177" s="105">
        <v>7</v>
      </c>
      <c r="Z177" s="35" t="s">
        <v>1576</v>
      </c>
      <c r="AA177">
        <f>VLOOKUP(A177,Cover!A:R,18,0)</f>
        <v>7.3000000000000007</v>
      </c>
      <c r="AB177" s="77">
        <f t="shared" ref="AB177" si="131">M177-AA177</f>
        <v>23.267959999999999</v>
      </c>
      <c r="AC177" s="77">
        <f t="shared" ref="AC177" si="132">O177-AA177</f>
        <v>16.8217</v>
      </c>
      <c r="AD177" s="77">
        <f t="shared" ref="AD177" si="133">AB177/L177%</f>
        <v>69.433880736332242</v>
      </c>
      <c r="AE177" s="77">
        <f t="shared" ref="AE177" si="134">AC177/N177%</f>
        <v>62.153654021659214</v>
      </c>
      <c r="AF177" s="77">
        <f t="shared" ref="AF177" si="135">T177-AA177</f>
        <v>12.7394</v>
      </c>
      <c r="AG177" s="77">
        <f t="shared" ref="AG177" si="136">AF177/S177%</f>
        <v>55.431112503480932</v>
      </c>
      <c r="AH177" s="346"/>
      <c r="AI177" s="346"/>
      <c r="AJ177" s="346"/>
      <c r="AK177" s="346"/>
      <c r="AL177" s="346"/>
      <c r="AM177" s="345"/>
      <c r="AO177" s="52" t="s">
        <v>1634</v>
      </c>
      <c r="AP177" t="str">
        <f t="shared" si="117"/>
        <v>DDm85-33</v>
      </c>
      <c r="AQ177">
        <f>_xlfn.XLOOKUP(A177,'SYS Allocations'!A:A,'SYS Allocations'!B:B)</f>
        <v>0</v>
      </c>
      <c r="AR177">
        <f>_xlfn.XLOOKUP(A177,'SYS Allocations'!A:A,'SYS Allocations'!C:C)</f>
        <v>0</v>
      </c>
      <c r="AS177">
        <f>_xlfn.XLOOKUP(A177,'SYS Allocations'!A:A,'SYS Allocations'!D:D)</f>
        <v>0</v>
      </c>
      <c r="AT177">
        <f>_xlfn.XLOOKUP(A177,'SYS Allocations'!A:A,'SYS Allocations'!E:E)</f>
        <v>0</v>
      </c>
      <c r="AU177">
        <f>_xlfn.XLOOKUP(A177,'SYS Allocations'!A:A,'SYS Allocations'!F:F)</f>
        <v>0</v>
      </c>
      <c r="BA177" t="str">
        <f t="shared" si="118"/>
        <v>DDm85-33</v>
      </c>
    </row>
    <row r="178" spans="1:53">
      <c r="A178" s="35" t="s">
        <v>194</v>
      </c>
      <c r="B178" s="35" t="s">
        <v>1616</v>
      </c>
      <c r="C178" s="35" t="s">
        <v>1855</v>
      </c>
      <c r="D178" s="35" t="s">
        <v>1568</v>
      </c>
      <c r="E178" s="35" t="s">
        <v>1371</v>
      </c>
      <c r="F178" s="35" t="s">
        <v>1580</v>
      </c>
      <c r="G178" s="105">
        <v>75</v>
      </c>
      <c r="H178" s="105">
        <v>8</v>
      </c>
      <c r="I178" s="105">
        <v>150</v>
      </c>
      <c r="J178" s="105">
        <v>8.1750000000000007</v>
      </c>
      <c r="K178" s="106">
        <v>43840</v>
      </c>
      <c r="L178" s="105">
        <v>22.89</v>
      </c>
      <c r="M178" s="105">
        <v>14.715</v>
      </c>
      <c r="N178" s="105">
        <v>11.172499999999999</v>
      </c>
      <c r="O178" s="105">
        <v>2.9975000000000001</v>
      </c>
      <c r="P178" s="35" t="s">
        <v>1574</v>
      </c>
      <c r="Q178" s="35" t="s">
        <v>1581</v>
      </c>
      <c r="R178" s="35" t="s">
        <v>1644</v>
      </c>
      <c r="S178" s="105">
        <v>28.123200000000001</v>
      </c>
      <c r="T178" s="105">
        <v>19.9482</v>
      </c>
      <c r="U178" s="35" t="s">
        <v>1593</v>
      </c>
      <c r="V178" s="35" t="s">
        <v>1611</v>
      </c>
      <c r="W178" s="105">
        <v>116.25</v>
      </c>
      <c r="X178" s="105">
        <v>108.075</v>
      </c>
      <c r="Y178" s="105">
        <v>66</v>
      </c>
      <c r="Z178" s="35" t="s">
        <v>1576</v>
      </c>
      <c r="AA178">
        <f>VLOOKUP(A178,Cover!A:R,18,0)</f>
        <v>2</v>
      </c>
      <c r="AB178" s="77">
        <f t="shared" si="119"/>
        <v>12.715</v>
      </c>
      <c r="AC178" s="77">
        <f t="shared" si="120"/>
        <v>0.99750000000000005</v>
      </c>
      <c r="AD178" s="77">
        <f t="shared" si="121"/>
        <v>55.548274355613806</v>
      </c>
      <c r="AE178" s="77">
        <f t="shared" si="122"/>
        <v>8.9281718505258461</v>
      </c>
      <c r="AF178" s="77">
        <f t="shared" si="123"/>
        <v>17.9482</v>
      </c>
      <c r="AG178" s="77">
        <f t="shared" si="124"/>
        <v>63.819906696250783</v>
      </c>
      <c r="AH178" s="346">
        <f>AVERAGE(W178:W181)</f>
        <v>116.25</v>
      </c>
      <c r="AI178" s="346">
        <f>SUM(J178:J181)</f>
        <v>28.340000000000003</v>
      </c>
      <c r="AJ178" s="346">
        <f t="shared" si="127"/>
        <v>87.91</v>
      </c>
      <c r="AK178" s="346">
        <f>SUM(AA178:AA181)</f>
        <v>4</v>
      </c>
      <c r="AL178" s="346">
        <f t="shared" si="129"/>
        <v>83.91</v>
      </c>
      <c r="AM178" s="345">
        <f t="shared" si="130"/>
        <v>72.180645161290315</v>
      </c>
      <c r="AO178" t="s">
        <v>1634</v>
      </c>
      <c r="AP178" t="str">
        <f t="shared" si="117"/>
        <v>DDm100-33</v>
      </c>
      <c r="AQ178">
        <f>_xlfn.XLOOKUP(A178,'SYS Allocations'!A:A,'SYS Allocations'!B:B)</f>
        <v>0</v>
      </c>
      <c r="AR178">
        <f>_xlfn.XLOOKUP(A178,'SYS Allocations'!A:A,'SYS Allocations'!C:C)</f>
        <v>0</v>
      </c>
      <c r="AS178">
        <f>_xlfn.XLOOKUP(A178,'SYS Allocations'!A:A,'SYS Allocations'!D:D)</f>
        <v>0</v>
      </c>
      <c r="AT178">
        <f>_xlfn.XLOOKUP(A178,'SYS Allocations'!A:A,'SYS Allocations'!E:E)</f>
        <v>0</v>
      </c>
      <c r="AU178">
        <f>_xlfn.XLOOKUP(A178,'SYS Allocations'!A:A,'SYS Allocations'!F:F)</f>
        <v>0</v>
      </c>
      <c r="BA178" t="str">
        <f t="shared" si="118"/>
        <v>DDm100-33</v>
      </c>
    </row>
    <row r="179" spans="1:53">
      <c r="A179" s="35" t="s">
        <v>195</v>
      </c>
      <c r="B179" s="35" t="s">
        <v>1616</v>
      </c>
      <c r="C179" s="35" t="s">
        <v>1855</v>
      </c>
      <c r="D179" s="35" t="s">
        <v>1568</v>
      </c>
      <c r="E179" s="35" t="s">
        <v>1371</v>
      </c>
      <c r="F179" s="35" t="s">
        <v>1580</v>
      </c>
      <c r="G179" s="105">
        <v>75</v>
      </c>
      <c r="H179" s="105">
        <v>11</v>
      </c>
      <c r="I179" s="105">
        <v>20</v>
      </c>
      <c r="J179" s="105">
        <v>1.0900000000000001</v>
      </c>
      <c r="K179" s="106">
        <v>44461.625</v>
      </c>
      <c r="L179" s="105">
        <v>32.700000000000003</v>
      </c>
      <c r="M179" s="105">
        <v>31.61</v>
      </c>
      <c r="N179" s="105">
        <v>19.074999999999999</v>
      </c>
      <c r="O179" s="105">
        <v>17.984999999999999</v>
      </c>
      <c r="P179" s="35" t="s">
        <v>1574</v>
      </c>
      <c r="Q179" s="35" t="s">
        <v>1581</v>
      </c>
      <c r="R179" s="35" t="s">
        <v>1592</v>
      </c>
      <c r="S179" s="105">
        <v>35.553600000000003</v>
      </c>
      <c r="T179" s="105">
        <v>34.4636</v>
      </c>
      <c r="U179" s="35" t="s">
        <v>1593</v>
      </c>
      <c r="V179" s="35" t="s">
        <v>1611</v>
      </c>
      <c r="W179" s="105">
        <v>116.25</v>
      </c>
      <c r="X179" s="105">
        <v>115.16</v>
      </c>
      <c r="Y179" s="105">
        <v>66</v>
      </c>
      <c r="Z179" s="35" t="s">
        <v>1576</v>
      </c>
      <c r="AA179">
        <f>VLOOKUP(A179,Cover!A:R,18,0)</f>
        <v>2</v>
      </c>
      <c r="AB179" s="77">
        <f t="shared" si="119"/>
        <v>29.61</v>
      </c>
      <c r="AC179" s="77">
        <f t="shared" si="120"/>
        <v>15.984999999999999</v>
      </c>
      <c r="AD179" s="77">
        <f t="shared" si="121"/>
        <v>90.550458715596321</v>
      </c>
      <c r="AE179" s="77">
        <f t="shared" si="122"/>
        <v>83.800786369593709</v>
      </c>
      <c r="AF179" s="77">
        <f t="shared" si="123"/>
        <v>32.4636</v>
      </c>
      <c r="AG179" s="77">
        <f t="shared" si="124"/>
        <v>91.308896989334414</v>
      </c>
      <c r="AH179" s="346"/>
      <c r="AI179" s="346"/>
      <c r="AJ179" s="346"/>
      <c r="AK179" s="346"/>
      <c r="AL179" s="346"/>
      <c r="AM179" s="345"/>
      <c r="AO179" t="s">
        <v>1634</v>
      </c>
      <c r="AP179" t="str">
        <f t="shared" si="117"/>
        <v>DDm125-33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18"/>
        <v>DDm125-33</v>
      </c>
    </row>
    <row r="180" spans="1:53">
      <c r="A180" s="35" t="s">
        <v>196</v>
      </c>
      <c r="B180" s="35" t="s">
        <v>1616</v>
      </c>
      <c r="C180" s="35" t="s">
        <v>1855</v>
      </c>
      <c r="D180" s="35" t="s">
        <v>1568</v>
      </c>
      <c r="E180" s="35" t="s">
        <v>1371</v>
      </c>
      <c r="F180" s="35" t="s">
        <v>1580</v>
      </c>
      <c r="G180" s="105">
        <v>75</v>
      </c>
      <c r="H180" s="105">
        <v>8</v>
      </c>
      <c r="I180" s="105">
        <v>150</v>
      </c>
      <c r="J180" s="105">
        <v>8.1750000000000007</v>
      </c>
      <c r="K180" s="106">
        <v>43840</v>
      </c>
      <c r="L180" s="105">
        <v>22.89</v>
      </c>
      <c r="M180" s="105">
        <v>14.715</v>
      </c>
      <c r="N180" s="105">
        <v>11.172499999999999</v>
      </c>
      <c r="O180" s="105">
        <v>2.9975000000000001</v>
      </c>
      <c r="P180" s="35" t="s">
        <v>1574</v>
      </c>
      <c r="Q180" s="35" t="s">
        <v>1581</v>
      </c>
      <c r="R180" s="35" t="s">
        <v>1644</v>
      </c>
      <c r="S180" s="105">
        <v>28.123200000000001</v>
      </c>
      <c r="T180" s="105">
        <v>19.9482</v>
      </c>
      <c r="U180" s="35" t="s">
        <v>1593</v>
      </c>
      <c r="V180" s="35" t="s">
        <v>1611</v>
      </c>
      <c r="W180" s="105">
        <v>116.25</v>
      </c>
      <c r="X180" s="105">
        <v>108.075</v>
      </c>
      <c r="Y180" s="105">
        <v>66</v>
      </c>
      <c r="Z180" s="35" t="s">
        <v>1576</v>
      </c>
      <c r="AA180">
        <f>VLOOKUP(A180,Cover!A:R,18,0)</f>
        <v>0</v>
      </c>
      <c r="AB180" s="77">
        <f t="shared" si="119"/>
        <v>14.715</v>
      </c>
      <c r="AC180" s="77">
        <f t="shared" si="120"/>
        <v>2.9975000000000001</v>
      </c>
      <c r="AD180" s="77">
        <f t="shared" si="121"/>
        <v>64.285714285714292</v>
      </c>
      <c r="AE180" s="77">
        <f t="shared" si="122"/>
        <v>26.829268292682929</v>
      </c>
      <c r="AF180" s="77">
        <f t="shared" si="123"/>
        <v>19.9482</v>
      </c>
      <c r="AG180" s="77">
        <f t="shared" si="124"/>
        <v>70.931472947601989</v>
      </c>
      <c r="AH180" s="346"/>
      <c r="AI180" s="346"/>
      <c r="AJ180" s="346"/>
      <c r="AK180" s="346"/>
      <c r="AL180" s="346"/>
      <c r="AM180" s="345"/>
      <c r="AO180" t="s">
        <v>1634</v>
      </c>
      <c r="AP180" t="str">
        <f t="shared" si="117"/>
        <v>DDm100-33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18"/>
        <v>DDm100-33</v>
      </c>
    </row>
    <row r="181" spans="1:53">
      <c r="A181" s="35" t="s">
        <v>197</v>
      </c>
      <c r="B181" s="35" t="s">
        <v>1616</v>
      </c>
      <c r="C181" s="35" t="s">
        <v>1855</v>
      </c>
      <c r="D181" s="35" t="s">
        <v>1568</v>
      </c>
      <c r="E181" s="35" t="s">
        <v>1371</v>
      </c>
      <c r="F181" s="35" t="s">
        <v>1580</v>
      </c>
      <c r="G181" s="105">
        <v>75</v>
      </c>
      <c r="H181" s="105">
        <v>10</v>
      </c>
      <c r="I181" s="105">
        <v>200</v>
      </c>
      <c r="J181" s="105">
        <v>10.9</v>
      </c>
      <c r="K181" s="106">
        <v>44461.666666666701</v>
      </c>
      <c r="L181" s="105">
        <v>29.43</v>
      </c>
      <c r="M181" s="105">
        <v>18.53</v>
      </c>
      <c r="N181" s="105">
        <v>14.987500000000001</v>
      </c>
      <c r="O181" s="105">
        <v>4.0875000000000004</v>
      </c>
      <c r="P181" s="35" t="s">
        <v>1574</v>
      </c>
      <c r="Q181" s="35" t="s">
        <v>1581</v>
      </c>
      <c r="R181" s="35" t="s">
        <v>1592</v>
      </c>
      <c r="S181" s="105">
        <v>35.553600000000003</v>
      </c>
      <c r="T181" s="105">
        <v>24.653600000000001</v>
      </c>
      <c r="U181" s="35" t="s">
        <v>1593</v>
      </c>
      <c r="V181" s="35" t="s">
        <v>1611</v>
      </c>
      <c r="W181" s="105">
        <v>116.25</v>
      </c>
      <c r="X181" s="105">
        <v>105.35</v>
      </c>
      <c r="Y181" s="105">
        <v>66</v>
      </c>
      <c r="Z181" s="35" t="s">
        <v>1576</v>
      </c>
      <c r="AA181">
        <f>VLOOKUP(A181,Cover!A:R,18,0)</f>
        <v>0</v>
      </c>
      <c r="AB181" s="77">
        <f t="shared" si="119"/>
        <v>18.53</v>
      </c>
      <c r="AC181" s="77">
        <f t="shared" si="120"/>
        <v>4.0875000000000004</v>
      </c>
      <c r="AD181" s="77">
        <f t="shared" si="121"/>
        <v>62.962962962962969</v>
      </c>
      <c r="AE181" s="77">
        <f t="shared" si="122"/>
        <v>27.272727272727273</v>
      </c>
      <c r="AF181" s="77">
        <f t="shared" si="123"/>
        <v>24.653600000000001</v>
      </c>
      <c r="AG181" s="77">
        <f t="shared" si="124"/>
        <v>69.342063813509739</v>
      </c>
      <c r="AH181" s="346"/>
      <c r="AI181" s="346"/>
      <c r="AJ181" s="346"/>
      <c r="AK181" s="346"/>
      <c r="AL181" s="346"/>
      <c r="AM181" s="345"/>
      <c r="AO181" t="s">
        <v>1634</v>
      </c>
      <c r="AP181" t="str">
        <f t="shared" si="117"/>
        <v>DDm125-33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18"/>
        <v>DDm125-33</v>
      </c>
    </row>
    <row r="182" spans="1:53">
      <c r="A182" s="35" t="s">
        <v>198</v>
      </c>
      <c r="B182" s="35" t="s">
        <v>1616</v>
      </c>
      <c r="C182" s="35" t="s">
        <v>1856</v>
      </c>
      <c r="D182" s="35" t="s">
        <v>1568</v>
      </c>
      <c r="E182" s="35" t="s">
        <v>1365</v>
      </c>
      <c r="F182" s="35" t="s">
        <v>1570</v>
      </c>
      <c r="G182" s="105">
        <v>36.6</v>
      </c>
      <c r="H182" s="105">
        <v>30</v>
      </c>
      <c r="I182" s="105">
        <v>56</v>
      </c>
      <c r="J182" s="105">
        <v>3.052</v>
      </c>
      <c r="K182" s="106">
        <v>45264</v>
      </c>
      <c r="L182" s="105">
        <v>46.27704</v>
      </c>
      <c r="M182" s="105">
        <v>43.22504</v>
      </c>
      <c r="N182" s="105">
        <v>41.496299999999998</v>
      </c>
      <c r="O182" s="105">
        <v>38.444299999999998</v>
      </c>
      <c r="P182" s="35" t="s">
        <v>1574</v>
      </c>
      <c r="Q182" s="35" t="s">
        <v>1581</v>
      </c>
      <c r="R182" s="35" t="s">
        <v>1773</v>
      </c>
      <c r="S182" s="105">
        <v>26.654399999999999</v>
      </c>
      <c r="T182" s="105">
        <v>23.602399999999999</v>
      </c>
      <c r="U182" s="35" t="s">
        <v>1622</v>
      </c>
      <c r="V182" s="35" t="s">
        <v>1857</v>
      </c>
      <c r="W182" s="105">
        <v>99.825000000000003</v>
      </c>
      <c r="X182" s="105">
        <v>96.772999999999996</v>
      </c>
      <c r="Y182" s="105">
        <v>49</v>
      </c>
      <c r="Z182" s="35" t="s">
        <v>1576</v>
      </c>
      <c r="AA182">
        <f>VLOOKUP(A182,Cover!A:R,18,0)</f>
        <v>12</v>
      </c>
      <c r="AB182" s="77">
        <f t="shared" si="119"/>
        <v>31.22504</v>
      </c>
      <c r="AC182" s="77">
        <f t="shared" si="120"/>
        <v>26.444299999999998</v>
      </c>
      <c r="AD182" s="77">
        <f t="shared" si="121"/>
        <v>67.474151328607022</v>
      </c>
      <c r="AE182" s="77">
        <f t="shared" si="122"/>
        <v>63.726886493494604</v>
      </c>
      <c r="AF182" s="77">
        <f t="shared" si="123"/>
        <v>11.602399999999999</v>
      </c>
      <c r="AG182" s="77">
        <f t="shared" si="124"/>
        <v>43.52902335074134</v>
      </c>
      <c r="AH182" s="77">
        <f t="shared" si="125"/>
        <v>99.825000000000003</v>
      </c>
      <c r="AI182" s="77">
        <f t="shared" si="126"/>
        <v>3.052</v>
      </c>
      <c r="AJ182" s="77">
        <f t="shared" si="127"/>
        <v>96.772999999999996</v>
      </c>
      <c r="AK182" s="77">
        <f t="shared" si="128"/>
        <v>12</v>
      </c>
      <c r="AL182" s="77">
        <f t="shared" si="129"/>
        <v>84.772999999999996</v>
      </c>
      <c r="AM182" s="77">
        <f t="shared" si="130"/>
        <v>84.921612822439258</v>
      </c>
      <c r="AO182" s="52" t="s">
        <v>1634</v>
      </c>
      <c r="AP182" t="str">
        <f t="shared" si="117"/>
        <v>DDm125-25</v>
      </c>
      <c r="AQ182">
        <f>_xlfn.XLOOKUP(A182,'SYS Allocations'!A:A,'SYS Allocations'!B:B)</f>
        <v>0</v>
      </c>
      <c r="AR182" t="str">
        <f>_xlfn.XLOOKUP(A182,'SYS Allocations'!A:A,'SYS Allocations'!C:C)</f>
        <v>RA</v>
      </c>
      <c r="AS182">
        <f>_xlfn.XLOOKUP(A182,'SYS Allocations'!A:A,'SYS Allocations'!D:D)</f>
        <v>0</v>
      </c>
      <c r="AT182" t="str">
        <f>_xlfn.XLOOKUP(A182,'SYS Allocations'!A:A,'SYS Allocations'!E:E)</f>
        <v>AM</v>
      </c>
      <c r="AU182">
        <f>_xlfn.XLOOKUP(A182,'SYS Allocations'!A:A,'SYS Allocations'!F:F)</f>
        <v>0</v>
      </c>
      <c r="BA182" t="str">
        <f t="shared" si="118"/>
        <v>DDm125-25</v>
      </c>
    </row>
    <row r="183" spans="1:53">
      <c r="A183" s="35" t="s">
        <v>199</v>
      </c>
      <c r="B183" s="35" t="s">
        <v>1616</v>
      </c>
      <c r="C183" s="35" t="s">
        <v>1856</v>
      </c>
      <c r="D183" s="35" t="s">
        <v>1568</v>
      </c>
      <c r="E183" s="35" t="s">
        <v>1365</v>
      </c>
      <c r="F183" s="35" t="s">
        <v>1570</v>
      </c>
      <c r="G183" s="105">
        <v>36.6</v>
      </c>
      <c r="H183" s="105">
        <v>30</v>
      </c>
      <c r="I183" s="105">
        <v>193</v>
      </c>
      <c r="J183" s="105">
        <v>10.5185</v>
      </c>
      <c r="K183" s="106">
        <v>45264</v>
      </c>
      <c r="L183" s="105">
        <v>46.27704</v>
      </c>
      <c r="M183" s="105">
        <v>35.758540000000004</v>
      </c>
      <c r="N183" s="105">
        <v>41.496299999999998</v>
      </c>
      <c r="O183" s="105">
        <v>30.977799999999998</v>
      </c>
      <c r="P183" s="35" t="s">
        <v>1574</v>
      </c>
      <c r="Q183" s="35" t="s">
        <v>1581</v>
      </c>
      <c r="R183" s="35" t="s">
        <v>1773</v>
      </c>
      <c r="S183" s="105">
        <v>26.654399999999999</v>
      </c>
      <c r="T183" s="105">
        <v>16.135899999999999</v>
      </c>
      <c r="U183" s="35" t="s">
        <v>1622</v>
      </c>
      <c r="V183" s="35" t="s">
        <v>1857</v>
      </c>
      <c r="W183" s="105">
        <v>99.825000000000003</v>
      </c>
      <c r="X183" s="105">
        <v>89.3065</v>
      </c>
      <c r="Y183" s="105">
        <v>49</v>
      </c>
      <c r="Z183" s="35" t="s">
        <v>1576</v>
      </c>
      <c r="AA183">
        <f>VLOOKUP(A183,Cover!A:R,18,0)</f>
        <v>12.5</v>
      </c>
      <c r="AB183" s="77">
        <f t="shared" si="119"/>
        <v>23.258540000000004</v>
      </c>
      <c r="AC183" s="77">
        <f t="shared" si="120"/>
        <v>18.477799999999998</v>
      </c>
      <c r="AD183" s="77">
        <f t="shared" si="121"/>
        <v>50.259351073448094</v>
      </c>
      <c r="AE183" s="77">
        <f t="shared" si="122"/>
        <v>44.528789313746046</v>
      </c>
      <c r="AF183" s="77">
        <f t="shared" si="123"/>
        <v>3.6358999999999995</v>
      </c>
      <c r="AG183" s="77">
        <f t="shared" si="124"/>
        <v>13.640899813914398</v>
      </c>
      <c r="AH183" s="77">
        <f t="shared" si="125"/>
        <v>99.825000000000003</v>
      </c>
      <c r="AI183" s="77">
        <f t="shared" si="126"/>
        <v>10.5185</v>
      </c>
      <c r="AJ183" s="77">
        <f t="shared" si="127"/>
        <v>89.3065</v>
      </c>
      <c r="AK183" s="77">
        <f t="shared" si="128"/>
        <v>12.5</v>
      </c>
      <c r="AL183" s="77">
        <f t="shared" si="129"/>
        <v>76.8065</v>
      </c>
      <c r="AM183" s="77">
        <f t="shared" si="130"/>
        <v>76.9411470072627</v>
      </c>
      <c r="AO183" s="52" t="s">
        <v>1634</v>
      </c>
      <c r="AP183" t="str">
        <f t="shared" si="117"/>
        <v>DDm125-25</v>
      </c>
      <c r="AQ183">
        <f>_xlfn.XLOOKUP(A183,'SYS Allocations'!A:A,'SYS Allocations'!B:B)</f>
        <v>0</v>
      </c>
      <c r="AR183">
        <f>_xlfn.XLOOKUP(A183,'SYS Allocations'!A:A,'SYS Allocations'!C:C)</f>
        <v>0</v>
      </c>
      <c r="AS183">
        <f>_xlfn.XLOOKUP(A183,'SYS Allocations'!A:A,'SYS Allocations'!D:D)</f>
        <v>0</v>
      </c>
      <c r="AT183">
        <f>_xlfn.XLOOKUP(A183,'SYS Allocations'!A:A,'SYS Allocations'!E:E)</f>
        <v>0</v>
      </c>
      <c r="AU183">
        <f>_xlfn.XLOOKUP(A183,'SYS Allocations'!A:A,'SYS Allocations'!F:F)</f>
        <v>0</v>
      </c>
      <c r="BA183" t="str">
        <f t="shared" si="118"/>
        <v>DDm125-25</v>
      </c>
    </row>
    <row r="184" spans="1:53">
      <c r="A184" s="35" t="s">
        <v>200</v>
      </c>
      <c r="B184" s="35" t="s">
        <v>1655</v>
      </c>
      <c r="C184" s="35" t="s">
        <v>1858</v>
      </c>
      <c r="D184" s="35" t="s">
        <v>1563</v>
      </c>
      <c r="E184" s="35" t="s">
        <v>1859</v>
      </c>
      <c r="F184" s="35" t="s">
        <v>1860</v>
      </c>
      <c r="G184" s="105">
        <v>100</v>
      </c>
      <c r="H184" s="105">
        <v>2</v>
      </c>
      <c r="I184" s="105">
        <v>6.4</v>
      </c>
      <c r="J184" s="105">
        <v>0.3488</v>
      </c>
      <c r="K184" s="106">
        <v>44616.583333333299</v>
      </c>
      <c r="L184" s="105">
        <v>4.3600000000000003</v>
      </c>
      <c r="M184" s="105">
        <v>4.0111999999999997</v>
      </c>
      <c r="N184" s="105">
        <v>0.41420000000000001</v>
      </c>
      <c r="O184" s="105">
        <v>6.54E-2</v>
      </c>
      <c r="P184" s="35" t="s">
        <v>1574</v>
      </c>
      <c r="Q184" s="35" t="s">
        <v>1581</v>
      </c>
      <c r="R184" s="35" t="s">
        <v>1861</v>
      </c>
      <c r="S184" s="105">
        <v>7.9919999999999796</v>
      </c>
      <c r="T184" s="105">
        <v>7.6431999999999798</v>
      </c>
      <c r="U184" s="35" t="s">
        <v>1574</v>
      </c>
      <c r="V184" s="35" t="s">
        <v>1663</v>
      </c>
      <c r="W184" s="105">
        <v>9</v>
      </c>
      <c r="X184" s="105">
        <v>8.6511999999999993</v>
      </c>
      <c r="Y184" s="105">
        <v>8</v>
      </c>
      <c r="Z184" s="35" t="s">
        <v>1659</v>
      </c>
      <c r="AA184">
        <f>VLOOKUP(A184,Cover!A:R,18,0)</f>
        <v>0</v>
      </c>
      <c r="AB184" s="77">
        <f t="shared" si="119"/>
        <v>4.0111999999999997</v>
      </c>
      <c r="AC184" s="77">
        <f t="shared" si="120"/>
        <v>6.54E-2</v>
      </c>
      <c r="AD184" s="77">
        <f t="shared" si="121"/>
        <v>91.999999999999986</v>
      </c>
      <c r="AE184" s="77">
        <f t="shared" si="122"/>
        <v>15.789473684210527</v>
      </c>
      <c r="AF184" s="77">
        <f t="shared" si="123"/>
        <v>7.6431999999999798</v>
      </c>
      <c r="AG184" s="77">
        <f t="shared" si="124"/>
        <v>95.635635635635623</v>
      </c>
      <c r="AH184" s="77">
        <f t="shared" si="125"/>
        <v>9</v>
      </c>
      <c r="AI184" s="77">
        <f t="shared" si="126"/>
        <v>0.3488</v>
      </c>
      <c r="AJ184" s="77">
        <f t="shared" si="127"/>
        <v>8.6511999999999993</v>
      </c>
      <c r="AK184" s="77">
        <f t="shared" si="128"/>
        <v>0</v>
      </c>
      <c r="AL184" s="77">
        <f t="shared" si="129"/>
        <v>8.6511999999999993</v>
      </c>
      <c r="AM184" s="77">
        <f t="shared" si="130"/>
        <v>96.124444444444435</v>
      </c>
      <c r="AN184" t="s">
        <v>1563</v>
      </c>
      <c r="AO184" t="s">
        <v>1577</v>
      </c>
      <c r="AP184" t="str">
        <f t="shared" si="117"/>
        <v>2V460</v>
      </c>
      <c r="AQ184">
        <f>_xlfn.XLOOKUP(A184,'SYS Allocations'!A:A,'SYS Allocations'!B:B)</f>
        <v>0</v>
      </c>
      <c r="AR184">
        <f>_xlfn.XLOOKUP(A184,'SYS Allocations'!A:A,'SYS Allocations'!C:C)</f>
        <v>0</v>
      </c>
      <c r="AS184">
        <f>_xlfn.XLOOKUP(A184,'SYS Allocations'!A:A,'SYS Allocations'!D:D)</f>
        <v>0</v>
      </c>
      <c r="AT184">
        <f>_xlfn.XLOOKUP(A184,'SYS Allocations'!A:A,'SYS Allocations'!E:E)</f>
        <v>0</v>
      </c>
      <c r="AU184">
        <f>_xlfn.XLOOKUP(A184,'SYS Allocations'!A:A,'SYS Allocations'!F:F)</f>
        <v>0</v>
      </c>
      <c r="BA184" t="str">
        <f t="shared" si="118"/>
        <v>2V460</v>
      </c>
    </row>
    <row r="185" spans="1:53">
      <c r="A185" s="35" t="s">
        <v>201</v>
      </c>
      <c r="B185" s="35" t="s">
        <v>1616</v>
      </c>
      <c r="C185" s="35" t="s">
        <v>1862</v>
      </c>
      <c r="D185" s="35" t="s">
        <v>1563</v>
      </c>
      <c r="E185" s="35" t="s">
        <v>1468</v>
      </c>
      <c r="F185" s="35" t="s">
        <v>1570</v>
      </c>
      <c r="G185" s="105">
        <v>36.6</v>
      </c>
      <c r="H185" s="105">
        <v>32</v>
      </c>
      <c r="I185" s="105">
        <v>257</v>
      </c>
      <c r="J185" s="105">
        <v>14.006500000000001</v>
      </c>
      <c r="K185" s="106">
        <v>45264</v>
      </c>
      <c r="L185" s="105">
        <v>49.468559999999997</v>
      </c>
      <c r="M185" s="105">
        <v>35.462060000000001</v>
      </c>
      <c r="N185" s="105">
        <v>40.035699999999999</v>
      </c>
      <c r="O185" s="105">
        <v>26.029199999999999</v>
      </c>
      <c r="P185" s="35" t="s">
        <v>1574</v>
      </c>
      <c r="Q185" s="35" t="s">
        <v>1581</v>
      </c>
      <c r="R185" s="35" t="s">
        <v>1592</v>
      </c>
      <c r="S185" s="105">
        <v>35.553600000000003</v>
      </c>
      <c r="T185" s="105">
        <v>21.5471</v>
      </c>
      <c r="U185" s="35" t="s">
        <v>1586</v>
      </c>
      <c r="V185" s="35" t="s">
        <v>1652</v>
      </c>
      <c r="W185" s="105">
        <v>67.5</v>
      </c>
      <c r="X185" s="105">
        <v>53.493499999999997</v>
      </c>
      <c r="Y185" s="105">
        <v>25</v>
      </c>
      <c r="Z185" s="35" t="s">
        <v>1526</v>
      </c>
      <c r="AA185">
        <f>VLOOKUP(A185,Cover!A:R,18,0)</f>
        <v>10.15</v>
      </c>
      <c r="AB185" s="77">
        <f t="shared" si="119"/>
        <v>25.312060000000002</v>
      </c>
      <c r="AC185" s="77">
        <f t="shared" si="120"/>
        <v>15.879199999999999</v>
      </c>
      <c r="AD185" s="77">
        <f t="shared" si="121"/>
        <v>51.167974163792124</v>
      </c>
      <c r="AE185" s="77">
        <f t="shared" si="122"/>
        <v>39.662601128492824</v>
      </c>
      <c r="AF185" s="77">
        <f t="shared" si="123"/>
        <v>11.3971</v>
      </c>
      <c r="AG185" s="77">
        <f t="shared" si="124"/>
        <v>32.056106835875973</v>
      </c>
      <c r="AH185" s="345">
        <f>AVERAGE(W185:W186)</f>
        <v>67.5</v>
      </c>
      <c r="AI185" s="345">
        <f>SUM(J185:J186)</f>
        <v>17.494500000000002</v>
      </c>
      <c r="AJ185" s="345">
        <f t="shared" si="127"/>
        <v>50.005499999999998</v>
      </c>
      <c r="AK185" s="345">
        <f>SUM(AA185:AA186)</f>
        <v>20.6</v>
      </c>
      <c r="AL185" s="345">
        <f t="shared" si="129"/>
        <v>29.405499999999996</v>
      </c>
      <c r="AM185" s="345">
        <f t="shared" si="130"/>
        <v>43.563703703703695</v>
      </c>
      <c r="AN185" t="s">
        <v>1563</v>
      </c>
      <c r="AO185" t="s">
        <v>1634</v>
      </c>
      <c r="AP185" t="str">
        <f t="shared" si="117"/>
        <v>DDm125-33</v>
      </c>
      <c r="AQ185">
        <f>_xlfn.XLOOKUP(A185,'SYS Allocations'!A:A,'SYS Allocations'!B:B)</f>
        <v>0</v>
      </c>
      <c r="AR185" t="str">
        <f>_xlfn.XLOOKUP(A185,'SYS Allocations'!A:A,'SYS Allocations'!C:C)</f>
        <v>RA</v>
      </c>
      <c r="AS185">
        <f>_xlfn.XLOOKUP(A185,'SYS Allocations'!A:A,'SYS Allocations'!D:D)</f>
        <v>0</v>
      </c>
      <c r="AT185" t="str">
        <f>_xlfn.XLOOKUP(A185,'SYS Allocations'!A:A,'SYS Allocations'!E:E)</f>
        <v>AM</v>
      </c>
      <c r="AU185">
        <f>_xlfn.XLOOKUP(A185,'SYS Allocations'!A:A,'SYS Allocations'!F:F)</f>
        <v>0</v>
      </c>
      <c r="BA185" t="str">
        <f t="shared" si="118"/>
        <v>DDm125-33</v>
      </c>
    </row>
    <row r="186" spans="1:53">
      <c r="A186" s="35" t="s">
        <v>202</v>
      </c>
      <c r="B186" s="35" t="s">
        <v>1616</v>
      </c>
      <c r="C186" s="35" t="s">
        <v>1862</v>
      </c>
      <c r="D186" s="35" t="s">
        <v>1563</v>
      </c>
      <c r="E186" s="35" t="s">
        <v>1468</v>
      </c>
      <c r="F186" s="35" t="s">
        <v>1570</v>
      </c>
      <c r="G186" s="105">
        <v>36.6</v>
      </c>
      <c r="H186" s="105">
        <v>32</v>
      </c>
      <c r="I186" s="105">
        <v>64</v>
      </c>
      <c r="J186" s="105">
        <v>3.488</v>
      </c>
      <c r="K186" s="106">
        <v>45264</v>
      </c>
      <c r="L186" s="105">
        <v>49.468559999999997</v>
      </c>
      <c r="M186" s="105">
        <v>45.980559999999997</v>
      </c>
      <c r="N186" s="105">
        <v>40.035699999999999</v>
      </c>
      <c r="O186" s="105">
        <v>36.547699999999999</v>
      </c>
      <c r="P186" s="35" t="s">
        <v>1574</v>
      </c>
      <c r="Q186" s="35" t="s">
        <v>1581</v>
      </c>
      <c r="R186" s="35" t="s">
        <v>1592</v>
      </c>
      <c r="S186" s="105">
        <v>35.553600000000003</v>
      </c>
      <c r="T186" s="105">
        <v>32.065600000000003</v>
      </c>
      <c r="U186" s="35" t="s">
        <v>1586</v>
      </c>
      <c r="V186" s="35" t="s">
        <v>1652</v>
      </c>
      <c r="W186" s="105">
        <v>67.5</v>
      </c>
      <c r="X186" s="105">
        <v>64.012</v>
      </c>
      <c r="Y186" s="105">
        <v>25</v>
      </c>
      <c r="Z186" s="35" t="s">
        <v>1526</v>
      </c>
      <c r="AA186">
        <f>VLOOKUP(A186,Cover!A:R,18,0)</f>
        <v>10.450000000000001</v>
      </c>
      <c r="AB186" s="77">
        <f t="shared" ref="AB186" si="137">M186-AA186</f>
        <v>35.530559999999994</v>
      </c>
      <c r="AC186" s="77">
        <f t="shared" ref="AC186" si="138">O186-AA186</f>
        <v>26.097699999999996</v>
      </c>
      <c r="AD186" s="77">
        <f t="shared" ref="AD186" si="139">AB186/L186%</f>
        <v>71.824528549042057</v>
      </c>
      <c r="AE186" s="77">
        <f t="shared" ref="AE186" si="140">AC186/N186%</f>
        <v>65.186071431247612</v>
      </c>
      <c r="AF186" s="77">
        <f t="shared" ref="AF186" si="141">T186-AA186</f>
        <v>21.615600000000001</v>
      </c>
      <c r="AG186" s="77">
        <f t="shared" ref="AG186" si="142">AF186/S186%</f>
        <v>60.797218847036582</v>
      </c>
      <c r="AH186" s="345"/>
      <c r="AI186" s="345"/>
      <c r="AJ186" s="345"/>
      <c r="AK186" s="345"/>
      <c r="AL186" s="345"/>
      <c r="AM186" s="345"/>
      <c r="AN186" t="s">
        <v>1563</v>
      </c>
      <c r="AO186" t="s">
        <v>1634</v>
      </c>
      <c r="AP186" t="str">
        <f t="shared" si="117"/>
        <v>DDm125-33</v>
      </c>
      <c r="AQ186">
        <f>_xlfn.XLOOKUP(A186,'SYS Allocations'!A:A,'SYS Allocations'!B:B)</f>
        <v>0</v>
      </c>
      <c r="AR186">
        <f>_xlfn.XLOOKUP(A186,'SYS Allocations'!A:A,'SYS Allocations'!C:C)</f>
        <v>0</v>
      </c>
      <c r="AS186">
        <f>_xlfn.XLOOKUP(A186,'SYS Allocations'!A:A,'SYS Allocations'!D:D)</f>
        <v>0</v>
      </c>
      <c r="AT186">
        <f>_xlfn.XLOOKUP(A186,'SYS Allocations'!A:A,'SYS Allocations'!E:E)</f>
        <v>0</v>
      </c>
      <c r="AU186">
        <f>_xlfn.XLOOKUP(A186,'SYS Allocations'!A:A,'SYS Allocations'!F:F)</f>
        <v>0</v>
      </c>
      <c r="BA186" t="str">
        <f t="shared" si="118"/>
        <v>DDm125-33</v>
      </c>
    </row>
    <row r="187" spans="1:53">
      <c r="A187" s="35" t="s">
        <v>203</v>
      </c>
      <c r="B187" s="35" t="s">
        <v>1578</v>
      </c>
      <c r="C187" s="35" t="s">
        <v>1863</v>
      </c>
      <c r="D187" s="35" t="s">
        <v>1568</v>
      </c>
      <c r="E187" s="35" t="s">
        <v>1864</v>
      </c>
      <c r="F187" s="35" t="s">
        <v>1756</v>
      </c>
      <c r="G187" s="105">
        <v>37.5</v>
      </c>
      <c r="H187" s="105">
        <v>4</v>
      </c>
      <c r="I187" s="105">
        <v>23</v>
      </c>
      <c r="J187" s="105">
        <v>1.2535000000000001</v>
      </c>
      <c r="K187" s="106">
        <v>44564.597222222197</v>
      </c>
      <c r="L187" s="105">
        <v>4.9050000000000002</v>
      </c>
      <c r="M187" s="105">
        <v>3.6515</v>
      </c>
      <c r="N187" s="105">
        <v>3.1228500000000001</v>
      </c>
      <c r="O187" s="105">
        <v>1.8693500000000001</v>
      </c>
      <c r="P187" s="35" t="s">
        <v>1618</v>
      </c>
      <c r="Q187" s="35" t="s">
        <v>1599</v>
      </c>
      <c r="R187" s="35" t="s">
        <v>1865</v>
      </c>
      <c r="S187" s="105">
        <v>5.1062399999999997</v>
      </c>
      <c r="T187" s="105">
        <v>3.8527399999999998</v>
      </c>
      <c r="U187" s="35" t="s">
        <v>1574</v>
      </c>
      <c r="V187" s="35" t="s">
        <v>1601</v>
      </c>
      <c r="W187" s="105">
        <v>5.0250000000000004</v>
      </c>
      <c r="X187" s="105">
        <v>3.7715000000000001</v>
      </c>
      <c r="Y187" s="105">
        <v>7</v>
      </c>
      <c r="Z187" s="35" t="s">
        <v>1576</v>
      </c>
      <c r="AA187">
        <f>VLOOKUP(A187,Cover!A:R,18,0)</f>
        <v>1</v>
      </c>
      <c r="AB187" s="77">
        <f t="shared" si="119"/>
        <v>2.6515</v>
      </c>
      <c r="AC187" s="77">
        <f t="shared" si="120"/>
        <v>0.86935000000000007</v>
      </c>
      <c r="AD187" s="77">
        <f t="shared" si="121"/>
        <v>54.057084607543317</v>
      </c>
      <c r="AE187" s="77">
        <f t="shared" si="122"/>
        <v>27.838352786717262</v>
      </c>
      <c r="AF187" s="77">
        <f t="shared" si="123"/>
        <v>2.8527399999999998</v>
      </c>
      <c r="AG187" s="77">
        <f t="shared" si="124"/>
        <v>55.867722629566963</v>
      </c>
      <c r="AH187" s="77">
        <f t="shared" si="125"/>
        <v>5.0250000000000004</v>
      </c>
      <c r="AI187" s="77">
        <f t="shared" si="126"/>
        <v>1.2535000000000001</v>
      </c>
      <c r="AJ187" s="77">
        <f t="shared" si="127"/>
        <v>3.7715000000000005</v>
      </c>
      <c r="AK187" s="77">
        <f t="shared" si="128"/>
        <v>1</v>
      </c>
      <c r="AL187" s="77">
        <f t="shared" si="129"/>
        <v>2.7715000000000005</v>
      </c>
      <c r="AM187" s="77">
        <f t="shared" si="130"/>
        <v>55.154228855721399</v>
      </c>
      <c r="AO187" t="s">
        <v>1577</v>
      </c>
      <c r="AP187" t="str">
        <f t="shared" si="117"/>
        <v>12V92F</v>
      </c>
      <c r="AQ187">
        <f>_xlfn.XLOOKUP(A187,'SYS Allocations'!A:A,'SYS Allocations'!B:B)</f>
        <v>0</v>
      </c>
      <c r="AR187">
        <f>_xlfn.XLOOKUP(A187,'SYS Allocations'!A:A,'SYS Allocations'!C:C)</f>
        <v>0</v>
      </c>
      <c r="AS187">
        <f>_xlfn.XLOOKUP(A187,'SYS Allocations'!A:A,'SYS Allocations'!D:D)</f>
        <v>0</v>
      </c>
      <c r="AT187">
        <f>_xlfn.XLOOKUP(A187,'SYS Allocations'!A:A,'SYS Allocations'!E:E)</f>
        <v>0</v>
      </c>
      <c r="AU187">
        <f>_xlfn.XLOOKUP(A187,'SYS Allocations'!A:A,'SYS Allocations'!F:F)</f>
        <v>0</v>
      </c>
      <c r="BA187" t="str">
        <f t="shared" si="118"/>
        <v>12V92F</v>
      </c>
    </row>
    <row r="188" spans="1:53">
      <c r="A188" s="35" t="s">
        <v>204</v>
      </c>
      <c r="B188" s="35" t="s">
        <v>1590</v>
      </c>
      <c r="C188" s="35" t="s">
        <v>1590</v>
      </c>
      <c r="D188" s="35" t="s">
        <v>1568</v>
      </c>
      <c r="E188" s="35" t="s">
        <v>874</v>
      </c>
      <c r="F188" s="35" t="s">
        <v>1570</v>
      </c>
      <c r="G188" s="105">
        <v>36.6</v>
      </c>
      <c r="H188" s="105">
        <v>15</v>
      </c>
      <c r="I188" s="105">
        <v>257</v>
      </c>
      <c r="J188" s="105">
        <v>14.006500000000001</v>
      </c>
      <c r="K188" s="106">
        <v>44531</v>
      </c>
      <c r="L188" s="105">
        <v>22.34064</v>
      </c>
      <c r="M188" s="105">
        <v>8.3341399999999997</v>
      </c>
      <c r="N188" s="105">
        <v>18.933299999999999</v>
      </c>
      <c r="O188" s="105">
        <v>4.9268000000000001</v>
      </c>
      <c r="P188" s="35" t="s">
        <v>1593</v>
      </c>
      <c r="Q188" s="35" t="s">
        <v>1581</v>
      </c>
      <c r="R188" s="35" t="s">
        <v>1736</v>
      </c>
      <c r="S188" s="105">
        <v>42.863039999999998</v>
      </c>
      <c r="T188" s="105">
        <v>28.856539999999999</v>
      </c>
      <c r="U188" s="35" t="s">
        <v>1574</v>
      </c>
      <c r="V188" s="35" t="s">
        <v>1641</v>
      </c>
      <c r="W188" s="105">
        <v>37.5</v>
      </c>
      <c r="X188" s="105">
        <v>23.493500000000001</v>
      </c>
      <c r="Y188" s="105">
        <v>5</v>
      </c>
      <c r="Z188" s="35" t="s">
        <v>1576</v>
      </c>
      <c r="AA188">
        <f>VLOOKUP(A188,Cover!A:R,18,0)</f>
        <v>4</v>
      </c>
      <c r="AB188" s="77">
        <f t="shared" si="119"/>
        <v>4.3341399999999997</v>
      </c>
      <c r="AC188" s="77">
        <f t="shared" si="120"/>
        <v>0.92680000000000007</v>
      </c>
      <c r="AD188" s="77">
        <f t="shared" si="121"/>
        <v>19.400249948076688</v>
      </c>
      <c r="AE188" s="77">
        <f t="shared" si="122"/>
        <v>4.8950790406321145</v>
      </c>
      <c r="AF188" s="77">
        <f t="shared" si="123"/>
        <v>24.856539999999999</v>
      </c>
      <c r="AG188" s="77">
        <f t="shared" si="124"/>
        <v>57.990613824871033</v>
      </c>
      <c r="AH188" s="77">
        <f t="shared" si="125"/>
        <v>37.5</v>
      </c>
      <c r="AI188" s="77">
        <f t="shared" si="126"/>
        <v>14.006500000000001</v>
      </c>
      <c r="AJ188" s="77">
        <f t="shared" si="127"/>
        <v>23.493499999999997</v>
      </c>
      <c r="AK188" s="77">
        <f t="shared" si="128"/>
        <v>4</v>
      </c>
      <c r="AL188" s="77">
        <f t="shared" si="129"/>
        <v>19.493499999999997</v>
      </c>
      <c r="AM188" s="77">
        <f t="shared" si="130"/>
        <v>51.98266666666666</v>
      </c>
      <c r="AO188" t="s">
        <v>1577</v>
      </c>
      <c r="AP188" t="str">
        <f t="shared" si="117"/>
        <v>SBS XL 150F-FT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18"/>
        <v xml:space="preserve">SBS XL 150F-FT </v>
      </c>
    </row>
    <row r="189" spans="1:53">
      <c r="A189" s="35" t="s">
        <v>205</v>
      </c>
      <c r="B189" s="35" t="s">
        <v>1566</v>
      </c>
      <c r="C189" s="35" t="s">
        <v>1866</v>
      </c>
      <c r="D189" s="35" t="s">
        <v>1563</v>
      </c>
      <c r="E189" s="35" t="s">
        <v>790</v>
      </c>
      <c r="F189" s="35" t="s">
        <v>1570</v>
      </c>
      <c r="G189" s="105">
        <v>36.6</v>
      </c>
      <c r="H189" s="105">
        <v>26</v>
      </c>
      <c r="I189" s="105">
        <v>379</v>
      </c>
      <c r="J189" s="105">
        <v>20.6555</v>
      </c>
      <c r="K189" s="106">
        <v>44782</v>
      </c>
      <c r="L189" s="105">
        <v>39.893999999999998</v>
      </c>
      <c r="M189" s="105">
        <v>19.238499999999998</v>
      </c>
      <c r="N189" s="105">
        <v>33.1905</v>
      </c>
      <c r="O189" s="105">
        <v>12.535</v>
      </c>
      <c r="P189" s="35" t="s">
        <v>1571</v>
      </c>
      <c r="Q189" s="35" t="s">
        <v>1581</v>
      </c>
      <c r="R189" s="35" t="s">
        <v>1582</v>
      </c>
      <c r="S189" s="105">
        <v>26.1144</v>
      </c>
      <c r="T189" s="105">
        <v>5.4589000000000301</v>
      </c>
      <c r="U189" s="35" t="s">
        <v>1571</v>
      </c>
      <c r="V189" s="35" t="s">
        <v>1867</v>
      </c>
      <c r="W189" s="105">
        <v>60.75</v>
      </c>
      <c r="X189" s="105">
        <v>40.094499999999996</v>
      </c>
      <c r="Y189" s="105">
        <v>9</v>
      </c>
      <c r="Z189" s="35" t="s">
        <v>1868</v>
      </c>
      <c r="AA189">
        <f>VLOOKUP(A189,Cover!A:R,18,0)</f>
        <v>3</v>
      </c>
      <c r="AB189" s="77">
        <f t="shared" si="119"/>
        <v>16.238499999999998</v>
      </c>
      <c r="AC189" s="77">
        <f t="shared" si="120"/>
        <v>9.5350000000000001</v>
      </c>
      <c r="AD189" s="77">
        <f t="shared" si="121"/>
        <v>40.704115907153955</v>
      </c>
      <c r="AE189" s="77">
        <f t="shared" si="122"/>
        <v>28.728099908106234</v>
      </c>
      <c r="AF189" s="77">
        <f t="shared" si="123"/>
        <v>2.4589000000000301</v>
      </c>
      <c r="AG189" s="77">
        <f t="shared" si="124"/>
        <v>9.4158778298564396</v>
      </c>
      <c r="AH189" s="77">
        <f t="shared" si="125"/>
        <v>60.75</v>
      </c>
      <c r="AI189" s="77">
        <f t="shared" si="126"/>
        <v>20.6555</v>
      </c>
      <c r="AJ189" s="77">
        <f t="shared" si="127"/>
        <v>40.094499999999996</v>
      </c>
      <c r="AK189" s="77">
        <f t="shared" si="128"/>
        <v>3</v>
      </c>
      <c r="AL189" s="77">
        <f t="shared" si="129"/>
        <v>37.094499999999996</v>
      </c>
      <c r="AM189" s="77">
        <f t="shared" si="130"/>
        <v>61.060905349794226</v>
      </c>
      <c r="AN189" t="s">
        <v>1563</v>
      </c>
      <c r="AO189" t="s">
        <v>1577</v>
      </c>
      <c r="AP189" t="str">
        <f t="shared" si="117"/>
        <v>DDm85-25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18"/>
        <v>DDm85-25</v>
      </c>
    </row>
    <row r="190" spans="1:53">
      <c r="A190" s="35" t="s">
        <v>206</v>
      </c>
      <c r="B190" s="35" t="s">
        <v>1578</v>
      </c>
      <c r="C190" s="35" t="s">
        <v>1869</v>
      </c>
      <c r="D190" s="35" t="s">
        <v>1568</v>
      </c>
      <c r="E190" s="35" t="s">
        <v>1262</v>
      </c>
      <c r="F190" s="35" t="s">
        <v>1584</v>
      </c>
      <c r="G190" s="105">
        <v>31</v>
      </c>
      <c r="H190" s="105">
        <v>11</v>
      </c>
      <c r="I190" s="105">
        <v>78</v>
      </c>
      <c r="J190" s="105">
        <v>4.2510000000000003</v>
      </c>
      <c r="K190" s="106">
        <v>45264</v>
      </c>
      <c r="L190" s="105">
        <v>13.516</v>
      </c>
      <c r="M190" s="105">
        <v>9.2650000000000006</v>
      </c>
      <c r="N190" s="105">
        <v>10.355</v>
      </c>
      <c r="O190" s="105">
        <v>6.1040000000000001</v>
      </c>
      <c r="P190" s="35" t="s">
        <v>1663</v>
      </c>
      <c r="Q190" s="35" t="s">
        <v>1581</v>
      </c>
      <c r="R190" s="35" t="s">
        <v>1675</v>
      </c>
      <c r="S190" s="105">
        <v>10.7568</v>
      </c>
      <c r="T190" s="105">
        <v>6.50579999999999</v>
      </c>
      <c r="U190" s="35" t="s">
        <v>1574</v>
      </c>
      <c r="V190" s="35" t="s">
        <v>1673</v>
      </c>
      <c r="W190" s="105">
        <v>11.25</v>
      </c>
      <c r="X190" s="105">
        <v>6.9989999999999997</v>
      </c>
      <c r="Y190" s="105">
        <v>3</v>
      </c>
      <c r="Z190" s="35" t="s">
        <v>1576</v>
      </c>
      <c r="AA190">
        <f>VLOOKUP(A190,Cover!A:R,18,0)</f>
        <v>4</v>
      </c>
      <c r="AB190" s="77">
        <f t="shared" si="119"/>
        <v>5.2650000000000006</v>
      </c>
      <c r="AC190" s="77">
        <f t="shared" si="120"/>
        <v>2.1040000000000001</v>
      </c>
      <c r="AD190" s="77">
        <f t="shared" si="121"/>
        <v>38.953832494820958</v>
      </c>
      <c r="AE190" s="77">
        <f t="shared" si="122"/>
        <v>20.318686624818927</v>
      </c>
      <c r="AF190" s="77">
        <f t="shared" si="123"/>
        <v>2.50579999999999</v>
      </c>
      <c r="AG190" s="77">
        <f t="shared" si="124"/>
        <v>23.295031979770844</v>
      </c>
      <c r="AH190" s="77">
        <f t="shared" si="125"/>
        <v>11.25</v>
      </c>
      <c r="AI190" s="77">
        <f t="shared" si="126"/>
        <v>4.2510000000000003</v>
      </c>
      <c r="AJ190" s="77">
        <f t="shared" si="127"/>
        <v>6.9989999999999997</v>
      </c>
      <c r="AK190" s="77">
        <f t="shared" si="128"/>
        <v>4</v>
      </c>
      <c r="AL190" s="77">
        <f t="shared" si="129"/>
        <v>2.9989999999999997</v>
      </c>
      <c r="AM190" s="77">
        <f t="shared" si="130"/>
        <v>26.657777777777774</v>
      </c>
      <c r="AO190" t="s">
        <v>1577</v>
      </c>
      <c r="AP190" t="str">
        <f t="shared" si="117"/>
        <v>12V101F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18"/>
        <v xml:space="preserve">12V101F </v>
      </c>
    </row>
    <row r="191" spans="1:53">
      <c r="A191" s="35" t="s">
        <v>207</v>
      </c>
      <c r="B191" s="35" t="s">
        <v>1668</v>
      </c>
      <c r="C191" s="35" t="s">
        <v>1870</v>
      </c>
      <c r="D191" s="35" t="s">
        <v>1568</v>
      </c>
      <c r="E191" s="35" t="s">
        <v>1871</v>
      </c>
      <c r="F191" s="35" t="s">
        <v>1570</v>
      </c>
      <c r="G191" s="105">
        <v>36.6</v>
      </c>
      <c r="H191" s="105">
        <v>12</v>
      </c>
      <c r="I191" s="105">
        <v>124</v>
      </c>
      <c r="J191" s="105">
        <v>6.758</v>
      </c>
      <c r="K191" s="106">
        <v>44992</v>
      </c>
      <c r="L191" s="105">
        <v>17.553360000000001</v>
      </c>
      <c r="M191" s="105">
        <v>10.795360000000001</v>
      </c>
      <c r="N191" s="105">
        <v>11.281499182499999</v>
      </c>
      <c r="O191" s="105">
        <v>4.5234991825000002</v>
      </c>
      <c r="P191" s="35" t="s">
        <v>1571</v>
      </c>
      <c r="Q191" s="35" t="s">
        <v>1581</v>
      </c>
      <c r="R191" s="35" t="s">
        <v>1872</v>
      </c>
      <c r="S191" s="105">
        <v>17.755199999999999</v>
      </c>
      <c r="T191" s="105">
        <v>10.997199999999999</v>
      </c>
      <c r="U191" s="35" t="s">
        <v>1571</v>
      </c>
      <c r="V191" s="35" t="s">
        <v>1787</v>
      </c>
      <c r="W191" s="105">
        <v>12</v>
      </c>
      <c r="X191" s="105">
        <v>5.242</v>
      </c>
      <c r="Y191" s="105">
        <v>1</v>
      </c>
      <c r="Z191" s="35" t="s">
        <v>1576</v>
      </c>
      <c r="AA191">
        <f>VLOOKUP(A191,Cover!A:R,18,0)</f>
        <v>0</v>
      </c>
      <c r="AB191" s="77">
        <f t="shared" si="119"/>
        <v>10.795360000000001</v>
      </c>
      <c r="AC191" s="77">
        <f t="shared" si="120"/>
        <v>4.5234991825000002</v>
      </c>
      <c r="AD191" s="77">
        <f t="shared" si="121"/>
        <v>61.500248385494288</v>
      </c>
      <c r="AE191" s="77">
        <f t="shared" si="122"/>
        <v>40.096614016662855</v>
      </c>
      <c r="AF191" s="77">
        <f t="shared" si="123"/>
        <v>10.997199999999999</v>
      </c>
      <c r="AG191" s="77">
        <f t="shared" si="124"/>
        <v>61.937911147156889</v>
      </c>
      <c r="AH191" s="77">
        <f t="shared" si="125"/>
        <v>12</v>
      </c>
      <c r="AI191" s="77">
        <f t="shared" si="126"/>
        <v>6.758</v>
      </c>
      <c r="AJ191" s="77">
        <f t="shared" si="127"/>
        <v>5.242</v>
      </c>
      <c r="AK191" s="77">
        <f t="shared" si="128"/>
        <v>0</v>
      </c>
      <c r="AL191" s="77">
        <f t="shared" si="129"/>
        <v>5.242</v>
      </c>
      <c r="AM191" s="77">
        <f t="shared" si="130"/>
        <v>43.683333333333337</v>
      </c>
      <c r="AO191" t="s">
        <v>1577</v>
      </c>
      <c r="AP191" t="str">
        <f t="shared" si="117"/>
        <v>2CP650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18"/>
        <v>2CP650</v>
      </c>
    </row>
    <row r="192" spans="1:53">
      <c r="A192" s="35" t="s">
        <v>208</v>
      </c>
      <c r="B192" s="35" t="s">
        <v>1668</v>
      </c>
      <c r="C192" s="35" t="s">
        <v>1870</v>
      </c>
      <c r="D192" s="35" t="s">
        <v>1568</v>
      </c>
      <c r="E192" s="35" t="s">
        <v>1418</v>
      </c>
      <c r="F192" s="35" t="s">
        <v>1570</v>
      </c>
      <c r="G192" s="105">
        <v>36.6</v>
      </c>
      <c r="H192" s="105">
        <v>35</v>
      </c>
      <c r="I192" s="105">
        <v>325</v>
      </c>
      <c r="J192" s="105">
        <v>17.712499999999999</v>
      </c>
      <c r="K192" s="106">
        <v>45264</v>
      </c>
      <c r="L192" s="105">
        <v>54.255839999999999</v>
      </c>
      <c r="M192" s="105">
        <v>36.543340000000001</v>
      </c>
      <c r="N192" s="105">
        <v>35.119799999999998</v>
      </c>
      <c r="O192" s="105">
        <v>17.407299999999999</v>
      </c>
      <c r="P192" s="35" t="s">
        <v>1571</v>
      </c>
      <c r="Q192" s="35" t="s">
        <v>1581</v>
      </c>
      <c r="R192" s="35" t="s">
        <v>1592</v>
      </c>
      <c r="S192" s="105">
        <v>53.330399999999997</v>
      </c>
      <c r="T192" s="105">
        <v>35.617899999999999</v>
      </c>
      <c r="U192" s="35" t="s">
        <v>1571</v>
      </c>
      <c r="V192" s="35" t="s">
        <v>1589</v>
      </c>
      <c r="W192" s="105">
        <v>45</v>
      </c>
      <c r="X192" s="105">
        <v>27.287500000000001</v>
      </c>
      <c r="Y192" s="105">
        <v>278</v>
      </c>
      <c r="Z192" s="35" t="s">
        <v>1576</v>
      </c>
      <c r="AA192">
        <f>VLOOKUP(A192,Cover!A:R,18,0)</f>
        <v>2.7</v>
      </c>
      <c r="AB192" s="77">
        <f t="shared" si="119"/>
        <v>33.843339999999998</v>
      </c>
      <c r="AC192" s="77">
        <f t="shared" si="120"/>
        <v>14.7073</v>
      </c>
      <c r="AD192" s="77">
        <f t="shared" si="121"/>
        <v>62.377321962022883</v>
      </c>
      <c r="AE192" s="77">
        <f t="shared" si="122"/>
        <v>41.877516386767581</v>
      </c>
      <c r="AF192" s="77">
        <f t="shared" si="123"/>
        <v>32.917899999999996</v>
      </c>
      <c r="AG192" s="77">
        <f t="shared" si="124"/>
        <v>61.724457345153979</v>
      </c>
      <c r="AH192" s="77">
        <f t="shared" si="125"/>
        <v>45</v>
      </c>
      <c r="AI192" s="77">
        <f t="shared" si="126"/>
        <v>17.712499999999999</v>
      </c>
      <c r="AJ192" s="77">
        <f t="shared" si="127"/>
        <v>27.287500000000001</v>
      </c>
      <c r="AK192" s="77">
        <f t="shared" si="128"/>
        <v>2.7</v>
      </c>
      <c r="AL192" s="77">
        <f t="shared" si="129"/>
        <v>24.587500000000002</v>
      </c>
      <c r="AM192" s="77">
        <f t="shared" si="130"/>
        <v>54.638888888888893</v>
      </c>
      <c r="AO192" t="s">
        <v>1577</v>
      </c>
      <c r="AP192" t="str">
        <f t="shared" si="117"/>
        <v>DDm125-33</v>
      </c>
      <c r="AQ192">
        <f>_xlfn.XLOOKUP(A192,'SYS Allocations'!A:A,'SYS Allocations'!B:B)</f>
        <v>0</v>
      </c>
      <c r="AR192" t="str">
        <f>_xlfn.XLOOKUP(A192,'SYS Allocations'!A:A,'SYS Allocations'!C:C)</f>
        <v>RA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18"/>
        <v>DDm125-33</v>
      </c>
    </row>
    <row r="193" spans="1:53">
      <c r="A193" s="35" t="s">
        <v>209</v>
      </c>
      <c r="B193" s="35" t="s">
        <v>1620</v>
      </c>
      <c r="C193" s="35" t="s">
        <v>1873</v>
      </c>
      <c r="D193" s="35" t="s">
        <v>1568</v>
      </c>
      <c r="E193" s="35" t="s">
        <v>1874</v>
      </c>
      <c r="F193" s="35" t="s">
        <v>1875</v>
      </c>
      <c r="G193" s="105">
        <v>50</v>
      </c>
      <c r="H193" s="105">
        <v>4</v>
      </c>
      <c r="I193" s="105">
        <v>25</v>
      </c>
      <c r="J193" s="105">
        <v>1.3625</v>
      </c>
      <c r="K193" s="106">
        <v>44490.666666666701</v>
      </c>
      <c r="L193" s="105">
        <v>6.54</v>
      </c>
      <c r="M193" s="105">
        <v>5.1775000000000002</v>
      </c>
      <c r="N193" s="105">
        <v>5.9950000000000001</v>
      </c>
      <c r="O193" s="105">
        <v>4.6325000000000003</v>
      </c>
      <c r="P193" s="35" t="s">
        <v>1586</v>
      </c>
      <c r="Q193" s="35" t="s">
        <v>1581</v>
      </c>
      <c r="R193" s="35" t="s">
        <v>1675</v>
      </c>
      <c r="S193" s="105">
        <v>3.5855999999999999</v>
      </c>
      <c r="T193" s="105">
        <v>2.2231000000000001</v>
      </c>
      <c r="U193" s="35" t="s">
        <v>1574</v>
      </c>
      <c r="V193" s="35" t="s">
        <v>1575</v>
      </c>
      <c r="W193" s="105">
        <v>7.5</v>
      </c>
      <c r="X193" s="105">
        <v>6.1375000000000002</v>
      </c>
      <c r="Y193" s="105">
        <v>3</v>
      </c>
      <c r="Z193" s="35" t="s">
        <v>1576</v>
      </c>
      <c r="AA193">
        <f>VLOOKUP(A193,Cover!A:R,18,0)</f>
        <v>0</v>
      </c>
      <c r="AB193" s="77">
        <f t="shared" si="119"/>
        <v>5.1775000000000002</v>
      </c>
      <c r="AC193" s="77">
        <f t="shared" si="120"/>
        <v>4.6325000000000003</v>
      </c>
      <c r="AD193" s="77">
        <f t="shared" si="121"/>
        <v>79.166666666666671</v>
      </c>
      <c r="AE193" s="77">
        <f t="shared" si="122"/>
        <v>77.272727272727266</v>
      </c>
      <c r="AF193" s="77">
        <f t="shared" si="123"/>
        <v>2.2231000000000001</v>
      </c>
      <c r="AG193" s="77">
        <f t="shared" si="124"/>
        <v>62.000780901383315</v>
      </c>
      <c r="AH193" s="346">
        <f>AVERAGE(W193:W194)</f>
        <v>7.5</v>
      </c>
      <c r="AI193" s="346">
        <f>SUM(J193:J194)</f>
        <v>3.4880000000000004</v>
      </c>
      <c r="AJ193" s="346">
        <f t="shared" si="127"/>
        <v>4.0119999999999996</v>
      </c>
      <c r="AK193" s="346">
        <f>SUM(AA193:AA194)</f>
        <v>0</v>
      </c>
      <c r="AL193" s="346">
        <f t="shared" si="129"/>
        <v>4.0119999999999996</v>
      </c>
      <c r="AM193" s="345">
        <f t="shared" si="130"/>
        <v>53.493333333333332</v>
      </c>
      <c r="AO193" t="s">
        <v>1634</v>
      </c>
      <c r="AP193" t="str">
        <f t="shared" si="117"/>
        <v>12V101F</v>
      </c>
      <c r="AQ193">
        <f>_xlfn.XLOOKUP(A193,'SYS Allocations'!A:A,'SYS Allocations'!B:B)</f>
        <v>0</v>
      </c>
      <c r="AR193">
        <f>_xlfn.XLOOKUP(A193,'SYS Allocations'!A:A,'SYS Allocations'!C:C)</f>
        <v>0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18"/>
        <v xml:space="preserve">12V101F </v>
      </c>
    </row>
    <row r="194" spans="1:53">
      <c r="A194" s="35" t="s">
        <v>210</v>
      </c>
      <c r="B194" s="35" t="s">
        <v>1620</v>
      </c>
      <c r="C194" s="35" t="s">
        <v>1873</v>
      </c>
      <c r="D194" s="35" t="s">
        <v>1568</v>
      </c>
      <c r="E194" s="35" t="s">
        <v>1874</v>
      </c>
      <c r="F194" s="35" t="s">
        <v>1875</v>
      </c>
      <c r="G194" s="105">
        <v>50</v>
      </c>
      <c r="H194" s="105">
        <v>4</v>
      </c>
      <c r="I194" s="105">
        <v>39</v>
      </c>
      <c r="J194" s="105">
        <v>2.1255000000000002</v>
      </c>
      <c r="K194" s="106">
        <v>44490.708333333299</v>
      </c>
      <c r="L194" s="105">
        <v>6.54</v>
      </c>
      <c r="M194" s="105">
        <v>4.4145000000000003</v>
      </c>
      <c r="N194" s="105">
        <v>6.431</v>
      </c>
      <c r="O194" s="105">
        <v>4.3055000000000003</v>
      </c>
      <c r="P194" s="35" t="s">
        <v>1586</v>
      </c>
      <c r="Q194" s="35" t="s">
        <v>1599</v>
      </c>
      <c r="R194" s="35" t="s">
        <v>1679</v>
      </c>
      <c r="S194" s="105">
        <v>3.9052799999999999</v>
      </c>
      <c r="T194" s="105">
        <v>1.7797799999999999</v>
      </c>
      <c r="U194" s="35" t="s">
        <v>1574</v>
      </c>
      <c r="V194" s="35" t="s">
        <v>1575</v>
      </c>
      <c r="W194" s="105">
        <v>7.5</v>
      </c>
      <c r="X194" s="105">
        <v>5.3745000000000003</v>
      </c>
      <c r="Y194" s="105">
        <v>3</v>
      </c>
      <c r="Z194" s="35" t="s">
        <v>1576</v>
      </c>
      <c r="AA194">
        <f>VLOOKUP(A194,Cover!A:R,18,0)</f>
        <v>0</v>
      </c>
      <c r="AB194" s="77">
        <f t="shared" si="119"/>
        <v>4.4145000000000003</v>
      </c>
      <c r="AC194" s="77">
        <f t="shared" si="120"/>
        <v>4.3055000000000003</v>
      </c>
      <c r="AD194" s="77">
        <f t="shared" si="121"/>
        <v>67.5</v>
      </c>
      <c r="AE194" s="77">
        <f t="shared" si="122"/>
        <v>66.949152542372886</v>
      </c>
      <c r="AF194" s="77">
        <f t="shared" si="123"/>
        <v>1.7797799999999999</v>
      </c>
      <c r="AG194" s="77">
        <f t="shared" si="124"/>
        <v>45.573684857423792</v>
      </c>
      <c r="AH194" s="346"/>
      <c r="AI194" s="346"/>
      <c r="AJ194" s="346"/>
      <c r="AK194" s="346"/>
      <c r="AL194" s="346"/>
      <c r="AM194" s="345"/>
      <c r="AO194" t="s">
        <v>1634</v>
      </c>
      <c r="AP194" t="str">
        <f t="shared" si="117"/>
        <v>12V100F</v>
      </c>
      <c r="AQ194">
        <f>_xlfn.XLOOKUP(A194,'SYS Allocations'!A:A,'SYS Allocations'!B:B)</f>
        <v>0</v>
      </c>
      <c r="AR194">
        <f>_xlfn.XLOOKUP(A194,'SYS Allocations'!A:A,'SYS Allocations'!C:C)</f>
        <v>0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18"/>
        <v>12V100F</v>
      </c>
    </row>
    <row r="195" spans="1:53">
      <c r="A195" s="35" t="s">
        <v>211</v>
      </c>
      <c r="B195" s="35" t="s">
        <v>1602</v>
      </c>
      <c r="C195" s="35" t="s">
        <v>1876</v>
      </c>
      <c r="D195" s="35" t="s">
        <v>1568</v>
      </c>
      <c r="E195" s="35" t="s">
        <v>1292</v>
      </c>
      <c r="F195" s="35" t="s">
        <v>1570</v>
      </c>
      <c r="G195" s="105">
        <v>36.6</v>
      </c>
      <c r="H195" s="105">
        <v>23</v>
      </c>
      <c r="I195" s="105">
        <v>233</v>
      </c>
      <c r="J195" s="105">
        <v>12.698499999999999</v>
      </c>
      <c r="K195" s="106">
        <v>44895</v>
      </c>
      <c r="L195" s="105">
        <v>35.106720000000003</v>
      </c>
      <c r="M195" s="105">
        <v>22.40822</v>
      </c>
      <c r="N195" s="105">
        <v>22.083400000000001</v>
      </c>
      <c r="O195" s="105">
        <v>9.3849</v>
      </c>
      <c r="P195" s="35" t="s">
        <v>1574</v>
      </c>
      <c r="Q195" s="35" t="s">
        <v>1581</v>
      </c>
      <c r="R195" s="35" t="s">
        <v>1592</v>
      </c>
      <c r="S195" s="105">
        <v>35.553600000000003</v>
      </c>
      <c r="T195" s="105">
        <v>22.8551</v>
      </c>
      <c r="U195" s="35" t="s">
        <v>1622</v>
      </c>
      <c r="V195" s="35" t="s">
        <v>1587</v>
      </c>
      <c r="W195" s="105">
        <v>33.75</v>
      </c>
      <c r="X195" s="105">
        <v>21.051500000000001</v>
      </c>
      <c r="Y195" s="105">
        <v>17</v>
      </c>
      <c r="Z195" s="35" t="s">
        <v>1576</v>
      </c>
      <c r="AA195">
        <f>VLOOKUP(A195,Cover!A:R,18,0)</f>
        <v>2.7</v>
      </c>
      <c r="AB195" s="77">
        <f t="shared" si="119"/>
        <v>19.708220000000001</v>
      </c>
      <c r="AC195" s="77">
        <f t="shared" si="120"/>
        <v>6.6848999999999998</v>
      </c>
      <c r="AD195" s="77">
        <f t="shared" si="121"/>
        <v>56.138027135545556</v>
      </c>
      <c r="AE195" s="77">
        <f t="shared" si="122"/>
        <v>30.271153898403323</v>
      </c>
      <c r="AF195" s="77">
        <f t="shared" si="123"/>
        <v>20.155100000000001</v>
      </c>
      <c r="AG195" s="77">
        <f t="shared" si="124"/>
        <v>56.689336663516492</v>
      </c>
      <c r="AH195" s="77">
        <f t="shared" si="125"/>
        <v>33.75</v>
      </c>
      <c r="AI195" s="77">
        <f t="shared" si="126"/>
        <v>12.698499999999999</v>
      </c>
      <c r="AJ195" s="77">
        <f t="shared" si="127"/>
        <v>21.051500000000001</v>
      </c>
      <c r="AK195" s="77">
        <f t="shared" si="128"/>
        <v>2.7</v>
      </c>
      <c r="AL195" s="77">
        <f t="shared" si="129"/>
        <v>18.351500000000001</v>
      </c>
      <c r="AM195" s="77">
        <f t="shared" si="130"/>
        <v>54.374814814814819</v>
      </c>
      <c r="AO195" t="s">
        <v>1577</v>
      </c>
      <c r="AP195" t="str">
        <f t="shared" si="117"/>
        <v>DDm125-33</v>
      </c>
      <c r="AQ195">
        <f>_xlfn.XLOOKUP(A195,'SYS Allocations'!A:A,'SYS Allocations'!B:B)</f>
        <v>0</v>
      </c>
      <c r="AR195" t="str">
        <f>_xlfn.XLOOKUP(A195,'SYS Allocations'!A:A,'SYS Allocations'!C:C)</f>
        <v>RA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18"/>
        <v>DDm125-33</v>
      </c>
    </row>
    <row r="196" spans="1:53">
      <c r="A196" s="35" t="s">
        <v>212</v>
      </c>
      <c r="B196" s="35" t="s">
        <v>1607</v>
      </c>
      <c r="C196" s="35" t="s">
        <v>1877</v>
      </c>
      <c r="D196" s="35" t="s">
        <v>1568</v>
      </c>
      <c r="E196" s="35" t="s">
        <v>1479</v>
      </c>
      <c r="F196" s="35" t="s">
        <v>1625</v>
      </c>
      <c r="G196" s="105">
        <v>55</v>
      </c>
      <c r="H196" s="105">
        <v>25</v>
      </c>
      <c r="I196" s="105">
        <v>424</v>
      </c>
      <c r="J196" s="105">
        <v>23.108000000000001</v>
      </c>
      <c r="K196" s="106">
        <v>44428.375</v>
      </c>
      <c r="L196" s="105">
        <v>57.552</v>
      </c>
      <c r="M196" s="105">
        <v>34.444000000000003</v>
      </c>
      <c r="N196" s="105">
        <v>39.24</v>
      </c>
      <c r="O196" s="105">
        <v>16.132000000000001</v>
      </c>
      <c r="P196" s="35" t="s">
        <v>1571</v>
      </c>
      <c r="Q196" s="35" t="s">
        <v>1581</v>
      </c>
      <c r="R196" s="35" t="s">
        <v>1592</v>
      </c>
      <c r="S196" s="105">
        <v>53.330399999999997</v>
      </c>
      <c r="T196" s="105">
        <v>30.2224</v>
      </c>
      <c r="U196" s="35" t="s">
        <v>1571</v>
      </c>
      <c r="V196" s="35" t="s">
        <v>1878</v>
      </c>
      <c r="W196" s="105">
        <v>31.5</v>
      </c>
      <c r="X196" s="105">
        <v>8.3919999999999995</v>
      </c>
      <c r="Y196" s="105">
        <v>34</v>
      </c>
      <c r="Z196" s="35" t="s">
        <v>1576</v>
      </c>
      <c r="AA196">
        <f>VLOOKUP(A196,Cover!A:R,18,0)</f>
        <v>12</v>
      </c>
      <c r="AB196" s="77">
        <f t="shared" ref="AB196" si="143">M196-AA196</f>
        <v>22.444000000000003</v>
      </c>
      <c r="AC196" s="77">
        <f t="shared" ref="AC196" si="144">O196-AA196</f>
        <v>4.1320000000000014</v>
      </c>
      <c r="AD196" s="77">
        <f t="shared" ref="AD196" si="145">AB196/L196%</f>
        <v>38.997775924381429</v>
      </c>
      <c r="AE196" s="77">
        <f t="shared" ref="AE196" si="146">AC196/N196%</f>
        <v>10.530071355759432</v>
      </c>
      <c r="AF196" s="77">
        <f t="shared" ref="AF196" si="147">T196-AA196</f>
        <v>18.2224</v>
      </c>
      <c r="AG196" s="77">
        <f t="shared" ref="AG196" si="148">AF196/S196%</f>
        <v>34.168879288360863</v>
      </c>
      <c r="AH196" s="77">
        <f t="shared" ref="AH196" si="149">W196</f>
        <v>31.5</v>
      </c>
      <c r="AI196" s="77">
        <f t="shared" ref="AI196" si="150">J196</f>
        <v>23.108000000000001</v>
      </c>
      <c r="AJ196" s="77">
        <f t="shared" ref="AJ196" si="151">AH196-AI196</f>
        <v>8.3919999999999995</v>
      </c>
      <c r="AK196" s="77">
        <f t="shared" ref="AK196" si="152">AA196</f>
        <v>12</v>
      </c>
      <c r="AL196" s="77">
        <f t="shared" ref="AL196" si="153">AJ196-AK196</f>
        <v>-3.6080000000000005</v>
      </c>
      <c r="AM196" s="77">
        <f t="shared" ref="AM196" si="154">AL196/AH196%</f>
        <v>-11.453968253968256</v>
      </c>
      <c r="AO196" t="s">
        <v>1577</v>
      </c>
      <c r="AP196" t="str">
        <f t="shared" si="117"/>
        <v>DDm125-33</v>
      </c>
      <c r="AQ196">
        <f>_xlfn.XLOOKUP(A196,'SYS Allocations'!A:A,'SYS Allocations'!B:B)</f>
        <v>0</v>
      </c>
      <c r="AR196">
        <f>_xlfn.XLOOKUP(A196,'SYS Allocations'!A:A,'SYS Allocations'!C:C)</f>
        <v>0</v>
      </c>
      <c r="AS196">
        <f>_xlfn.XLOOKUP(A196,'SYS Allocations'!A:A,'SYS Allocations'!D:D)</f>
        <v>0</v>
      </c>
      <c r="AT196" t="str">
        <f>_xlfn.XLOOKUP(A196,'SYS Allocations'!A:A,'SYS Allocations'!E:E)</f>
        <v>AM</v>
      </c>
      <c r="AU196">
        <f>_xlfn.XLOOKUP(A196,'SYS Allocations'!A:A,'SYS Allocations'!F:F)</f>
        <v>0</v>
      </c>
      <c r="BA196" t="str">
        <f t="shared" si="118"/>
        <v>DDm125-33</v>
      </c>
    </row>
    <row r="197" spans="1:53">
      <c r="A197" s="35" t="s">
        <v>213</v>
      </c>
      <c r="B197" s="35" t="s">
        <v>1607</v>
      </c>
      <c r="C197" s="35" t="s">
        <v>1877</v>
      </c>
      <c r="D197" s="35" t="s">
        <v>1568</v>
      </c>
      <c r="E197" s="35" t="s">
        <v>1474</v>
      </c>
      <c r="F197" s="35" t="s">
        <v>1580</v>
      </c>
      <c r="G197" s="105">
        <v>75</v>
      </c>
      <c r="H197" s="105">
        <v>12</v>
      </c>
      <c r="I197" s="105">
        <v>225</v>
      </c>
      <c r="J197" s="105">
        <v>12.262499999999999</v>
      </c>
      <c r="K197" s="106">
        <v>45014</v>
      </c>
      <c r="L197" s="105">
        <v>35.97</v>
      </c>
      <c r="M197" s="105">
        <v>23.7075</v>
      </c>
      <c r="N197" s="105">
        <v>32.917999999999999</v>
      </c>
      <c r="O197" s="105">
        <v>20.6555</v>
      </c>
      <c r="P197" s="35" t="s">
        <v>1574</v>
      </c>
      <c r="Q197" s="35" t="s">
        <v>1581</v>
      </c>
      <c r="R197" s="35" t="s">
        <v>1789</v>
      </c>
      <c r="S197" s="105">
        <v>18.792000000000002</v>
      </c>
      <c r="T197" s="105">
        <v>6.5294999999999899</v>
      </c>
      <c r="U197" s="35" t="s">
        <v>1591</v>
      </c>
      <c r="V197" s="35" t="s">
        <v>1879</v>
      </c>
      <c r="W197" s="105">
        <v>36</v>
      </c>
      <c r="X197" s="105">
        <v>23.737500000000001</v>
      </c>
      <c r="Y197" s="105">
        <v>27</v>
      </c>
      <c r="Z197" s="35" t="s">
        <v>1576</v>
      </c>
      <c r="AA197">
        <f>VLOOKUP(A197,Cover!A:R,18,0)</f>
        <v>0</v>
      </c>
      <c r="AB197" s="77">
        <f t="shared" si="119"/>
        <v>23.7075</v>
      </c>
      <c r="AC197" s="77">
        <f t="shared" si="120"/>
        <v>20.6555</v>
      </c>
      <c r="AD197" s="77">
        <f t="shared" si="121"/>
        <v>65.909090909090921</v>
      </c>
      <c r="AE197" s="77">
        <f t="shared" si="122"/>
        <v>62.748344370860934</v>
      </c>
      <c r="AF197" s="77">
        <f t="shared" si="123"/>
        <v>6.5294999999999899</v>
      </c>
      <c r="AG197" s="77">
        <f t="shared" si="124"/>
        <v>34.746168582375425</v>
      </c>
      <c r="AH197" s="77">
        <f t="shared" si="125"/>
        <v>36</v>
      </c>
      <c r="AI197" s="77">
        <f t="shared" si="126"/>
        <v>12.262499999999999</v>
      </c>
      <c r="AJ197" s="77">
        <f t="shared" si="127"/>
        <v>23.737500000000001</v>
      </c>
      <c r="AK197" s="77">
        <f t="shared" si="128"/>
        <v>0</v>
      </c>
      <c r="AL197" s="77">
        <f t="shared" si="129"/>
        <v>23.737500000000001</v>
      </c>
      <c r="AM197" s="77">
        <f t="shared" si="130"/>
        <v>65.9375</v>
      </c>
      <c r="AO197" t="s">
        <v>1577</v>
      </c>
      <c r="AP197" t="str">
        <f t="shared" si="117"/>
        <v>DDm85-27</v>
      </c>
      <c r="AQ197">
        <f>_xlfn.XLOOKUP(A197,'SYS Allocations'!A:A,'SYS Allocations'!B:B)</f>
        <v>0</v>
      </c>
      <c r="AR197">
        <f>_xlfn.XLOOKUP(A197,'SYS Allocations'!A:A,'SYS Allocations'!C:C)</f>
        <v>0</v>
      </c>
      <c r="AS197">
        <f>_xlfn.XLOOKUP(A197,'SYS Allocations'!A:A,'SYS Allocations'!D:D)</f>
        <v>0</v>
      </c>
      <c r="AT197">
        <f>_xlfn.XLOOKUP(A197,'SYS Allocations'!A:A,'SYS Allocations'!E:E)</f>
        <v>0</v>
      </c>
      <c r="AU197">
        <f>_xlfn.XLOOKUP(A197,'SYS Allocations'!A:A,'SYS Allocations'!F:F)</f>
        <v>0</v>
      </c>
      <c r="BA197" t="str">
        <f t="shared" si="118"/>
        <v>DDm85-27</v>
      </c>
    </row>
    <row r="198" spans="1:53">
      <c r="A198" s="35" t="s">
        <v>214</v>
      </c>
      <c r="B198" s="35" t="s">
        <v>1590</v>
      </c>
      <c r="C198" s="35" t="s">
        <v>1880</v>
      </c>
      <c r="D198" s="35" t="s">
        <v>1568</v>
      </c>
      <c r="E198" s="35" t="s">
        <v>876</v>
      </c>
      <c r="F198" s="35" t="s">
        <v>1570</v>
      </c>
      <c r="G198" s="105">
        <v>36.6</v>
      </c>
      <c r="H198" s="105">
        <v>9</v>
      </c>
      <c r="I198" s="105">
        <v>39</v>
      </c>
      <c r="J198" s="105">
        <v>2.1255000000000002</v>
      </c>
      <c r="K198" s="106">
        <v>45264</v>
      </c>
      <c r="L198" s="105">
        <v>12.766080000000001</v>
      </c>
      <c r="M198" s="105">
        <v>10.64058</v>
      </c>
      <c r="N198" s="105">
        <v>9.4720999999999993</v>
      </c>
      <c r="O198" s="105">
        <v>7.3465999999999996</v>
      </c>
      <c r="P198" s="35" t="s">
        <v>1574</v>
      </c>
      <c r="Q198" s="35" t="s">
        <v>1581</v>
      </c>
      <c r="R198" s="35" t="s">
        <v>1609</v>
      </c>
      <c r="S198" s="105">
        <v>10.1088</v>
      </c>
      <c r="T198" s="105">
        <v>7.9832999999999803</v>
      </c>
      <c r="U198" s="35" t="s">
        <v>1574</v>
      </c>
      <c r="V198" s="35" t="s">
        <v>1673</v>
      </c>
      <c r="W198" s="105">
        <v>11.25</v>
      </c>
      <c r="X198" s="105">
        <v>9.1244999999999994</v>
      </c>
      <c r="Y198" s="105">
        <v>35</v>
      </c>
      <c r="Z198" s="35" t="s">
        <v>1576</v>
      </c>
      <c r="AA198">
        <f>VLOOKUP(A198,Cover!A:R,18,0)</f>
        <v>0</v>
      </c>
      <c r="AB198" s="77">
        <f t="shared" si="119"/>
        <v>10.64058</v>
      </c>
      <c r="AC198" s="77">
        <f t="shared" si="120"/>
        <v>7.3465999999999996</v>
      </c>
      <c r="AD198" s="77">
        <f t="shared" si="121"/>
        <v>83.350409836065566</v>
      </c>
      <c r="AE198" s="77">
        <f t="shared" si="122"/>
        <v>77.560414269275029</v>
      </c>
      <c r="AF198" s="77">
        <f t="shared" si="123"/>
        <v>7.9832999999999803</v>
      </c>
      <c r="AG198" s="77">
        <f t="shared" si="124"/>
        <v>78.97376543209856</v>
      </c>
      <c r="AH198" s="77">
        <f t="shared" si="125"/>
        <v>11.25</v>
      </c>
      <c r="AI198" s="77">
        <f t="shared" si="126"/>
        <v>2.1255000000000002</v>
      </c>
      <c r="AJ198" s="77">
        <f t="shared" si="127"/>
        <v>9.1244999999999994</v>
      </c>
      <c r="AK198" s="77">
        <f t="shared" si="128"/>
        <v>0</v>
      </c>
      <c r="AL198" s="77">
        <f t="shared" si="129"/>
        <v>9.1244999999999994</v>
      </c>
      <c r="AM198" s="77">
        <f t="shared" si="130"/>
        <v>81.106666666666655</v>
      </c>
      <c r="AO198" t="s">
        <v>1577</v>
      </c>
      <c r="AP198" t="str">
        <f t="shared" si="117"/>
        <v>2DDm85-15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>
        <f>_xlfn.XLOOKUP(A198,'SYS Allocations'!A:A,'SYS Allocations'!E:E)</f>
        <v>0</v>
      </c>
      <c r="AU198">
        <f>_xlfn.XLOOKUP(A198,'SYS Allocations'!A:A,'SYS Allocations'!F:F)</f>
        <v>0</v>
      </c>
      <c r="BA198" t="str">
        <f t="shared" si="118"/>
        <v>2DDm85-15</v>
      </c>
    </row>
    <row r="199" spans="1:53">
      <c r="A199" s="35" t="s">
        <v>215</v>
      </c>
      <c r="B199" s="35" t="s">
        <v>1636</v>
      </c>
      <c r="C199" s="35" t="s">
        <v>1881</v>
      </c>
      <c r="D199" s="35" t="s">
        <v>1568</v>
      </c>
      <c r="E199" s="35" t="s">
        <v>1882</v>
      </c>
      <c r="F199" s="35" t="s">
        <v>1580</v>
      </c>
      <c r="G199" s="105">
        <v>75</v>
      </c>
      <c r="H199" s="105">
        <v>8</v>
      </c>
      <c r="I199" s="105">
        <v>150</v>
      </c>
      <c r="J199" s="105">
        <v>8.1750000000000007</v>
      </c>
      <c r="K199" s="106">
        <v>44698.5625</v>
      </c>
      <c r="L199" s="105">
        <v>22.89</v>
      </c>
      <c r="M199" s="105">
        <v>14.715</v>
      </c>
      <c r="N199" s="105">
        <v>22.126999999999999</v>
      </c>
      <c r="O199" s="105">
        <v>13.952</v>
      </c>
      <c r="P199" s="35" t="s">
        <v>1574</v>
      </c>
      <c r="Q199" s="35" t="s">
        <v>1581</v>
      </c>
      <c r="R199" s="35" t="s">
        <v>1609</v>
      </c>
      <c r="S199" s="105">
        <v>10.1088</v>
      </c>
      <c r="T199" s="105">
        <v>1.93379999999998</v>
      </c>
      <c r="U199" s="35" t="s">
        <v>1586</v>
      </c>
      <c r="V199" s="35" t="s">
        <v>1652</v>
      </c>
      <c r="W199" s="105">
        <v>67.5</v>
      </c>
      <c r="X199" s="105">
        <v>59.325000000000003</v>
      </c>
      <c r="Y199" s="105">
        <v>84</v>
      </c>
      <c r="Z199" s="35" t="s">
        <v>1576</v>
      </c>
      <c r="AA199">
        <f>VLOOKUP(A199,Cover!A:R,18,0)</f>
        <v>0</v>
      </c>
      <c r="AB199" s="77">
        <f t="shared" si="119"/>
        <v>14.715</v>
      </c>
      <c r="AC199" s="77">
        <f t="shared" si="120"/>
        <v>13.952</v>
      </c>
      <c r="AD199" s="77">
        <f t="shared" si="121"/>
        <v>64.285714285714292</v>
      </c>
      <c r="AE199" s="77">
        <f t="shared" si="122"/>
        <v>63.054187192118228</v>
      </c>
      <c r="AF199" s="77">
        <f t="shared" si="123"/>
        <v>1.93379999999998</v>
      </c>
      <c r="AG199" s="77">
        <f t="shared" si="124"/>
        <v>19.129867046533512</v>
      </c>
      <c r="AH199" s="77">
        <f t="shared" si="125"/>
        <v>67.5</v>
      </c>
      <c r="AI199" s="77">
        <f t="shared" si="126"/>
        <v>8.1750000000000007</v>
      </c>
      <c r="AJ199" s="77">
        <f t="shared" si="127"/>
        <v>59.325000000000003</v>
      </c>
      <c r="AK199" s="77">
        <f t="shared" si="128"/>
        <v>0</v>
      </c>
      <c r="AL199" s="77">
        <f t="shared" si="129"/>
        <v>59.325000000000003</v>
      </c>
      <c r="AM199" s="77">
        <f t="shared" si="130"/>
        <v>87.888888888888886</v>
      </c>
      <c r="AO199" t="s">
        <v>1577</v>
      </c>
      <c r="AP199" t="str">
        <f t="shared" si="117"/>
        <v>2DDm85-15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18"/>
        <v>2DDm85-15</v>
      </c>
    </row>
    <row r="200" spans="1:53">
      <c r="A200" s="35" t="s">
        <v>216</v>
      </c>
      <c r="B200" s="35" t="s">
        <v>1616</v>
      </c>
      <c r="C200" s="35" t="s">
        <v>1883</v>
      </c>
      <c r="D200" s="35" t="s">
        <v>1568</v>
      </c>
      <c r="E200" s="35" t="s">
        <v>1396</v>
      </c>
      <c r="F200" s="35" t="s">
        <v>1580</v>
      </c>
      <c r="G200" s="105">
        <v>75</v>
      </c>
      <c r="H200" s="105">
        <v>13</v>
      </c>
      <c r="I200" s="105">
        <v>380</v>
      </c>
      <c r="J200" s="105">
        <v>20.71</v>
      </c>
      <c r="K200" s="106">
        <v>44356.5</v>
      </c>
      <c r="L200" s="105">
        <v>39.24</v>
      </c>
      <c r="M200" s="105">
        <v>18.53</v>
      </c>
      <c r="N200" s="105">
        <v>14.17</v>
      </c>
      <c r="O200" s="107">
        <v>-6.54</v>
      </c>
      <c r="P200" s="35" t="s">
        <v>1586</v>
      </c>
      <c r="Q200" s="35" t="s">
        <v>1581</v>
      </c>
      <c r="R200" s="35" t="s">
        <v>1644</v>
      </c>
      <c r="S200" s="105">
        <v>56.246400000000101</v>
      </c>
      <c r="T200" s="105">
        <v>35.5364000000001</v>
      </c>
      <c r="U200" s="35" t="s">
        <v>1575</v>
      </c>
      <c r="V200" s="35" t="s">
        <v>1884</v>
      </c>
      <c r="W200" s="105">
        <v>62.25</v>
      </c>
      <c r="X200" s="105">
        <v>41.54</v>
      </c>
      <c r="Y200" s="105">
        <v>6</v>
      </c>
      <c r="Z200" s="35" t="s">
        <v>1576</v>
      </c>
      <c r="AA200">
        <f>VLOOKUP(A200,Cover!A:R,18,0)</f>
        <v>0</v>
      </c>
      <c r="AB200" s="77">
        <f t="shared" si="119"/>
        <v>18.53</v>
      </c>
      <c r="AC200" s="77">
        <f t="shared" si="120"/>
        <v>-6.54</v>
      </c>
      <c r="AD200" s="77">
        <f t="shared" si="121"/>
        <v>47.222222222222221</v>
      </c>
      <c r="AE200" s="77">
        <f t="shared" si="122"/>
        <v>-46.153846153846153</v>
      </c>
      <c r="AF200" s="77">
        <f t="shared" si="123"/>
        <v>35.5364000000001</v>
      </c>
      <c r="AG200" s="77">
        <f t="shared" si="124"/>
        <v>63.179865733629242</v>
      </c>
      <c r="AH200" s="77">
        <f t="shared" si="125"/>
        <v>62.25</v>
      </c>
      <c r="AI200" s="77">
        <f t="shared" si="126"/>
        <v>20.71</v>
      </c>
      <c r="AJ200" s="77">
        <f t="shared" si="127"/>
        <v>41.54</v>
      </c>
      <c r="AK200" s="77">
        <f t="shared" si="128"/>
        <v>0</v>
      </c>
      <c r="AL200" s="77">
        <f t="shared" si="129"/>
        <v>41.54</v>
      </c>
      <c r="AM200" s="77">
        <f t="shared" si="130"/>
        <v>66.730923694779108</v>
      </c>
      <c r="AO200" t="s">
        <v>1577</v>
      </c>
      <c r="AP200" t="str">
        <f t="shared" si="117"/>
        <v>DDm100-33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18"/>
        <v>DDm100-33</v>
      </c>
    </row>
    <row r="201" spans="1:53">
      <c r="A201" s="35" t="s">
        <v>217</v>
      </c>
      <c r="B201" s="35" t="s">
        <v>1616</v>
      </c>
      <c r="C201" s="35" t="s">
        <v>1883</v>
      </c>
      <c r="D201" s="35" t="s">
        <v>1568</v>
      </c>
      <c r="E201" s="35" t="s">
        <v>1382</v>
      </c>
      <c r="F201" s="35" t="s">
        <v>1570</v>
      </c>
      <c r="G201" s="105">
        <v>36.6</v>
      </c>
      <c r="H201" s="105">
        <v>83</v>
      </c>
      <c r="I201" s="105">
        <v>1256</v>
      </c>
      <c r="J201" s="105">
        <v>68.451999999999998</v>
      </c>
      <c r="K201" s="106">
        <v>44846</v>
      </c>
      <c r="L201" s="105">
        <v>130.85231999999999</v>
      </c>
      <c r="M201" s="105">
        <v>62.400320000000001</v>
      </c>
      <c r="N201" s="105">
        <v>102.5254</v>
      </c>
      <c r="O201" s="105">
        <v>34.073399999999999</v>
      </c>
      <c r="P201" s="35" t="s">
        <v>1622</v>
      </c>
      <c r="Q201" s="35" t="s">
        <v>1581</v>
      </c>
      <c r="R201" s="35" t="s">
        <v>1885</v>
      </c>
      <c r="S201" s="105">
        <v>155.5848</v>
      </c>
      <c r="T201" s="105">
        <v>87.132799999999804</v>
      </c>
      <c r="U201" s="35" t="s">
        <v>1593</v>
      </c>
      <c r="V201" s="35" t="s">
        <v>1886</v>
      </c>
      <c r="W201" s="105">
        <v>411</v>
      </c>
      <c r="X201" s="105">
        <v>342.548</v>
      </c>
      <c r="Y201" s="105">
        <v>61</v>
      </c>
      <c r="Z201" s="35" t="s">
        <v>1576</v>
      </c>
      <c r="AA201">
        <f>VLOOKUP(A201,Cover!A:R,18,0)</f>
        <v>36.5</v>
      </c>
      <c r="AB201" s="77">
        <f t="shared" si="119"/>
        <v>25.900320000000001</v>
      </c>
      <c r="AC201" s="77">
        <f t="shared" si="120"/>
        <v>-2.4266000000000005</v>
      </c>
      <c r="AD201" s="77">
        <f t="shared" si="121"/>
        <v>19.793550469720369</v>
      </c>
      <c r="AE201" s="77">
        <f t="shared" si="122"/>
        <v>-2.3668281225920604</v>
      </c>
      <c r="AF201" s="77">
        <f t="shared" si="123"/>
        <v>50.632799999999804</v>
      </c>
      <c r="AG201" s="77">
        <f t="shared" si="124"/>
        <v>32.543538957532995</v>
      </c>
      <c r="AH201" s="346">
        <f>AVERAGE(W201:W202)</f>
        <v>411</v>
      </c>
      <c r="AI201" s="346">
        <f>SUM(J201:J202)</f>
        <v>115.4855</v>
      </c>
      <c r="AJ201" s="346">
        <f t="shared" si="127"/>
        <v>295.5145</v>
      </c>
      <c r="AK201" s="346">
        <f>SUM(AA201:AA202)</f>
        <v>49.9</v>
      </c>
      <c r="AL201" s="346">
        <f t="shared" si="129"/>
        <v>245.61449999999999</v>
      </c>
      <c r="AM201" s="345">
        <f t="shared" si="130"/>
        <v>59.760218978102181</v>
      </c>
      <c r="AO201" t="s">
        <v>1577</v>
      </c>
      <c r="AP201" t="str">
        <f t="shared" si="117"/>
        <v>DDm100-33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18"/>
        <v xml:space="preserve">DDm100-33 </v>
      </c>
    </row>
    <row r="202" spans="1:53">
      <c r="A202" s="35" t="s">
        <v>218</v>
      </c>
      <c r="B202" s="35" t="s">
        <v>1616</v>
      </c>
      <c r="C202" s="35" t="s">
        <v>1883</v>
      </c>
      <c r="D202" s="35" t="s">
        <v>1568</v>
      </c>
      <c r="E202" s="35" t="s">
        <v>1382</v>
      </c>
      <c r="F202" s="35" t="s">
        <v>1625</v>
      </c>
      <c r="G202" s="105">
        <v>55</v>
      </c>
      <c r="H202" s="105">
        <v>42</v>
      </c>
      <c r="I202" s="105">
        <v>863</v>
      </c>
      <c r="J202" s="105">
        <v>47.033499999999997</v>
      </c>
      <c r="K202" s="106">
        <v>44846</v>
      </c>
      <c r="L202" s="105">
        <v>98.317999999999998</v>
      </c>
      <c r="M202" s="105">
        <v>51.284500000000001</v>
      </c>
      <c r="N202" s="105">
        <v>90.197500000000005</v>
      </c>
      <c r="O202" s="105">
        <v>43.164000000000001</v>
      </c>
      <c r="P202" s="35" t="s">
        <v>1571</v>
      </c>
      <c r="Q202" s="35" t="s">
        <v>1581</v>
      </c>
      <c r="R202" s="35" t="s">
        <v>1635</v>
      </c>
      <c r="S202" s="105">
        <v>85.212000000000202</v>
      </c>
      <c r="T202" s="105">
        <v>38.178500000000199</v>
      </c>
      <c r="U202" s="35" t="s">
        <v>1593</v>
      </c>
      <c r="V202" s="35" t="s">
        <v>1886</v>
      </c>
      <c r="W202" s="105">
        <v>411</v>
      </c>
      <c r="X202" s="105">
        <v>363.9665</v>
      </c>
      <c r="Y202" s="105">
        <v>61</v>
      </c>
      <c r="Z202" s="35" t="s">
        <v>1576</v>
      </c>
      <c r="AA202">
        <f>VLOOKUP(A202,Cover!A:R,18,0)</f>
        <v>13.4</v>
      </c>
      <c r="AB202" s="77">
        <f t="shared" si="119"/>
        <v>37.884500000000003</v>
      </c>
      <c r="AC202" s="77">
        <f t="shared" si="120"/>
        <v>29.764000000000003</v>
      </c>
      <c r="AD202" s="77">
        <f t="shared" si="121"/>
        <v>38.532618645619323</v>
      </c>
      <c r="AE202" s="77">
        <f t="shared" si="122"/>
        <v>32.998697303140332</v>
      </c>
      <c r="AF202" s="77">
        <f t="shared" si="123"/>
        <v>24.7785000000002</v>
      </c>
      <c r="AG202" s="77">
        <f t="shared" si="124"/>
        <v>29.078650894240415</v>
      </c>
      <c r="AH202" s="346"/>
      <c r="AI202" s="346"/>
      <c r="AJ202" s="346"/>
      <c r="AK202" s="346"/>
      <c r="AL202" s="346"/>
      <c r="AM202" s="345"/>
      <c r="AO202" t="s">
        <v>1577</v>
      </c>
      <c r="AP202" t="str">
        <f t="shared" si="117"/>
        <v>DDm125-33</v>
      </c>
      <c r="AQ202" t="str">
        <f>_xlfn.XLOOKUP(A202,'SYS Allocations'!A:A,'SYS Allocations'!B:B)</f>
        <v>P-Core</v>
      </c>
      <c r="AR202" t="str">
        <f>_xlfn.XLOOKUP(A202,'SYS Allocations'!A:A,'SYS Allocations'!C:C)</f>
        <v>RA</v>
      </c>
      <c r="AS202" t="str">
        <f>_xlfn.XLOOKUP(A202,'SYS Allocations'!A:A,'SYS Allocations'!D:D)</f>
        <v>PX</v>
      </c>
      <c r="AT202">
        <f>_xlfn.XLOOKUP(A202,'SYS Allocations'!A:A,'SYS Allocations'!E:E)</f>
        <v>0</v>
      </c>
      <c r="AU202" t="str">
        <f>_xlfn.XLOOKUP(A202,'SYS Allocations'!A:A,'SYS Allocations'!F:F)</f>
        <v>OPEX</v>
      </c>
      <c r="BA202" t="str">
        <f t="shared" si="118"/>
        <v xml:space="preserve">DDm125-33 </v>
      </c>
    </row>
    <row r="203" spans="1:53">
      <c r="A203" s="35" t="s">
        <v>219</v>
      </c>
      <c r="B203" s="35" t="s">
        <v>1616</v>
      </c>
      <c r="C203" s="35" t="s">
        <v>1883</v>
      </c>
      <c r="D203" s="35" t="s">
        <v>1568</v>
      </c>
      <c r="E203" s="35" t="s">
        <v>1382</v>
      </c>
      <c r="F203" s="35" t="s">
        <v>1584</v>
      </c>
      <c r="G203" s="105">
        <v>31</v>
      </c>
      <c r="H203" s="105">
        <v>5</v>
      </c>
      <c r="I203" s="105">
        <v>83</v>
      </c>
      <c r="J203" s="105">
        <v>4.5235000000000003</v>
      </c>
      <c r="K203" s="106">
        <v>44719.5625</v>
      </c>
      <c r="L203" s="105">
        <v>5.4063999999999997</v>
      </c>
      <c r="M203" s="105">
        <v>0.88290000000000002</v>
      </c>
      <c r="N203" s="105">
        <v>5.6680000000000001</v>
      </c>
      <c r="O203" s="105">
        <v>1.1445000000000001</v>
      </c>
      <c r="P203" s="35" t="s">
        <v>1574</v>
      </c>
      <c r="Q203" s="35" t="s">
        <v>1581</v>
      </c>
      <c r="R203" s="35" t="s">
        <v>1808</v>
      </c>
      <c r="S203" s="105">
        <v>3.07152</v>
      </c>
      <c r="T203" s="105">
        <v>-1.45198</v>
      </c>
      <c r="U203" s="35" t="s">
        <v>1593</v>
      </c>
      <c r="V203" s="35" t="s">
        <v>1886</v>
      </c>
      <c r="W203" s="105">
        <v>411</v>
      </c>
      <c r="X203" s="105">
        <v>406.47649999999999</v>
      </c>
      <c r="Y203" s="105">
        <v>61</v>
      </c>
      <c r="Z203" s="35" t="s">
        <v>1576</v>
      </c>
      <c r="AA203">
        <f>VLOOKUP(A203,Cover!A:R,18,0)</f>
        <v>0</v>
      </c>
      <c r="AB203" s="77">
        <f t="shared" si="119"/>
        <v>0.88290000000000002</v>
      </c>
      <c r="AC203" s="77">
        <f t="shared" si="120"/>
        <v>1.1445000000000001</v>
      </c>
      <c r="AD203" s="77">
        <f t="shared" si="121"/>
        <v>16.330645161290324</v>
      </c>
      <c r="AE203" s="77">
        <f t="shared" si="122"/>
        <v>20.192307692307693</v>
      </c>
      <c r="AF203" s="77">
        <f t="shared" si="123"/>
        <v>-1.45198</v>
      </c>
      <c r="AG203" s="77">
        <f t="shared" si="124"/>
        <v>-47.27236026462468</v>
      </c>
      <c r="AH203" s="77">
        <f t="shared" si="125"/>
        <v>411</v>
      </c>
      <c r="AI203" s="77">
        <f t="shared" si="126"/>
        <v>4.5235000000000003</v>
      </c>
      <c r="AJ203" s="77">
        <f t="shared" si="127"/>
        <v>406.47649999999999</v>
      </c>
      <c r="AK203" s="77">
        <f t="shared" si="128"/>
        <v>0</v>
      </c>
      <c r="AL203" s="77">
        <f t="shared" si="129"/>
        <v>406.47649999999999</v>
      </c>
      <c r="AM203" s="77">
        <f t="shared" si="130"/>
        <v>98.899391727493907</v>
      </c>
      <c r="AN203" t="s">
        <v>1563</v>
      </c>
      <c r="AO203" t="s">
        <v>1577</v>
      </c>
      <c r="AP203" t="str">
        <f t="shared" si="117"/>
        <v>12V101F</v>
      </c>
      <c r="AQ203">
        <f>_xlfn.XLOOKUP(A203,'SYS Allocations'!A:A,'SYS Allocations'!B:B)</f>
        <v>0</v>
      </c>
      <c r="AR203">
        <f>_xlfn.XLOOKUP(A203,'SYS Allocations'!A:A,'SYS Allocations'!C:C)</f>
        <v>0</v>
      </c>
      <c r="AS203">
        <f>_xlfn.XLOOKUP(A203,'SYS Allocations'!A:A,'SYS Allocations'!D:D)</f>
        <v>0</v>
      </c>
      <c r="AT203">
        <f>_xlfn.XLOOKUP(A203,'SYS Allocations'!A:A,'SYS Allocations'!E:E)</f>
        <v>0</v>
      </c>
      <c r="AU203">
        <f>_xlfn.XLOOKUP(A203,'SYS Allocations'!A:A,'SYS Allocations'!F:F)</f>
        <v>0</v>
      </c>
      <c r="BA203" t="str">
        <f t="shared" si="118"/>
        <v xml:space="preserve">12V101F </v>
      </c>
    </row>
    <row r="204" spans="1:53">
      <c r="A204" s="35" t="s">
        <v>220</v>
      </c>
      <c r="B204" s="35" t="s">
        <v>1616</v>
      </c>
      <c r="C204" s="35" t="s">
        <v>1883</v>
      </c>
      <c r="D204" s="35" t="s">
        <v>1568</v>
      </c>
      <c r="E204" s="35" t="s">
        <v>1401</v>
      </c>
      <c r="F204" s="35" t="s">
        <v>1570</v>
      </c>
      <c r="G204" s="105">
        <v>36.6</v>
      </c>
      <c r="H204" s="105">
        <v>18</v>
      </c>
      <c r="I204" s="105">
        <v>248</v>
      </c>
      <c r="J204" s="105">
        <v>13.516</v>
      </c>
      <c r="K204" s="106">
        <v>44413.4375</v>
      </c>
      <c r="L204" s="105">
        <v>27.12792</v>
      </c>
      <c r="M204" s="105">
        <v>13.61192</v>
      </c>
      <c r="N204" s="105">
        <v>24.6449</v>
      </c>
      <c r="O204" s="105">
        <v>11.1289</v>
      </c>
      <c r="P204" s="35" t="s">
        <v>1574</v>
      </c>
      <c r="Q204" s="35" t="s">
        <v>1581</v>
      </c>
      <c r="R204" s="35" t="s">
        <v>1887</v>
      </c>
      <c r="S204" s="105">
        <v>23.025600000000001</v>
      </c>
      <c r="T204" s="105">
        <v>9.5095999999999794</v>
      </c>
      <c r="U204" s="35" t="s">
        <v>1574</v>
      </c>
      <c r="V204" s="35" t="s">
        <v>1641</v>
      </c>
      <c r="W204" s="105">
        <v>37.5</v>
      </c>
      <c r="X204" s="105">
        <v>23.984000000000002</v>
      </c>
      <c r="Y204" s="105">
        <v>4</v>
      </c>
      <c r="Z204" s="35" t="s">
        <v>1576</v>
      </c>
      <c r="AA204">
        <f>VLOOKUP(A204,Cover!A:R,18,0)</f>
        <v>5.2</v>
      </c>
      <c r="AB204" s="77">
        <f t="shared" si="119"/>
        <v>8.4119199999999985</v>
      </c>
      <c r="AC204" s="77">
        <f t="shared" si="120"/>
        <v>5.9288999999999996</v>
      </c>
      <c r="AD204" s="77">
        <f t="shared" si="121"/>
        <v>31.008348594363294</v>
      </c>
      <c r="AE204" s="77">
        <f t="shared" si="122"/>
        <v>24.057310031690125</v>
      </c>
      <c r="AF204" s="77">
        <f t="shared" si="123"/>
        <v>4.3095999999999792</v>
      </c>
      <c r="AG204" s="77">
        <f t="shared" si="124"/>
        <v>18.71655896046131</v>
      </c>
      <c r="AH204" s="77">
        <f t="shared" si="125"/>
        <v>37.5</v>
      </c>
      <c r="AI204" s="77">
        <f t="shared" si="126"/>
        <v>13.516</v>
      </c>
      <c r="AJ204" s="77">
        <f t="shared" si="127"/>
        <v>23.984000000000002</v>
      </c>
      <c r="AK204" s="77">
        <f t="shared" si="128"/>
        <v>5.2</v>
      </c>
      <c r="AL204" s="77">
        <f t="shared" si="129"/>
        <v>18.784000000000002</v>
      </c>
      <c r="AM204" s="77">
        <f t="shared" si="130"/>
        <v>50.090666666666671</v>
      </c>
      <c r="AO204" t="s">
        <v>1577</v>
      </c>
      <c r="AP204" t="str">
        <f t="shared" si="117"/>
        <v>DDm85-21</v>
      </c>
      <c r="AQ204">
        <f>_xlfn.XLOOKUP(A204,'SYS Allocations'!A:A,'SYS Allocations'!B:B)</f>
        <v>0</v>
      </c>
      <c r="AR204">
        <f>_xlfn.XLOOKUP(A204,'SYS Allocations'!A:A,'SYS Allocations'!C:C)</f>
        <v>0</v>
      </c>
      <c r="AS204">
        <f>_xlfn.XLOOKUP(A204,'SYS Allocations'!A:A,'SYS Allocations'!D:D)</f>
        <v>0</v>
      </c>
      <c r="AT204">
        <f>_xlfn.XLOOKUP(A204,'SYS Allocations'!A:A,'SYS Allocations'!E:E)</f>
        <v>0</v>
      </c>
      <c r="AU204">
        <f>_xlfn.XLOOKUP(A204,'SYS Allocations'!A:A,'SYS Allocations'!F:F)</f>
        <v>0</v>
      </c>
      <c r="BA204" t="str">
        <f t="shared" si="118"/>
        <v>DDm85-21</v>
      </c>
    </row>
    <row r="205" spans="1:53">
      <c r="A205" s="35" t="s">
        <v>221</v>
      </c>
      <c r="B205" s="35" t="s">
        <v>1636</v>
      </c>
      <c r="C205" s="35" t="s">
        <v>1888</v>
      </c>
      <c r="D205" s="35" t="s">
        <v>1568</v>
      </c>
      <c r="E205" s="35" t="s">
        <v>1096</v>
      </c>
      <c r="F205" s="35" t="s">
        <v>1570</v>
      </c>
      <c r="G205" s="105">
        <v>36.6</v>
      </c>
      <c r="H205" s="105">
        <v>30</v>
      </c>
      <c r="I205" s="105">
        <v>370</v>
      </c>
      <c r="J205" s="105">
        <v>20.164999999999999</v>
      </c>
      <c r="K205" s="106">
        <v>45264</v>
      </c>
      <c r="L205" s="105">
        <v>46.27704</v>
      </c>
      <c r="M205" s="105">
        <v>26.11204</v>
      </c>
      <c r="N205" s="105">
        <v>36.046300000000002</v>
      </c>
      <c r="O205" s="105">
        <v>15.8813</v>
      </c>
      <c r="P205" s="35" t="s">
        <v>1574</v>
      </c>
      <c r="Q205" s="35" t="s">
        <v>1581</v>
      </c>
      <c r="R205" s="35" t="s">
        <v>1592</v>
      </c>
      <c r="S205" s="105">
        <v>35.553600000000003</v>
      </c>
      <c r="T205" s="105">
        <v>15.3886</v>
      </c>
      <c r="U205" s="35" t="s">
        <v>1591</v>
      </c>
      <c r="V205" s="35" t="s">
        <v>1781</v>
      </c>
      <c r="W205" s="105">
        <v>63</v>
      </c>
      <c r="X205" s="105">
        <v>42.835000000000001</v>
      </c>
      <c r="Y205" s="105">
        <v>6</v>
      </c>
      <c r="Z205" s="35" t="s">
        <v>1576</v>
      </c>
      <c r="AA205">
        <f>VLOOKUP(A205,Cover!A:R,18,0)</f>
        <v>0.25</v>
      </c>
      <c r="AB205" s="77">
        <f t="shared" si="119"/>
        <v>25.86204</v>
      </c>
      <c r="AC205" s="77">
        <f t="shared" si="120"/>
        <v>15.6313</v>
      </c>
      <c r="AD205" s="77">
        <f t="shared" si="121"/>
        <v>55.885251087796455</v>
      </c>
      <c r="AE205" s="77">
        <f t="shared" si="122"/>
        <v>43.364506204520289</v>
      </c>
      <c r="AF205" s="77">
        <f t="shared" si="123"/>
        <v>15.1386</v>
      </c>
      <c r="AG205" s="77">
        <f t="shared" si="124"/>
        <v>42.579654380990952</v>
      </c>
      <c r="AH205" s="77">
        <f t="shared" si="125"/>
        <v>63</v>
      </c>
      <c r="AI205" s="77">
        <f t="shared" si="126"/>
        <v>20.164999999999999</v>
      </c>
      <c r="AJ205" s="77">
        <f t="shared" si="127"/>
        <v>42.835000000000001</v>
      </c>
      <c r="AK205" s="77">
        <f t="shared" si="128"/>
        <v>0.25</v>
      </c>
      <c r="AL205" s="77">
        <f t="shared" si="129"/>
        <v>42.585000000000001</v>
      </c>
      <c r="AM205" s="77">
        <f t="shared" si="130"/>
        <v>67.595238095238102</v>
      </c>
      <c r="AO205" t="s">
        <v>1577</v>
      </c>
      <c r="AP205" t="str">
        <f t="shared" si="117"/>
        <v>DDm125-33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18"/>
        <v>DDm125-33</v>
      </c>
    </row>
    <row r="206" spans="1:53">
      <c r="A206" s="35" t="s">
        <v>222</v>
      </c>
      <c r="B206" s="35" t="s">
        <v>1636</v>
      </c>
      <c r="C206" s="35" t="s">
        <v>1888</v>
      </c>
      <c r="D206" s="35" t="s">
        <v>1568</v>
      </c>
      <c r="E206" s="35" t="s">
        <v>1511</v>
      </c>
      <c r="F206" s="35" t="s">
        <v>1570</v>
      </c>
      <c r="G206" s="105">
        <v>36.6</v>
      </c>
      <c r="H206" s="105">
        <v>26</v>
      </c>
      <c r="I206" s="105">
        <v>279</v>
      </c>
      <c r="J206" s="105">
        <v>15.205500000000001</v>
      </c>
      <c r="K206" s="106">
        <v>45264</v>
      </c>
      <c r="L206" s="105">
        <v>39.893999999999998</v>
      </c>
      <c r="M206" s="105">
        <v>24.688500000000001</v>
      </c>
      <c r="N206" s="105">
        <v>28.067499999999999</v>
      </c>
      <c r="O206" s="105">
        <v>12.862</v>
      </c>
      <c r="P206" s="35" t="s">
        <v>1574</v>
      </c>
      <c r="Q206" s="35" t="s">
        <v>1581</v>
      </c>
      <c r="R206" s="35" t="s">
        <v>1592</v>
      </c>
      <c r="S206" s="105">
        <v>35.553600000000003</v>
      </c>
      <c r="T206" s="105">
        <v>20.348099999999999</v>
      </c>
      <c r="U206" s="35" t="s">
        <v>1618</v>
      </c>
      <c r="V206" s="35" t="s">
        <v>1611</v>
      </c>
      <c r="W206" s="105">
        <v>112.5</v>
      </c>
      <c r="X206" s="105">
        <v>97.294499999999999</v>
      </c>
      <c r="Y206" s="105">
        <v>21</v>
      </c>
      <c r="Z206" s="35" t="s">
        <v>1576</v>
      </c>
      <c r="AA206">
        <f>VLOOKUP(A206,Cover!A:R,18,0)</f>
        <v>7.2</v>
      </c>
      <c r="AB206" s="77">
        <f t="shared" si="119"/>
        <v>17.488500000000002</v>
      </c>
      <c r="AC206" s="77">
        <f t="shared" si="120"/>
        <v>5.6619999999999999</v>
      </c>
      <c r="AD206" s="77">
        <f t="shared" si="121"/>
        <v>43.837419160776065</v>
      </c>
      <c r="AE206" s="77">
        <f t="shared" si="122"/>
        <v>20.172797719782665</v>
      </c>
      <c r="AF206" s="77">
        <f t="shared" si="123"/>
        <v>13.148099999999999</v>
      </c>
      <c r="AG206" s="77">
        <f t="shared" si="124"/>
        <v>36.981065208586472</v>
      </c>
      <c r="AH206" s="77">
        <f t="shared" si="125"/>
        <v>112.5</v>
      </c>
      <c r="AI206" s="77">
        <f t="shared" si="126"/>
        <v>15.205500000000001</v>
      </c>
      <c r="AJ206" s="77">
        <f t="shared" si="127"/>
        <v>97.294499999999999</v>
      </c>
      <c r="AK206" s="77">
        <f t="shared" si="128"/>
        <v>7.2</v>
      </c>
      <c r="AL206" s="77">
        <f t="shared" si="129"/>
        <v>90.094499999999996</v>
      </c>
      <c r="AM206" s="77">
        <f t="shared" si="130"/>
        <v>80.084000000000003</v>
      </c>
      <c r="AO206" t="s">
        <v>1577</v>
      </c>
      <c r="AP206" t="str">
        <f t="shared" si="117"/>
        <v>DDm125-33</v>
      </c>
      <c r="AQ206">
        <f>_xlfn.XLOOKUP(A206,'SYS Allocations'!A:A,'SYS Allocations'!B:B)</f>
        <v>0</v>
      </c>
      <c r="AR206" t="str">
        <f>_xlfn.XLOOKUP(A206,'SYS Allocations'!A:A,'SYS Allocations'!C:C)</f>
        <v>RA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18"/>
        <v>DDm125-33</v>
      </c>
    </row>
    <row r="207" spans="1:53">
      <c r="A207" s="35" t="s">
        <v>223</v>
      </c>
      <c r="B207" s="35" t="s">
        <v>1668</v>
      </c>
      <c r="C207" s="35" t="s">
        <v>1889</v>
      </c>
      <c r="D207" s="35" t="s">
        <v>1568</v>
      </c>
      <c r="E207" s="35" t="s">
        <v>1424</v>
      </c>
      <c r="F207" s="35" t="s">
        <v>1570</v>
      </c>
      <c r="G207" s="105">
        <v>36.6</v>
      </c>
      <c r="H207" s="105">
        <v>37</v>
      </c>
      <c r="I207" s="105">
        <v>488</v>
      </c>
      <c r="J207" s="105">
        <v>26.596</v>
      </c>
      <c r="K207" s="106">
        <v>45232</v>
      </c>
      <c r="L207" s="105">
        <v>57.447360000000003</v>
      </c>
      <c r="M207" s="105">
        <v>30.85136</v>
      </c>
      <c r="N207" s="105">
        <v>39.109200000000001</v>
      </c>
      <c r="O207" s="105">
        <v>12.513199999999999</v>
      </c>
      <c r="P207" s="35" t="s">
        <v>1571</v>
      </c>
      <c r="Q207" s="35" t="s">
        <v>1581</v>
      </c>
      <c r="R207" s="35" t="s">
        <v>1592</v>
      </c>
      <c r="S207" s="105">
        <v>53.330399999999997</v>
      </c>
      <c r="T207" s="105">
        <v>26.734400000000001</v>
      </c>
      <c r="U207" s="35" t="s">
        <v>1663</v>
      </c>
      <c r="V207" s="35" t="s">
        <v>1890</v>
      </c>
      <c r="W207" s="105">
        <v>84.375</v>
      </c>
      <c r="X207" s="105">
        <v>57.779000000000003</v>
      </c>
      <c r="Y207" s="105">
        <v>69</v>
      </c>
      <c r="Z207" s="35" t="s">
        <v>1576</v>
      </c>
      <c r="AA207">
        <f>VLOOKUP(A207,Cover!A:R,18,0)</f>
        <v>3.7</v>
      </c>
      <c r="AB207" s="77">
        <f t="shared" si="119"/>
        <v>27.15136</v>
      </c>
      <c r="AC207" s="77">
        <f t="shared" si="120"/>
        <v>8.8131999999999984</v>
      </c>
      <c r="AD207" s="77">
        <f t="shared" si="121"/>
        <v>47.263024793480497</v>
      </c>
      <c r="AE207" s="77">
        <f t="shared" si="122"/>
        <v>22.534851134771355</v>
      </c>
      <c r="AF207" s="77">
        <f t="shared" si="123"/>
        <v>23.034400000000002</v>
      </c>
      <c r="AG207" s="77">
        <f t="shared" si="124"/>
        <v>43.191875553155427</v>
      </c>
      <c r="AH207" s="77">
        <f t="shared" si="125"/>
        <v>84.375</v>
      </c>
      <c r="AI207" s="77">
        <f t="shared" si="126"/>
        <v>26.596</v>
      </c>
      <c r="AJ207" s="77">
        <f t="shared" si="127"/>
        <v>57.778999999999996</v>
      </c>
      <c r="AK207" s="77">
        <f t="shared" si="128"/>
        <v>3.7</v>
      </c>
      <c r="AL207" s="77">
        <f t="shared" si="129"/>
        <v>54.078999999999994</v>
      </c>
      <c r="AM207" s="77">
        <f t="shared" si="130"/>
        <v>64.093629629629618</v>
      </c>
      <c r="AO207" t="s">
        <v>1577</v>
      </c>
      <c r="AP207" t="str">
        <f t="shared" ref="AP207:AP252" si="155">TRIM(BA207)</f>
        <v>DDm125-33</v>
      </c>
      <c r="AQ207">
        <f>_xlfn.XLOOKUP(A207,'SYS Allocations'!A:A,'SYS Allocations'!B:B)</f>
        <v>0</v>
      </c>
      <c r="AR207" t="str">
        <f>_xlfn.XLOOKUP(A207,'SYS Allocations'!A:A,'SYS Allocations'!C:C)</f>
        <v>RA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ref="BA207:BA252" si="156">IFERROR(LEFT(R207,FIND("(",R207,1)-1),R207)</f>
        <v>DDm125-33</v>
      </c>
    </row>
    <row r="208" spans="1:53">
      <c r="A208" s="35" t="s">
        <v>224</v>
      </c>
      <c r="B208" s="35" t="s">
        <v>1607</v>
      </c>
      <c r="C208" s="35" t="s">
        <v>1891</v>
      </c>
      <c r="D208" s="35" t="s">
        <v>1563</v>
      </c>
      <c r="E208" s="35" t="s">
        <v>1481</v>
      </c>
      <c r="F208" s="35" t="s">
        <v>1570</v>
      </c>
      <c r="G208" s="105">
        <v>36.6</v>
      </c>
      <c r="H208" s="105">
        <v>35</v>
      </c>
      <c r="I208" s="105">
        <v>621</v>
      </c>
      <c r="J208" s="105">
        <v>33.844499999999996</v>
      </c>
      <c r="K208" s="106">
        <v>45264</v>
      </c>
      <c r="L208" s="105">
        <v>54.255839999999999</v>
      </c>
      <c r="M208" s="105">
        <v>20.411339999999999</v>
      </c>
      <c r="N208" s="105">
        <v>35.119799999999998</v>
      </c>
      <c r="O208" s="105">
        <v>1.2753000000000001</v>
      </c>
      <c r="P208" s="35" t="s">
        <v>1571</v>
      </c>
      <c r="Q208" s="35" t="s">
        <v>1581</v>
      </c>
      <c r="R208" s="35" t="s">
        <v>1592</v>
      </c>
      <c r="S208" s="105">
        <v>53.330399999999997</v>
      </c>
      <c r="T208" s="105">
        <v>19.485900000000001</v>
      </c>
      <c r="U208" s="35" t="s">
        <v>1591</v>
      </c>
      <c r="V208" s="35" t="s">
        <v>1781</v>
      </c>
      <c r="W208" s="105">
        <v>63</v>
      </c>
      <c r="X208" s="105">
        <v>29.1555</v>
      </c>
      <c r="Y208" s="105">
        <v>13</v>
      </c>
      <c r="Z208" s="35" t="s">
        <v>1798</v>
      </c>
      <c r="AA208">
        <f>VLOOKUP(A208,Cover!A:R,18,0)</f>
        <v>3.5</v>
      </c>
      <c r="AB208" s="77">
        <f t="shared" si="119"/>
        <v>16.911339999999999</v>
      </c>
      <c r="AC208" s="77">
        <f t="shared" si="120"/>
        <v>-2.2246999999999999</v>
      </c>
      <c r="AD208" s="77">
        <f t="shared" si="121"/>
        <v>31.169621555946787</v>
      </c>
      <c r="AE208" s="77">
        <f t="shared" si="122"/>
        <v>-6.3346032722282022</v>
      </c>
      <c r="AF208" s="77">
        <f t="shared" si="123"/>
        <v>15.985900000000001</v>
      </c>
      <c r="AG208" s="77">
        <f t="shared" si="124"/>
        <v>29.975211136612515</v>
      </c>
      <c r="AH208" s="77">
        <f t="shared" si="125"/>
        <v>63</v>
      </c>
      <c r="AI208" s="77">
        <f t="shared" si="126"/>
        <v>33.844499999999996</v>
      </c>
      <c r="AJ208" s="77">
        <f t="shared" si="127"/>
        <v>29.155500000000004</v>
      </c>
      <c r="AK208" s="77">
        <f t="shared" si="128"/>
        <v>3.5</v>
      </c>
      <c r="AL208" s="77">
        <f t="shared" si="129"/>
        <v>25.655500000000004</v>
      </c>
      <c r="AM208" s="77">
        <f t="shared" si="130"/>
        <v>40.723015873015875</v>
      </c>
      <c r="AN208" t="s">
        <v>1563</v>
      </c>
      <c r="AO208" t="s">
        <v>1577</v>
      </c>
      <c r="AP208" t="str">
        <f t="shared" si="155"/>
        <v>DDm125-33</v>
      </c>
      <c r="AQ208">
        <f>_xlfn.XLOOKUP(A208,'SYS Allocations'!A:A,'SYS Allocations'!B:B)</f>
        <v>0</v>
      </c>
      <c r="AR208">
        <f>_xlfn.XLOOKUP(A208,'SYS Allocations'!A:A,'SYS Allocations'!C:C)</f>
        <v>0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56"/>
        <v>DDm125-33</v>
      </c>
    </row>
    <row r="209" spans="1:53">
      <c r="A209" s="35" t="s">
        <v>225</v>
      </c>
      <c r="B209" s="35" t="s">
        <v>1590</v>
      </c>
      <c r="C209" s="35" t="s">
        <v>1590</v>
      </c>
      <c r="D209" s="35" t="s">
        <v>1563</v>
      </c>
      <c r="E209" s="35" t="s">
        <v>878</v>
      </c>
      <c r="F209" s="35" t="s">
        <v>1580</v>
      </c>
      <c r="G209" s="105">
        <v>75</v>
      </c>
      <c r="H209" s="105">
        <v>18</v>
      </c>
      <c r="I209" s="105">
        <v>570</v>
      </c>
      <c r="J209" s="105">
        <v>31.065000000000001</v>
      </c>
      <c r="K209" s="106">
        <v>44643.354166666701</v>
      </c>
      <c r="L209" s="105">
        <v>55.59</v>
      </c>
      <c r="M209" s="105">
        <v>24.524999999999999</v>
      </c>
      <c r="N209" s="105">
        <v>48.232500000000002</v>
      </c>
      <c r="O209" s="105">
        <v>17.1675</v>
      </c>
      <c r="P209" s="35" t="s">
        <v>1571</v>
      </c>
      <c r="Q209" s="35" t="s">
        <v>1581</v>
      </c>
      <c r="R209" s="35" t="s">
        <v>1588</v>
      </c>
      <c r="S209" s="105">
        <v>34.279200000000003</v>
      </c>
      <c r="T209" s="105">
        <v>3.2141999999999999</v>
      </c>
      <c r="U209" s="35" t="s">
        <v>1571</v>
      </c>
      <c r="V209" s="35" t="s">
        <v>1892</v>
      </c>
      <c r="W209" s="105">
        <v>105</v>
      </c>
      <c r="X209" s="105">
        <v>73.935000000000002</v>
      </c>
      <c r="Y209" s="105">
        <v>3</v>
      </c>
      <c r="Z209" s="35" t="s">
        <v>8</v>
      </c>
      <c r="AA209">
        <f>VLOOKUP(A209,Cover!A:R,18,0)</f>
        <v>0</v>
      </c>
      <c r="AB209" s="77">
        <f t="shared" si="119"/>
        <v>24.524999999999999</v>
      </c>
      <c r="AC209" s="77">
        <f t="shared" si="120"/>
        <v>17.1675</v>
      </c>
      <c r="AD209" s="77">
        <f t="shared" si="121"/>
        <v>44.117647058823522</v>
      </c>
      <c r="AE209" s="77">
        <f t="shared" si="122"/>
        <v>35.593220338983052</v>
      </c>
      <c r="AF209" s="77">
        <f t="shared" si="123"/>
        <v>3.2141999999999999</v>
      </c>
      <c r="AG209" s="77">
        <f t="shared" si="124"/>
        <v>9.3765315409927865</v>
      </c>
      <c r="AH209" s="77">
        <f t="shared" si="125"/>
        <v>105</v>
      </c>
      <c r="AI209" s="77">
        <f t="shared" si="126"/>
        <v>31.065000000000001</v>
      </c>
      <c r="AJ209" s="77">
        <f t="shared" si="127"/>
        <v>73.935000000000002</v>
      </c>
      <c r="AK209" s="77">
        <f t="shared" si="128"/>
        <v>0</v>
      </c>
      <c r="AL209" s="77">
        <f t="shared" si="129"/>
        <v>73.935000000000002</v>
      </c>
      <c r="AM209" s="77">
        <f t="shared" si="130"/>
        <v>70.414285714285711</v>
      </c>
      <c r="AN209" t="s">
        <v>1563</v>
      </c>
      <c r="AO209" t="s">
        <v>1577</v>
      </c>
      <c r="AP209" t="str">
        <f t="shared" si="155"/>
        <v>DDm100-27</v>
      </c>
      <c r="AQ209">
        <f>_xlfn.XLOOKUP(A209,'SYS Allocations'!A:A,'SYS Allocations'!B:B)</f>
        <v>0</v>
      </c>
      <c r="AR209">
        <f>_xlfn.XLOOKUP(A209,'SYS Allocations'!A:A,'SYS Allocations'!C:C)</f>
        <v>0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56"/>
        <v>DDm100-27</v>
      </c>
    </row>
    <row r="210" spans="1:53">
      <c r="A210" s="35" t="s">
        <v>226</v>
      </c>
      <c r="B210" s="35" t="s">
        <v>1636</v>
      </c>
      <c r="C210" s="35" t="s">
        <v>1893</v>
      </c>
      <c r="D210" s="35" t="s">
        <v>1568</v>
      </c>
      <c r="E210" s="35" t="s">
        <v>1100</v>
      </c>
      <c r="F210" s="35" t="s">
        <v>1699</v>
      </c>
      <c r="G210" s="105">
        <v>60.4</v>
      </c>
      <c r="H210" s="105">
        <v>6</v>
      </c>
      <c r="I210" s="105">
        <v>92</v>
      </c>
      <c r="J210" s="105">
        <v>5.0140000000000002</v>
      </c>
      <c r="K210" s="106">
        <v>45264</v>
      </c>
      <c r="L210" s="105">
        <v>13.167199999999999</v>
      </c>
      <c r="M210" s="105">
        <v>8.1532</v>
      </c>
      <c r="N210" s="105">
        <v>13.189</v>
      </c>
      <c r="O210" s="105">
        <v>8.1750000000000007</v>
      </c>
      <c r="P210" s="35" t="s">
        <v>1574</v>
      </c>
      <c r="Q210" s="35" t="s">
        <v>1581</v>
      </c>
      <c r="R210" s="35" t="s">
        <v>1640</v>
      </c>
      <c r="S210" s="105">
        <v>5.2271999999999998</v>
      </c>
      <c r="T210" s="105">
        <v>0.2132</v>
      </c>
      <c r="U210" s="35" t="s">
        <v>1571</v>
      </c>
      <c r="V210" s="35" t="s">
        <v>1589</v>
      </c>
      <c r="W210" s="105">
        <v>45</v>
      </c>
      <c r="X210" s="105">
        <v>39.985999999999997</v>
      </c>
      <c r="Y210" s="105">
        <v>9</v>
      </c>
      <c r="Z210" s="35" t="s">
        <v>1576</v>
      </c>
      <c r="AA210">
        <f>VLOOKUP(A210,Cover!A:R,18,0)</f>
        <v>0</v>
      </c>
      <c r="AB210" s="77">
        <f t="shared" si="119"/>
        <v>8.1532</v>
      </c>
      <c r="AC210" s="77">
        <f t="shared" si="120"/>
        <v>8.1750000000000007</v>
      </c>
      <c r="AD210" s="77">
        <f t="shared" si="121"/>
        <v>61.920529801324513</v>
      </c>
      <c r="AE210" s="77">
        <f t="shared" si="122"/>
        <v>61.983471074380169</v>
      </c>
      <c r="AF210" s="77">
        <f t="shared" si="123"/>
        <v>0.2132</v>
      </c>
      <c r="AG210" s="77">
        <f t="shared" si="124"/>
        <v>4.0786654423018058</v>
      </c>
      <c r="AH210" s="77">
        <f t="shared" si="125"/>
        <v>45</v>
      </c>
      <c r="AI210" s="77">
        <f t="shared" si="126"/>
        <v>5.0140000000000002</v>
      </c>
      <c r="AJ210" s="77">
        <f t="shared" si="127"/>
        <v>39.985999999999997</v>
      </c>
      <c r="AK210" s="77">
        <f t="shared" si="128"/>
        <v>0</v>
      </c>
      <c r="AL210" s="77">
        <f t="shared" si="129"/>
        <v>39.985999999999997</v>
      </c>
      <c r="AM210" s="77">
        <f t="shared" si="130"/>
        <v>88.85777777777777</v>
      </c>
      <c r="AO210" t="s">
        <v>1577</v>
      </c>
      <c r="AP210" t="str">
        <f t="shared" si="155"/>
        <v>2DDm50-13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56"/>
        <v>2DDm50-13</v>
      </c>
    </row>
    <row r="211" spans="1:53">
      <c r="A211" s="35" t="s">
        <v>227</v>
      </c>
      <c r="B211" s="35" t="s">
        <v>1620</v>
      </c>
      <c r="C211" s="35" t="s">
        <v>1894</v>
      </c>
      <c r="D211" s="35" t="s">
        <v>1568</v>
      </c>
      <c r="E211" s="35" t="s">
        <v>1032</v>
      </c>
      <c r="F211" s="35" t="s">
        <v>1665</v>
      </c>
      <c r="G211" s="105">
        <v>55</v>
      </c>
      <c r="H211" s="105">
        <v>15</v>
      </c>
      <c r="I211" s="105">
        <v>262</v>
      </c>
      <c r="J211" s="105">
        <v>14.279</v>
      </c>
      <c r="K211" s="106">
        <v>45264</v>
      </c>
      <c r="L211" s="105">
        <v>33.572000000000003</v>
      </c>
      <c r="M211" s="105">
        <v>19.292999999999999</v>
      </c>
      <c r="N211" s="105">
        <v>20.164999999999999</v>
      </c>
      <c r="O211" s="105">
        <v>5.8860000000000001</v>
      </c>
      <c r="P211" s="35" t="s">
        <v>1574</v>
      </c>
      <c r="Q211" s="35" t="s">
        <v>1581</v>
      </c>
      <c r="R211" s="35" t="s">
        <v>1592</v>
      </c>
      <c r="S211" s="105">
        <v>35.553600000000003</v>
      </c>
      <c r="T211" s="105">
        <v>21.2746</v>
      </c>
      <c r="U211" s="35" t="s">
        <v>1571</v>
      </c>
      <c r="V211" s="35" t="s">
        <v>1589</v>
      </c>
      <c r="W211" s="105">
        <v>45</v>
      </c>
      <c r="X211" s="105">
        <v>30.721</v>
      </c>
      <c r="Y211" s="105">
        <v>38</v>
      </c>
      <c r="Z211" s="35" t="s">
        <v>1576</v>
      </c>
      <c r="AA211">
        <f>VLOOKUP(A211,Cover!A:R,18,0)</f>
        <v>2</v>
      </c>
      <c r="AB211" s="77">
        <f t="shared" ref="AB211:AB265" si="157">M211-AA211</f>
        <v>17.292999999999999</v>
      </c>
      <c r="AC211" s="77">
        <f t="shared" ref="AC211:AC265" si="158">O211-AA211</f>
        <v>3.8860000000000001</v>
      </c>
      <c r="AD211" s="77">
        <f t="shared" ref="AD211:AD265" si="159">AB211/L211%</f>
        <v>51.510187060645769</v>
      </c>
      <c r="AE211" s="77">
        <f t="shared" ref="AE211:AE265" si="160">AC211/N211%</f>
        <v>19.271014133399454</v>
      </c>
      <c r="AF211" s="77">
        <f t="shared" ref="AF211:AF265" si="161">T211-AA211</f>
        <v>19.2746</v>
      </c>
      <c r="AG211" s="77">
        <f t="shared" ref="AG211:AG265" si="162">AF211/S211%</f>
        <v>54.212794203681199</v>
      </c>
      <c r="AH211" s="77">
        <f t="shared" ref="AH211:AH265" si="163">W211</f>
        <v>45</v>
      </c>
      <c r="AI211" s="77">
        <f t="shared" ref="AI211:AI265" si="164">J211</f>
        <v>14.279</v>
      </c>
      <c r="AJ211" s="77">
        <f t="shared" ref="AJ211:AJ265" si="165">AH211-AI211</f>
        <v>30.721</v>
      </c>
      <c r="AK211" s="77">
        <f t="shared" ref="AK211:AK265" si="166">AA211</f>
        <v>2</v>
      </c>
      <c r="AL211" s="77">
        <f t="shared" ref="AL211:AL265" si="167">AJ211-AK211</f>
        <v>28.721</v>
      </c>
      <c r="AM211" s="77">
        <f t="shared" ref="AM211:AM265" si="168">AL211/AH211%</f>
        <v>63.824444444444445</v>
      </c>
      <c r="AO211" t="s">
        <v>1577</v>
      </c>
      <c r="AP211" t="str">
        <f t="shared" si="155"/>
        <v>DDm125-33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56"/>
        <v>DDm125-33</v>
      </c>
    </row>
    <row r="212" spans="1:53">
      <c r="A212" s="35" t="s">
        <v>228</v>
      </c>
      <c r="B212" s="35" t="s">
        <v>1566</v>
      </c>
      <c r="C212" s="35" t="s">
        <v>1895</v>
      </c>
      <c r="D212" s="35" t="s">
        <v>1568</v>
      </c>
      <c r="E212" s="35" t="s">
        <v>1295</v>
      </c>
      <c r="F212" s="35" t="s">
        <v>1570</v>
      </c>
      <c r="G212" s="105">
        <v>36.6</v>
      </c>
      <c r="H212" s="105">
        <v>10</v>
      </c>
      <c r="I212" s="105">
        <v>130</v>
      </c>
      <c r="J212" s="105">
        <v>7.085</v>
      </c>
      <c r="K212" s="106">
        <v>44231</v>
      </c>
      <c r="L212" s="105">
        <v>14.361840000000001</v>
      </c>
      <c r="M212" s="105">
        <v>7.27684</v>
      </c>
      <c r="N212" s="105">
        <v>8.6873000000000005</v>
      </c>
      <c r="O212" s="105">
        <v>1.6023000000000001</v>
      </c>
      <c r="P212" s="35" t="s">
        <v>1574</v>
      </c>
      <c r="Q212" s="35" t="s">
        <v>1581</v>
      </c>
      <c r="R212" s="35" t="s">
        <v>1763</v>
      </c>
      <c r="S212" s="105">
        <v>14.428800000000001</v>
      </c>
      <c r="T212" s="105">
        <v>7.3437999999999999</v>
      </c>
      <c r="U212" s="35" t="s">
        <v>1571</v>
      </c>
      <c r="V212" s="35" t="s">
        <v>1751</v>
      </c>
      <c r="W212" s="105">
        <v>19.5</v>
      </c>
      <c r="X212" s="105">
        <v>12.414999999999999</v>
      </c>
      <c r="Y212" s="105">
        <v>30</v>
      </c>
      <c r="Z212" s="35" t="s">
        <v>1576</v>
      </c>
      <c r="AA212">
        <f>VLOOKUP(A212,Cover!A:R,18,0)</f>
        <v>2</v>
      </c>
      <c r="AB212" s="77">
        <f t="shared" si="157"/>
        <v>5.27684</v>
      </c>
      <c r="AC212" s="77">
        <f t="shared" si="158"/>
        <v>-0.39769999999999994</v>
      </c>
      <c r="AD212" s="77">
        <f t="shared" si="159"/>
        <v>36.742088757429407</v>
      </c>
      <c r="AE212" s="77">
        <f t="shared" si="160"/>
        <v>-4.577947118207037</v>
      </c>
      <c r="AF212" s="77">
        <f t="shared" si="161"/>
        <v>5.3437999999999999</v>
      </c>
      <c r="AG212" s="77">
        <f t="shared" si="162"/>
        <v>37.035650920381457</v>
      </c>
      <c r="AH212" s="77">
        <f t="shared" si="163"/>
        <v>19.5</v>
      </c>
      <c r="AI212" s="77">
        <f t="shared" si="164"/>
        <v>7.085</v>
      </c>
      <c r="AJ212" s="77">
        <f t="shared" si="165"/>
        <v>12.414999999999999</v>
      </c>
      <c r="AK212" s="77">
        <f t="shared" si="166"/>
        <v>2</v>
      </c>
      <c r="AL212" s="77">
        <f t="shared" si="167"/>
        <v>10.414999999999999</v>
      </c>
      <c r="AM212" s="77">
        <f t="shared" si="168"/>
        <v>53.410256410256402</v>
      </c>
      <c r="AO212" t="s">
        <v>1577</v>
      </c>
      <c r="AP212" t="str">
        <f t="shared" si="155"/>
        <v>DDm85-21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56"/>
        <v>DDm85-21</v>
      </c>
    </row>
    <row r="213" spans="1:53">
      <c r="A213" s="35" t="s">
        <v>229</v>
      </c>
      <c r="B213" s="35" t="s">
        <v>1620</v>
      </c>
      <c r="C213" s="35" t="s">
        <v>1896</v>
      </c>
      <c r="D213" s="35" t="s">
        <v>1568</v>
      </c>
      <c r="E213" s="35" t="s">
        <v>1036</v>
      </c>
      <c r="F213" s="35" t="s">
        <v>1570</v>
      </c>
      <c r="G213" s="105">
        <v>36.6</v>
      </c>
      <c r="H213" s="105">
        <v>12</v>
      </c>
      <c r="I213" s="105">
        <v>218</v>
      </c>
      <c r="J213" s="105">
        <v>11.881</v>
      </c>
      <c r="K213" s="106">
        <v>45264</v>
      </c>
      <c r="L213" s="105">
        <v>17.553360000000001</v>
      </c>
      <c r="M213" s="105">
        <v>5.6723600000000003</v>
      </c>
      <c r="N213" s="105">
        <v>8.8617000000000008</v>
      </c>
      <c r="O213" s="107">
        <v>-3.0192999999999999</v>
      </c>
      <c r="P213" s="35" t="s">
        <v>1574</v>
      </c>
      <c r="Q213" s="35" t="s">
        <v>1581</v>
      </c>
      <c r="R213" s="35" t="s">
        <v>1585</v>
      </c>
      <c r="S213" s="105">
        <v>21.1248</v>
      </c>
      <c r="T213" s="105">
        <v>9.2438000000000091</v>
      </c>
      <c r="U213" s="35" t="s">
        <v>1610</v>
      </c>
      <c r="V213" s="35" t="s">
        <v>1897</v>
      </c>
      <c r="W213" s="105">
        <v>18</v>
      </c>
      <c r="X213" s="105">
        <v>6.1189999999999998</v>
      </c>
      <c r="Y213" s="105">
        <v>22</v>
      </c>
      <c r="Z213" s="35" t="s">
        <v>1576</v>
      </c>
      <c r="AA213">
        <f>VLOOKUP(A213,Cover!A:R,18,0)</f>
        <v>1</v>
      </c>
      <c r="AB213" s="77">
        <f t="shared" si="157"/>
        <v>4.6723600000000003</v>
      </c>
      <c r="AC213" s="77">
        <f t="shared" si="158"/>
        <v>-4.0192999999999994</v>
      </c>
      <c r="AD213" s="77">
        <f t="shared" si="159"/>
        <v>26.618037800170452</v>
      </c>
      <c r="AE213" s="77">
        <f t="shared" si="160"/>
        <v>-45.355857228297047</v>
      </c>
      <c r="AF213" s="77">
        <f t="shared" si="161"/>
        <v>8.2438000000000091</v>
      </c>
      <c r="AG213" s="77">
        <f t="shared" si="162"/>
        <v>39.024274786033523</v>
      </c>
      <c r="AH213" s="77">
        <f t="shared" si="163"/>
        <v>18</v>
      </c>
      <c r="AI213" s="77">
        <f t="shared" si="164"/>
        <v>11.881</v>
      </c>
      <c r="AJ213" s="77">
        <f t="shared" si="165"/>
        <v>6.1189999999999998</v>
      </c>
      <c r="AK213" s="77">
        <f t="shared" si="166"/>
        <v>1</v>
      </c>
      <c r="AL213" s="77">
        <f t="shared" si="167"/>
        <v>5.1189999999999998</v>
      </c>
      <c r="AM213" s="77">
        <f t="shared" si="168"/>
        <v>28.43888888888889</v>
      </c>
      <c r="AO213" t="s">
        <v>1577</v>
      </c>
      <c r="AP213" t="str">
        <f t="shared" si="155"/>
        <v>DDm100-25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56"/>
        <v>DDm100-25</v>
      </c>
    </row>
    <row r="214" spans="1:53">
      <c r="A214" s="35" t="s">
        <v>230</v>
      </c>
      <c r="B214" s="35" t="s">
        <v>1590</v>
      </c>
      <c r="C214" s="35" t="s">
        <v>1590</v>
      </c>
      <c r="D214" s="35" t="s">
        <v>1563</v>
      </c>
      <c r="E214" s="35" t="s">
        <v>881</v>
      </c>
      <c r="F214" s="35" t="s">
        <v>1570</v>
      </c>
      <c r="G214" s="105">
        <v>36.6</v>
      </c>
      <c r="H214" s="105">
        <v>29</v>
      </c>
      <c r="I214" s="105">
        <v>225</v>
      </c>
      <c r="J214" s="105">
        <v>12.262499999999999</v>
      </c>
      <c r="K214" s="106">
        <v>45264</v>
      </c>
      <c r="L214" s="105">
        <v>44.681280000000001</v>
      </c>
      <c r="M214" s="105">
        <v>32.418779999999998</v>
      </c>
      <c r="N214" s="105">
        <v>31.326599999999999</v>
      </c>
      <c r="O214" s="105">
        <v>19.0641</v>
      </c>
      <c r="P214" s="35" t="s">
        <v>1571</v>
      </c>
      <c r="Q214" s="35" t="s">
        <v>1581</v>
      </c>
      <c r="R214" s="35" t="s">
        <v>1773</v>
      </c>
      <c r="S214" s="105">
        <v>39.9816</v>
      </c>
      <c r="T214" s="105">
        <v>27.719100000000001</v>
      </c>
      <c r="U214" s="35" t="s">
        <v>1618</v>
      </c>
      <c r="V214" s="35" t="s">
        <v>1898</v>
      </c>
      <c r="W214" s="105">
        <v>187.5</v>
      </c>
      <c r="X214" s="105">
        <v>175.23750000000001</v>
      </c>
      <c r="Y214" s="105">
        <v>104</v>
      </c>
      <c r="Z214" s="35" t="s">
        <v>1899</v>
      </c>
      <c r="AA214">
        <f>VLOOKUP(A214,Cover!A:R,18,0)</f>
        <v>4</v>
      </c>
      <c r="AB214" s="77">
        <f t="shared" si="157"/>
        <v>28.418779999999998</v>
      </c>
      <c r="AC214" s="77">
        <f t="shared" si="158"/>
        <v>15.0641</v>
      </c>
      <c r="AD214" s="77">
        <f t="shared" si="159"/>
        <v>63.603325598550441</v>
      </c>
      <c r="AE214" s="77">
        <f t="shared" si="160"/>
        <v>48.087248536387605</v>
      </c>
      <c r="AF214" s="77">
        <f t="shared" si="161"/>
        <v>23.719100000000001</v>
      </c>
      <c r="AG214" s="77">
        <f t="shared" si="162"/>
        <v>59.325039518178365</v>
      </c>
      <c r="AH214" s="346">
        <f>AVERAGE(W214:W216)</f>
        <v>187.5</v>
      </c>
      <c r="AI214" s="346">
        <f>SUM(J214:J216)</f>
        <v>98.426999999999992</v>
      </c>
      <c r="AJ214" s="346">
        <f t="shared" si="165"/>
        <v>89.073000000000008</v>
      </c>
      <c r="AK214" s="346">
        <f t="shared" si="166"/>
        <v>4</v>
      </c>
      <c r="AL214" s="346">
        <f t="shared" si="167"/>
        <v>85.073000000000008</v>
      </c>
      <c r="AM214" s="345">
        <f t="shared" si="168"/>
        <v>45.372266666666668</v>
      </c>
      <c r="AN214" t="s">
        <v>1563</v>
      </c>
      <c r="AO214" t="s">
        <v>1577</v>
      </c>
      <c r="AP214" t="str">
        <f t="shared" si="155"/>
        <v>DDm125-25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56"/>
        <v>DDm125-25</v>
      </c>
    </row>
    <row r="215" spans="1:53">
      <c r="A215" s="35" t="s">
        <v>231</v>
      </c>
      <c r="B215" s="35" t="s">
        <v>1590</v>
      </c>
      <c r="C215" s="35" t="s">
        <v>1590</v>
      </c>
      <c r="D215" s="35" t="s">
        <v>1563</v>
      </c>
      <c r="E215" s="35" t="s">
        <v>881</v>
      </c>
      <c r="F215" s="35" t="s">
        <v>1570</v>
      </c>
      <c r="G215" s="105">
        <v>36.6</v>
      </c>
      <c r="H215" s="105">
        <v>45</v>
      </c>
      <c r="I215" s="105">
        <v>797</v>
      </c>
      <c r="J215" s="105">
        <v>43.436500000000002</v>
      </c>
      <c r="K215" s="106">
        <v>45264</v>
      </c>
      <c r="L215" s="105">
        <v>70.213440000000006</v>
      </c>
      <c r="M215" s="105">
        <v>26.77694</v>
      </c>
      <c r="N215" s="105">
        <v>52.886800000000001</v>
      </c>
      <c r="O215" s="105">
        <v>9.4503000000000004</v>
      </c>
      <c r="P215" s="35" t="s">
        <v>1586</v>
      </c>
      <c r="Q215" s="35" t="s">
        <v>1581</v>
      </c>
      <c r="R215" s="35" t="s">
        <v>1644</v>
      </c>
      <c r="S215" s="105">
        <v>56.246400000000101</v>
      </c>
      <c r="T215" s="105">
        <v>12.8099000000001</v>
      </c>
      <c r="U215" s="35" t="s">
        <v>1618</v>
      </c>
      <c r="V215" s="35" t="s">
        <v>1898</v>
      </c>
      <c r="W215" s="105">
        <v>187.5</v>
      </c>
      <c r="X215" s="105">
        <v>144.0635</v>
      </c>
      <c r="Y215" s="105">
        <v>104</v>
      </c>
      <c r="Z215" s="35" t="s">
        <v>1899</v>
      </c>
      <c r="AA215">
        <f>VLOOKUP(A215,Cover!A:R,18,0)</f>
        <v>0</v>
      </c>
      <c r="AB215" s="77">
        <f t="shared" si="157"/>
        <v>26.77694</v>
      </c>
      <c r="AC215" s="77">
        <f t="shared" si="158"/>
        <v>9.4503000000000004</v>
      </c>
      <c r="AD215" s="77">
        <f t="shared" si="159"/>
        <v>38.136487829110777</v>
      </c>
      <c r="AE215" s="77">
        <f t="shared" si="160"/>
        <v>17.868920032976092</v>
      </c>
      <c r="AF215" s="77">
        <f t="shared" si="161"/>
        <v>12.8099000000001</v>
      </c>
      <c r="AG215" s="77">
        <f t="shared" si="162"/>
        <v>22.774613130796066</v>
      </c>
      <c r="AH215" s="346"/>
      <c r="AI215" s="346"/>
      <c r="AJ215" s="346"/>
      <c r="AK215" s="346"/>
      <c r="AL215" s="346"/>
      <c r="AM215" s="345"/>
      <c r="AN215" t="s">
        <v>1563</v>
      </c>
      <c r="AO215" t="s">
        <v>1577</v>
      </c>
      <c r="AP215" t="str">
        <f t="shared" si="155"/>
        <v>DDm100-33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56"/>
        <v>DDm100-33</v>
      </c>
    </row>
    <row r="216" spans="1:53">
      <c r="A216" s="35" t="s">
        <v>232</v>
      </c>
      <c r="B216" s="35" t="s">
        <v>1590</v>
      </c>
      <c r="C216" s="35" t="s">
        <v>1590</v>
      </c>
      <c r="D216" s="35" t="s">
        <v>1563</v>
      </c>
      <c r="E216" s="35" t="s">
        <v>881</v>
      </c>
      <c r="F216" s="35" t="s">
        <v>1570</v>
      </c>
      <c r="G216" s="105">
        <v>36.6</v>
      </c>
      <c r="H216" s="105">
        <v>63</v>
      </c>
      <c r="I216" s="105">
        <v>784</v>
      </c>
      <c r="J216" s="105">
        <v>42.728000000000002</v>
      </c>
      <c r="K216" s="106">
        <v>45264</v>
      </c>
      <c r="L216" s="105">
        <v>98.937119999999993</v>
      </c>
      <c r="M216" s="105">
        <v>56.209119999999999</v>
      </c>
      <c r="N216" s="105">
        <v>90.971400000000003</v>
      </c>
      <c r="O216" s="105">
        <v>48.243400000000001</v>
      </c>
      <c r="P216" s="35" t="s">
        <v>1571</v>
      </c>
      <c r="Q216" s="35" t="s">
        <v>1581</v>
      </c>
      <c r="R216" s="35" t="s">
        <v>1592</v>
      </c>
      <c r="S216" s="105">
        <v>53.330399999999997</v>
      </c>
      <c r="T216" s="105">
        <v>10.602399999999999</v>
      </c>
      <c r="U216" s="35" t="s">
        <v>1618</v>
      </c>
      <c r="V216" s="35" t="s">
        <v>1898</v>
      </c>
      <c r="W216" s="105">
        <v>187.5</v>
      </c>
      <c r="X216" s="105">
        <v>144.77199999999999</v>
      </c>
      <c r="Y216" s="105">
        <v>104</v>
      </c>
      <c r="Z216" s="35" t="s">
        <v>1899</v>
      </c>
      <c r="AA216">
        <f>VLOOKUP(A216,Cover!A:R,18,0)</f>
        <v>0</v>
      </c>
      <c r="AB216" s="77">
        <f t="shared" si="157"/>
        <v>56.209119999999999</v>
      </c>
      <c r="AC216" s="77">
        <f t="shared" si="158"/>
        <v>48.243400000000001</v>
      </c>
      <c r="AD216" s="77">
        <f t="shared" si="159"/>
        <v>56.812973735237094</v>
      </c>
      <c r="AE216" s="77">
        <f t="shared" si="160"/>
        <v>53.031392283728735</v>
      </c>
      <c r="AF216" s="77">
        <f t="shared" si="161"/>
        <v>10.602399999999999</v>
      </c>
      <c r="AG216" s="77">
        <f t="shared" si="162"/>
        <v>19.880593432638793</v>
      </c>
      <c r="AH216" s="346"/>
      <c r="AI216" s="346"/>
      <c r="AJ216" s="346"/>
      <c r="AK216" s="346"/>
      <c r="AL216" s="346"/>
      <c r="AM216" s="345"/>
      <c r="AN216" t="s">
        <v>1563</v>
      </c>
      <c r="AO216" t="s">
        <v>1577</v>
      </c>
      <c r="AP216" t="str">
        <f t="shared" si="155"/>
        <v>DDm125-33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56"/>
        <v>DDm125-33</v>
      </c>
    </row>
    <row r="217" spans="1:53">
      <c r="A217" s="35" t="s">
        <v>233</v>
      </c>
      <c r="B217" s="35" t="s">
        <v>1590</v>
      </c>
      <c r="C217" s="35" t="s">
        <v>1590</v>
      </c>
      <c r="D217" s="35" t="s">
        <v>1563</v>
      </c>
      <c r="E217" s="35" t="s">
        <v>892</v>
      </c>
      <c r="F217" s="35" t="s">
        <v>1570</v>
      </c>
      <c r="G217" s="105">
        <v>36.6</v>
      </c>
      <c r="H217" s="105">
        <v>63</v>
      </c>
      <c r="I217" s="105">
        <v>855</v>
      </c>
      <c r="J217" s="105">
        <v>46.597499999999997</v>
      </c>
      <c r="K217" s="106">
        <v>45264</v>
      </c>
      <c r="L217" s="105">
        <v>98.937119999999993</v>
      </c>
      <c r="M217" s="105">
        <v>52.339619999999996</v>
      </c>
      <c r="N217" s="105">
        <v>79.390150000000006</v>
      </c>
      <c r="O217" s="105">
        <v>32.792650000000002</v>
      </c>
      <c r="P217" s="35" t="s">
        <v>1610</v>
      </c>
      <c r="Q217" s="35" t="s">
        <v>1581</v>
      </c>
      <c r="R217" s="35" t="s">
        <v>1764</v>
      </c>
      <c r="S217" s="105">
        <v>72.144000000000005</v>
      </c>
      <c r="T217" s="105">
        <v>25.546500000000002</v>
      </c>
      <c r="U217" s="35" t="s">
        <v>1622</v>
      </c>
      <c r="V217" s="35" t="s">
        <v>1900</v>
      </c>
      <c r="W217" s="105">
        <v>373.5</v>
      </c>
      <c r="X217" s="105">
        <v>326.90249999999997</v>
      </c>
      <c r="Y217" s="105">
        <v>94</v>
      </c>
      <c r="Z217" s="35" t="s">
        <v>1899</v>
      </c>
      <c r="AA217">
        <f>VLOOKUP(A217,Cover!A:R,18,0)</f>
        <v>15.05</v>
      </c>
      <c r="AB217" s="77">
        <f t="shared" si="157"/>
        <v>37.289619999999999</v>
      </c>
      <c r="AC217" s="77">
        <f t="shared" si="158"/>
        <v>17.742650000000001</v>
      </c>
      <c r="AD217" s="77">
        <f t="shared" si="159"/>
        <v>37.690221829784413</v>
      </c>
      <c r="AE217" s="77">
        <f t="shared" si="160"/>
        <v>22.348679275703599</v>
      </c>
      <c r="AF217" s="77">
        <f t="shared" si="161"/>
        <v>10.496500000000001</v>
      </c>
      <c r="AG217" s="77">
        <f t="shared" si="162"/>
        <v>14.549373475271679</v>
      </c>
      <c r="AH217" s="346">
        <f>AVERAGE(W217:W220)</f>
        <v>373.5</v>
      </c>
      <c r="AI217" s="346">
        <f>SUM(J217:J220)</f>
        <v>187.7525</v>
      </c>
      <c r="AJ217" s="346">
        <f t="shared" si="165"/>
        <v>185.7475</v>
      </c>
      <c r="AK217" s="346">
        <f>SUM(AA217:AA220)</f>
        <v>35.6</v>
      </c>
      <c r="AL217" s="346">
        <f t="shared" si="167"/>
        <v>150.14750000000001</v>
      </c>
      <c r="AM217" s="345">
        <f t="shared" si="168"/>
        <v>40.200133868808571</v>
      </c>
      <c r="AN217" t="s">
        <v>1563</v>
      </c>
      <c r="AO217" s="52" t="s">
        <v>1634</v>
      </c>
      <c r="AP217" t="str">
        <f t="shared" si="155"/>
        <v>DDm125-27</v>
      </c>
      <c r="AQ217" t="str">
        <f>_xlfn.XLOOKUP(A217,'SYS Allocations'!A:A,'SYS Allocations'!B:B)</f>
        <v>P-Core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56"/>
        <v>DDm125-27</v>
      </c>
    </row>
    <row r="218" spans="1:53">
      <c r="A218" s="35" t="s">
        <v>234</v>
      </c>
      <c r="B218" s="35" t="s">
        <v>1590</v>
      </c>
      <c r="C218" s="35" t="s">
        <v>1590</v>
      </c>
      <c r="D218" s="35" t="s">
        <v>1563</v>
      </c>
      <c r="E218" s="35" t="s">
        <v>892</v>
      </c>
      <c r="F218" s="35" t="s">
        <v>1570</v>
      </c>
      <c r="G218" s="105">
        <v>36.6</v>
      </c>
      <c r="H218" s="105">
        <v>64</v>
      </c>
      <c r="I218" s="105">
        <v>736</v>
      </c>
      <c r="J218" s="105">
        <v>40.112000000000002</v>
      </c>
      <c r="K218" s="106">
        <v>45264</v>
      </c>
      <c r="L218" s="105">
        <v>100.53288000000001</v>
      </c>
      <c r="M218" s="105">
        <v>60.420879999999997</v>
      </c>
      <c r="N218" s="105">
        <v>71.1661</v>
      </c>
      <c r="O218" s="105">
        <v>31.054099999999998</v>
      </c>
      <c r="P218" s="35" t="s">
        <v>1610</v>
      </c>
      <c r="Q218" s="35" t="s">
        <v>1581</v>
      </c>
      <c r="R218" s="35" t="s">
        <v>1592</v>
      </c>
      <c r="S218" s="105">
        <v>88.884000000000199</v>
      </c>
      <c r="T218" s="105">
        <v>48.772000000000197</v>
      </c>
      <c r="U218" s="35" t="s">
        <v>1622</v>
      </c>
      <c r="V218" s="35" t="s">
        <v>1900</v>
      </c>
      <c r="W218" s="105">
        <v>373.5</v>
      </c>
      <c r="X218" s="105">
        <v>333.38799999999998</v>
      </c>
      <c r="Y218" s="105">
        <v>94</v>
      </c>
      <c r="Z218" s="35" t="s">
        <v>1899</v>
      </c>
      <c r="AA218">
        <f>VLOOKUP(A218,Cover!A:R,18,0)</f>
        <v>14.549999999999999</v>
      </c>
      <c r="AB218" s="77">
        <f t="shared" si="157"/>
        <v>45.87088</v>
      </c>
      <c r="AC218" s="77">
        <f t="shared" si="158"/>
        <v>16.504100000000001</v>
      </c>
      <c r="AD218" s="77">
        <f t="shared" si="159"/>
        <v>45.62773890492344</v>
      </c>
      <c r="AE218" s="77">
        <f t="shared" si="160"/>
        <v>23.19095749240158</v>
      </c>
      <c r="AF218" s="77">
        <f t="shared" si="161"/>
        <v>34.2220000000002</v>
      </c>
      <c r="AG218" s="77">
        <f t="shared" si="162"/>
        <v>38.501867602718292</v>
      </c>
      <c r="AH218" s="346"/>
      <c r="AI218" s="346"/>
      <c r="AJ218" s="346"/>
      <c r="AK218" s="346"/>
      <c r="AL218" s="346"/>
      <c r="AM218" s="345"/>
      <c r="AN218" t="s">
        <v>1563</v>
      </c>
      <c r="AO218" s="52" t="s">
        <v>1634</v>
      </c>
      <c r="AP218" t="str">
        <f t="shared" si="155"/>
        <v>DDm125-33</v>
      </c>
      <c r="AQ218" t="str">
        <f>_xlfn.XLOOKUP(A218,'SYS Allocations'!A:A,'SYS Allocations'!B:B)</f>
        <v>P-Core</v>
      </c>
      <c r="AR218" t="str">
        <f>_xlfn.XLOOKUP(A218,'SYS Allocations'!A:A,'SYS Allocations'!C:C)</f>
        <v>RA</v>
      </c>
      <c r="AS218" t="str">
        <f>_xlfn.XLOOKUP(A218,'SYS Allocations'!A:A,'SYS Allocations'!D:D)</f>
        <v>PX</v>
      </c>
      <c r="AT218">
        <f>_xlfn.XLOOKUP(A218,'SYS Allocations'!A:A,'SYS Allocations'!E:E)</f>
        <v>0</v>
      </c>
      <c r="AU218" t="str">
        <f>_xlfn.XLOOKUP(A218,'SYS Allocations'!A:A,'SYS Allocations'!F:F)</f>
        <v>OPEX</v>
      </c>
      <c r="BA218" t="str">
        <f t="shared" si="156"/>
        <v>DDm125-33</v>
      </c>
    </row>
    <row r="219" spans="1:53">
      <c r="A219" s="35" t="s">
        <v>235</v>
      </c>
      <c r="B219" s="35" t="s">
        <v>1590</v>
      </c>
      <c r="C219" s="35" t="s">
        <v>1590</v>
      </c>
      <c r="D219" s="35" t="s">
        <v>1563</v>
      </c>
      <c r="E219" s="35" t="s">
        <v>892</v>
      </c>
      <c r="F219" s="35" t="s">
        <v>1570</v>
      </c>
      <c r="G219" s="105">
        <v>36.6</v>
      </c>
      <c r="H219" s="105">
        <v>62</v>
      </c>
      <c r="I219" s="105">
        <v>1209</v>
      </c>
      <c r="J219" s="105">
        <v>65.890500000000003</v>
      </c>
      <c r="K219" s="106">
        <v>45264</v>
      </c>
      <c r="L219" s="105">
        <v>97.341359999999995</v>
      </c>
      <c r="M219" s="105">
        <v>31.450859999999999</v>
      </c>
      <c r="N219" s="105">
        <v>78.076700000000002</v>
      </c>
      <c r="O219" s="105">
        <v>12.186199999999999</v>
      </c>
      <c r="P219" s="35" t="s">
        <v>1586</v>
      </c>
      <c r="Q219" s="35" t="s">
        <v>1581</v>
      </c>
      <c r="R219" s="35" t="s">
        <v>1592</v>
      </c>
      <c r="S219" s="105">
        <v>71.107200000000205</v>
      </c>
      <c r="T219" s="105">
        <v>5.2167000000002197</v>
      </c>
      <c r="U219" s="35" t="s">
        <v>1622</v>
      </c>
      <c r="V219" s="35" t="s">
        <v>1900</v>
      </c>
      <c r="W219" s="105">
        <v>373.5</v>
      </c>
      <c r="X219" s="105">
        <v>307.60950000000003</v>
      </c>
      <c r="Y219" s="105">
        <v>94</v>
      </c>
      <c r="Z219" s="35" t="s">
        <v>1899</v>
      </c>
      <c r="AA219">
        <f>VLOOKUP(A219,Cover!A:R,18,0)</f>
        <v>1</v>
      </c>
      <c r="AB219" s="77">
        <f t="shared" si="157"/>
        <v>30.450859999999999</v>
      </c>
      <c r="AC219" s="77">
        <f t="shared" si="158"/>
        <v>11.186199999999999</v>
      </c>
      <c r="AD219" s="77">
        <f t="shared" si="159"/>
        <v>31.282550397898692</v>
      </c>
      <c r="AE219" s="77">
        <f t="shared" si="160"/>
        <v>14.327193644198589</v>
      </c>
      <c r="AF219" s="77">
        <f t="shared" si="161"/>
        <v>4.2167000000002197</v>
      </c>
      <c r="AG219" s="77">
        <f t="shared" si="162"/>
        <v>5.9300605283293502</v>
      </c>
      <c r="AH219" s="346"/>
      <c r="AI219" s="346"/>
      <c r="AJ219" s="346"/>
      <c r="AK219" s="346"/>
      <c r="AL219" s="346"/>
      <c r="AM219" s="345"/>
      <c r="AN219" t="s">
        <v>1563</v>
      </c>
      <c r="AO219" t="s">
        <v>1577</v>
      </c>
      <c r="AP219" t="str">
        <f t="shared" si="155"/>
        <v>DDm125-33</v>
      </c>
      <c r="AQ219" t="str">
        <f>_xlfn.XLOOKUP(A219,'SYS Allocations'!A:A,'SYS Allocations'!B:B)</f>
        <v>P-Core</v>
      </c>
      <c r="AR219">
        <f>_xlfn.XLOOKUP(A219,'SYS Allocations'!A:A,'SYS Allocations'!C:C)</f>
        <v>0</v>
      </c>
      <c r="AS219">
        <f>_xlfn.XLOOKUP(A219,'SYS Allocations'!A:A,'SYS Allocations'!D:D)</f>
        <v>0</v>
      </c>
      <c r="AT219">
        <f>_xlfn.XLOOKUP(A219,'SYS Allocations'!A:A,'SYS Allocations'!E:E)</f>
        <v>0</v>
      </c>
      <c r="AU219">
        <f>_xlfn.XLOOKUP(A219,'SYS Allocations'!A:A,'SYS Allocations'!F:F)</f>
        <v>0</v>
      </c>
      <c r="BA219" t="str">
        <f t="shared" si="156"/>
        <v>DDm125-33</v>
      </c>
    </row>
    <row r="220" spans="1:53">
      <c r="A220" s="35" t="s">
        <v>236</v>
      </c>
      <c r="B220" s="35" t="s">
        <v>1590</v>
      </c>
      <c r="C220" s="35" t="s">
        <v>1590</v>
      </c>
      <c r="D220" s="35" t="s">
        <v>1563</v>
      </c>
      <c r="E220" s="35" t="s">
        <v>892</v>
      </c>
      <c r="F220" s="35" t="s">
        <v>1570</v>
      </c>
      <c r="G220" s="105">
        <v>36.6</v>
      </c>
      <c r="H220" s="105">
        <v>35</v>
      </c>
      <c r="I220" s="105">
        <v>645</v>
      </c>
      <c r="J220" s="105">
        <v>35.152500000000003</v>
      </c>
      <c r="K220" s="106">
        <v>45264</v>
      </c>
      <c r="L220" s="105">
        <v>54.255839999999999</v>
      </c>
      <c r="M220" s="105">
        <v>19.103339999999999</v>
      </c>
      <c r="N220" s="105">
        <v>35.119799999999998</v>
      </c>
      <c r="O220" s="107">
        <v>-3.27000000000012E-2</v>
      </c>
      <c r="P220" s="35" t="s">
        <v>1571</v>
      </c>
      <c r="Q220" s="35" t="s">
        <v>1581</v>
      </c>
      <c r="R220" s="35" t="s">
        <v>1592</v>
      </c>
      <c r="S220" s="105">
        <v>53.330399999999997</v>
      </c>
      <c r="T220" s="105">
        <v>18.177900000000001</v>
      </c>
      <c r="U220" s="35" t="s">
        <v>1622</v>
      </c>
      <c r="V220" s="35" t="s">
        <v>1900</v>
      </c>
      <c r="W220" s="105">
        <v>373.5</v>
      </c>
      <c r="X220" s="105">
        <v>338.34750000000003</v>
      </c>
      <c r="Y220" s="105">
        <v>94</v>
      </c>
      <c r="Z220" s="35" t="s">
        <v>1899</v>
      </c>
      <c r="AA220">
        <f>VLOOKUP(A220,Cover!A:R,18,0)</f>
        <v>5</v>
      </c>
      <c r="AB220" s="77">
        <f t="shared" si="157"/>
        <v>14.103339999999999</v>
      </c>
      <c r="AC220" s="77">
        <f t="shared" si="158"/>
        <v>-5.0327000000000011</v>
      </c>
      <c r="AD220" s="77">
        <f t="shared" si="159"/>
        <v>25.994141828787463</v>
      </c>
      <c r="AE220" s="77">
        <f t="shared" si="160"/>
        <v>-14.330092995973786</v>
      </c>
      <c r="AF220" s="77">
        <f t="shared" si="161"/>
        <v>13.177900000000001</v>
      </c>
      <c r="AG220" s="77">
        <f t="shared" si="162"/>
        <v>24.709921545685013</v>
      </c>
      <c r="AH220" s="346"/>
      <c r="AI220" s="346"/>
      <c r="AJ220" s="346"/>
      <c r="AK220" s="346"/>
      <c r="AL220" s="346"/>
      <c r="AM220" s="345"/>
      <c r="AN220" t="s">
        <v>1563</v>
      </c>
      <c r="AO220" t="s">
        <v>1577</v>
      </c>
      <c r="AP220" t="str">
        <f t="shared" si="155"/>
        <v>DDm125-33</v>
      </c>
      <c r="AQ220" t="str">
        <f>_xlfn.XLOOKUP(A220,'SYS Allocations'!A:A,'SYS Allocations'!B:B)</f>
        <v>P-Core</v>
      </c>
      <c r="AR220">
        <f>_xlfn.XLOOKUP(A220,'SYS Allocations'!A:A,'SYS Allocations'!C:C)</f>
        <v>0</v>
      </c>
      <c r="AS220">
        <f>_xlfn.XLOOKUP(A220,'SYS Allocations'!A:A,'SYS Allocations'!D:D)</f>
        <v>0</v>
      </c>
      <c r="AT220">
        <f>_xlfn.XLOOKUP(A220,'SYS Allocations'!A:A,'SYS Allocations'!E:E)</f>
        <v>0</v>
      </c>
      <c r="AU220">
        <f>_xlfn.XLOOKUP(A220,'SYS Allocations'!A:A,'SYS Allocations'!F:F)</f>
        <v>0</v>
      </c>
      <c r="BA220" t="str">
        <f t="shared" si="156"/>
        <v>DDm125-33</v>
      </c>
    </row>
    <row r="221" spans="1:53">
      <c r="A221" s="35" t="s">
        <v>237</v>
      </c>
      <c r="B221" s="35" t="s">
        <v>1629</v>
      </c>
      <c r="C221" s="35" t="s">
        <v>1901</v>
      </c>
      <c r="D221" s="35" t="s">
        <v>1563</v>
      </c>
      <c r="E221" s="35" t="s">
        <v>1198</v>
      </c>
      <c r="F221" s="35" t="s">
        <v>1570</v>
      </c>
      <c r="G221" s="105">
        <v>36.6</v>
      </c>
      <c r="H221" s="105">
        <v>12</v>
      </c>
      <c r="I221" s="105">
        <v>108</v>
      </c>
      <c r="J221" s="105">
        <v>5.8860000000000001</v>
      </c>
      <c r="K221" s="106">
        <v>45264</v>
      </c>
      <c r="L221" s="105">
        <v>17.553360000000001</v>
      </c>
      <c r="M221" s="105">
        <v>11.66736</v>
      </c>
      <c r="N221" s="105">
        <v>21.1569</v>
      </c>
      <c r="O221" s="105">
        <v>15.270899999999999</v>
      </c>
      <c r="P221" s="35" t="s">
        <v>1571</v>
      </c>
      <c r="Q221" s="35" t="s">
        <v>1599</v>
      </c>
      <c r="R221" s="35" t="s">
        <v>1902</v>
      </c>
      <c r="S221" s="105">
        <v>12.9276</v>
      </c>
      <c r="T221" s="105">
        <v>7.0416000000000203</v>
      </c>
      <c r="U221" s="35" t="s">
        <v>1574</v>
      </c>
      <c r="V221" s="35" t="s">
        <v>1673</v>
      </c>
      <c r="W221" s="105">
        <v>11.25</v>
      </c>
      <c r="X221" s="105">
        <v>5.3639999999999999</v>
      </c>
      <c r="Y221" s="105">
        <v>1</v>
      </c>
      <c r="Z221" s="35" t="s">
        <v>8</v>
      </c>
      <c r="AA221">
        <f>VLOOKUP(A221,Cover!A:R,18,0)</f>
        <v>0</v>
      </c>
      <c r="AB221" s="77">
        <f t="shared" si="157"/>
        <v>11.66736</v>
      </c>
      <c r="AC221" s="77">
        <f t="shared" si="158"/>
        <v>15.270899999999999</v>
      </c>
      <c r="AD221" s="77">
        <f t="shared" si="159"/>
        <v>66.467958271236952</v>
      </c>
      <c r="AE221" s="77">
        <f t="shared" si="160"/>
        <v>72.179289026275114</v>
      </c>
      <c r="AF221" s="77">
        <f t="shared" si="161"/>
        <v>7.0416000000000203</v>
      </c>
      <c r="AG221" s="77">
        <f t="shared" si="162"/>
        <v>54.469507101086208</v>
      </c>
      <c r="AH221" s="77">
        <f t="shared" si="163"/>
        <v>11.25</v>
      </c>
      <c r="AI221" s="77">
        <f t="shared" si="164"/>
        <v>5.8860000000000001</v>
      </c>
      <c r="AJ221" s="77">
        <f t="shared" si="165"/>
        <v>5.3639999999999999</v>
      </c>
      <c r="AK221" s="77">
        <f t="shared" si="166"/>
        <v>0</v>
      </c>
      <c r="AL221" s="77">
        <f t="shared" si="167"/>
        <v>5.3639999999999999</v>
      </c>
      <c r="AM221" s="77">
        <f t="shared" si="168"/>
        <v>47.68</v>
      </c>
      <c r="AN221" t="s">
        <v>1563</v>
      </c>
      <c r="AO221" t="s">
        <v>1577</v>
      </c>
      <c r="AP221" t="str">
        <f t="shared" si="155"/>
        <v>SBS480 EON</v>
      </c>
      <c r="AQ221">
        <f>_xlfn.XLOOKUP(A221,'SYS Allocations'!A:A,'SYS Allocations'!B:B)</f>
        <v>0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56"/>
        <v>SBS480 EON</v>
      </c>
    </row>
    <row r="222" spans="1:53">
      <c r="A222" s="35" t="s">
        <v>238</v>
      </c>
      <c r="B222" s="35" t="s">
        <v>1578</v>
      </c>
      <c r="C222" s="35" t="s">
        <v>1903</v>
      </c>
      <c r="D222" s="35" t="s">
        <v>1568</v>
      </c>
      <c r="E222" s="35" t="s">
        <v>1264</v>
      </c>
      <c r="F222" s="35" t="s">
        <v>1580</v>
      </c>
      <c r="G222" s="105">
        <v>75</v>
      </c>
      <c r="H222" s="105">
        <v>6</v>
      </c>
      <c r="I222" s="105">
        <v>125</v>
      </c>
      <c r="J222" s="105">
        <v>6.8125</v>
      </c>
      <c r="K222" s="106">
        <v>44873</v>
      </c>
      <c r="L222" s="105">
        <v>16.350000000000001</v>
      </c>
      <c r="M222" s="105">
        <v>9.5374999999999996</v>
      </c>
      <c r="N222" s="105">
        <v>13.952</v>
      </c>
      <c r="O222" s="105">
        <v>7.1395</v>
      </c>
      <c r="P222" s="35" t="s">
        <v>1574</v>
      </c>
      <c r="Q222" s="35" t="s">
        <v>1581</v>
      </c>
      <c r="R222" s="35" t="s">
        <v>1609</v>
      </c>
      <c r="S222" s="105">
        <v>10.1088</v>
      </c>
      <c r="T222" s="105">
        <v>3.29629999999998</v>
      </c>
      <c r="U222" s="35" t="s">
        <v>1574</v>
      </c>
      <c r="V222" s="35" t="s">
        <v>1615</v>
      </c>
      <c r="W222" s="105">
        <v>15</v>
      </c>
      <c r="X222" s="105">
        <v>8.1875</v>
      </c>
      <c r="Y222" s="105">
        <v>13</v>
      </c>
      <c r="Z222" s="35" t="s">
        <v>1576</v>
      </c>
      <c r="AA222">
        <f>VLOOKUP(A222,Cover!A:R,18,0)</f>
        <v>3</v>
      </c>
      <c r="AB222" s="77">
        <f t="shared" si="157"/>
        <v>6.5374999999999996</v>
      </c>
      <c r="AC222" s="77">
        <f t="shared" si="158"/>
        <v>4.1395</v>
      </c>
      <c r="AD222" s="77">
        <f t="shared" si="159"/>
        <v>39.984709480122319</v>
      </c>
      <c r="AE222" s="77">
        <f t="shared" si="160"/>
        <v>29.669581422018346</v>
      </c>
      <c r="AF222" s="77">
        <f t="shared" si="161"/>
        <v>0.29629999999998002</v>
      </c>
      <c r="AG222" s="77">
        <f t="shared" si="162"/>
        <v>2.9311095283315525</v>
      </c>
      <c r="AH222" s="77">
        <f t="shared" si="163"/>
        <v>15</v>
      </c>
      <c r="AI222" s="77">
        <f t="shared" si="164"/>
        <v>6.8125</v>
      </c>
      <c r="AJ222" s="77">
        <f t="shared" si="165"/>
        <v>8.1875</v>
      </c>
      <c r="AK222" s="77">
        <f t="shared" si="166"/>
        <v>3</v>
      </c>
      <c r="AL222" s="77">
        <f t="shared" si="167"/>
        <v>5.1875</v>
      </c>
      <c r="AM222" s="77">
        <f t="shared" si="168"/>
        <v>34.583333333333336</v>
      </c>
      <c r="AO222" t="s">
        <v>1577</v>
      </c>
      <c r="AP222" t="str">
        <f t="shared" si="155"/>
        <v>2DDm85-15</v>
      </c>
      <c r="AQ222">
        <f>_xlfn.XLOOKUP(A222,'SYS Allocations'!A:A,'SYS Allocations'!B:B)</f>
        <v>0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56"/>
        <v>2DDm85-15</v>
      </c>
    </row>
    <row r="223" spans="1:53">
      <c r="A223" s="35" t="s">
        <v>239</v>
      </c>
      <c r="B223" s="35" t="s">
        <v>1706</v>
      </c>
      <c r="C223" s="35" t="s">
        <v>1852</v>
      </c>
      <c r="D223" s="35" t="s">
        <v>1568</v>
      </c>
      <c r="E223" s="35" t="s">
        <v>1494</v>
      </c>
      <c r="F223" s="35" t="s">
        <v>1570</v>
      </c>
      <c r="G223" s="105">
        <v>36.6</v>
      </c>
      <c r="H223" s="105">
        <v>10</v>
      </c>
      <c r="I223" s="105">
        <v>174</v>
      </c>
      <c r="J223" s="105">
        <v>9.4830000000000005</v>
      </c>
      <c r="K223" s="106">
        <v>44392.5</v>
      </c>
      <c r="L223" s="105">
        <v>14.361840000000001</v>
      </c>
      <c r="M223" s="105">
        <v>4.8788400000000003</v>
      </c>
      <c r="N223" s="105">
        <v>6.8342999999999998</v>
      </c>
      <c r="O223" s="107">
        <v>-2.6486999999999998</v>
      </c>
      <c r="P223" s="35" t="s">
        <v>1574</v>
      </c>
      <c r="Q223" s="35" t="s">
        <v>1581</v>
      </c>
      <c r="R223" s="35" t="s">
        <v>1582</v>
      </c>
      <c r="S223" s="105">
        <v>17.409600000000001</v>
      </c>
      <c r="T223" s="105">
        <v>7.9265999999999801</v>
      </c>
      <c r="U223" s="35" t="s">
        <v>1574</v>
      </c>
      <c r="V223" s="35" t="s">
        <v>1724</v>
      </c>
      <c r="W223" s="105">
        <v>30</v>
      </c>
      <c r="X223" s="105">
        <v>20.516999999999999</v>
      </c>
      <c r="Y223" s="105">
        <v>5</v>
      </c>
      <c r="Z223" s="35" t="s">
        <v>1576</v>
      </c>
      <c r="AA223">
        <f>VLOOKUP(A223,Cover!A:R,18,0)</f>
        <v>3.4</v>
      </c>
      <c r="AB223" s="77">
        <f t="shared" si="157"/>
        <v>1.4788400000000004</v>
      </c>
      <c r="AC223" s="77">
        <f t="shared" si="158"/>
        <v>-6.0487000000000002</v>
      </c>
      <c r="AD223" s="77">
        <f t="shared" si="159"/>
        <v>10.297009296858901</v>
      </c>
      <c r="AE223" s="77">
        <f t="shared" si="160"/>
        <v>-88.505040750332881</v>
      </c>
      <c r="AF223" s="77">
        <f t="shared" si="161"/>
        <v>4.5265999999999806</v>
      </c>
      <c r="AG223" s="77">
        <f t="shared" si="162"/>
        <v>26.000597371565004</v>
      </c>
      <c r="AH223" s="77">
        <f t="shared" si="163"/>
        <v>30</v>
      </c>
      <c r="AI223" s="77">
        <f t="shared" si="164"/>
        <v>9.4830000000000005</v>
      </c>
      <c r="AJ223" s="77">
        <f t="shared" si="165"/>
        <v>20.516999999999999</v>
      </c>
      <c r="AK223" s="77">
        <f t="shared" si="166"/>
        <v>3.4</v>
      </c>
      <c r="AL223" s="77">
        <f t="shared" si="167"/>
        <v>17.117000000000001</v>
      </c>
      <c r="AM223" s="77">
        <f t="shared" si="168"/>
        <v>57.056666666666672</v>
      </c>
      <c r="AO223" t="s">
        <v>1577</v>
      </c>
      <c r="AP223" t="str">
        <f t="shared" si="155"/>
        <v>DDm85-25</v>
      </c>
      <c r="AQ223">
        <f>_xlfn.XLOOKUP(A223,'SYS Allocations'!A:A,'SYS Allocations'!B:B)</f>
        <v>0</v>
      </c>
      <c r="AR223" t="str">
        <f>_xlfn.XLOOKUP(A223,'SYS Allocations'!A:A,'SYS Allocations'!C:C)</f>
        <v>RA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56"/>
        <v>DDm85-25</v>
      </c>
    </row>
    <row r="224" spans="1:53">
      <c r="A224" s="35" t="s">
        <v>240</v>
      </c>
      <c r="B224" s="35" t="s">
        <v>1620</v>
      </c>
      <c r="C224" s="35" t="s">
        <v>1904</v>
      </c>
      <c r="D224" s="35" t="s">
        <v>1568</v>
      </c>
      <c r="E224" s="35" t="s">
        <v>1174</v>
      </c>
      <c r="F224" s="35" t="s">
        <v>1570</v>
      </c>
      <c r="G224" s="105">
        <v>36.6</v>
      </c>
      <c r="H224" s="105">
        <v>26</v>
      </c>
      <c r="I224" s="105">
        <v>341</v>
      </c>
      <c r="J224" s="105">
        <v>18.584499999999998</v>
      </c>
      <c r="K224" s="106">
        <v>44502.416666666701</v>
      </c>
      <c r="L224" s="105">
        <v>39.893999999999998</v>
      </c>
      <c r="M224" s="105">
        <v>21.3095</v>
      </c>
      <c r="N224" s="105">
        <v>33.648299999999999</v>
      </c>
      <c r="O224" s="105">
        <v>15.063800000000001</v>
      </c>
      <c r="P224" s="35" t="s">
        <v>1574</v>
      </c>
      <c r="Q224" s="35" t="s">
        <v>1626</v>
      </c>
      <c r="R224" s="35" t="s">
        <v>1905</v>
      </c>
      <c r="S224" s="105">
        <v>33.393599999999999</v>
      </c>
      <c r="T224" s="105">
        <v>14.809100000000001</v>
      </c>
      <c r="U224" s="35" t="s">
        <v>1574</v>
      </c>
      <c r="V224" s="35" t="s">
        <v>1906</v>
      </c>
      <c r="W224" s="105">
        <v>45.5625</v>
      </c>
      <c r="X224" s="105">
        <v>26.978000000000002</v>
      </c>
      <c r="Y224" s="105">
        <v>13</v>
      </c>
      <c r="Z224" s="35" t="s">
        <v>1576</v>
      </c>
      <c r="AA224">
        <f>VLOOKUP(A224,Cover!A:R,18,0)</f>
        <v>3</v>
      </c>
      <c r="AB224" s="77">
        <f t="shared" si="157"/>
        <v>18.3095</v>
      </c>
      <c r="AC224" s="77">
        <f t="shared" si="158"/>
        <v>12.063800000000001</v>
      </c>
      <c r="AD224" s="77">
        <f t="shared" si="159"/>
        <v>45.895372737755054</v>
      </c>
      <c r="AE224" s="77">
        <f t="shared" si="160"/>
        <v>35.852628513178978</v>
      </c>
      <c r="AF224" s="77">
        <f t="shared" si="161"/>
        <v>11.809100000000001</v>
      </c>
      <c r="AG224" s="77">
        <f t="shared" si="162"/>
        <v>35.36336303962436</v>
      </c>
      <c r="AH224" s="77">
        <f t="shared" si="163"/>
        <v>45.5625</v>
      </c>
      <c r="AI224" s="77">
        <f t="shared" si="164"/>
        <v>18.584499999999998</v>
      </c>
      <c r="AJ224" s="77">
        <f t="shared" si="165"/>
        <v>26.978000000000002</v>
      </c>
      <c r="AK224" s="77">
        <f t="shared" si="166"/>
        <v>3</v>
      </c>
      <c r="AL224" s="77">
        <f t="shared" si="167"/>
        <v>23.978000000000002</v>
      </c>
      <c r="AM224" s="77">
        <f t="shared" si="168"/>
        <v>52.626611796982168</v>
      </c>
      <c r="AO224" t="s">
        <v>1577</v>
      </c>
      <c r="AP224" t="str">
        <f t="shared" si="155"/>
        <v>2SLA2000</v>
      </c>
      <c r="AQ224">
        <f>_xlfn.XLOOKUP(A224,'SYS Allocations'!A:A,'SYS Allocations'!B:B)</f>
        <v>0</v>
      </c>
      <c r="AR224">
        <f>_xlfn.XLOOKUP(A224,'SYS Allocations'!A:A,'SYS Allocations'!C:C)</f>
        <v>0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56"/>
        <v>2SLA2000</v>
      </c>
    </row>
    <row r="225" spans="1:53">
      <c r="A225" s="35" t="s">
        <v>241</v>
      </c>
      <c r="B225" s="35" t="s">
        <v>1590</v>
      </c>
      <c r="C225" s="35" t="s">
        <v>1590</v>
      </c>
      <c r="D225" s="35" t="s">
        <v>1568</v>
      </c>
      <c r="E225" s="35" t="s">
        <v>906</v>
      </c>
      <c r="F225" s="35" t="s">
        <v>1907</v>
      </c>
      <c r="G225" s="105">
        <v>50</v>
      </c>
      <c r="H225" s="105">
        <v>6</v>
      </c>
      <c r="I225" s="105">
        <v>159</v>
      </c>
      <c r="J225" s="105">
        <v>8.6654999999999998</v>
      </c>
      <c r="K225" s="106">
        <v>44587.444444444402</v>
      </c>
      <c r="L225" s="105">
        <v>10.9</v>
      </c>
      <c r="M225" s="105">
        <v>2.2345000000000002</v>
      </c>
      <c r="N225" s="105">
        <v>6.5944994550000002</v>
      </c>
      <c r="O225" s="107">
        <v>-2.071000545</v>
      </c>
      <c r="P225" s="35" t="s">
        <v>1575</v>
      </c>
      <c r="Q225" s="35" t="s">
        <v>1599</v>
      </c>
      <c r="R225" s="35" t="s">
        <v>1605</v>
      </c>
      <c r="S225" s="105">
        <v>14.04</v>
      </c>
      <c r="T225" s="105">
        <v>5.3745000000000198</v>
      </c>
      <c r="U225" s="35" t="s">
        <v>1586</v>
      </c>
      <c r="V225" s="35" t="s">
        <v>1908</v>
      </c>
      <c r="W225" s="105">
        <v>25.5</v>
      </c>
      <c r="X225" s="105">
        <v>16.834499999999998</v>
      </c>
      <c r="Y225" s="105">
        <v>2</v>
      </c>
      <c r="Z225" s="35" t="s">
        <v>1576</v>
      </c>
      <c r="AA225">
        <f>VLOOKUP(A225,Cover!A:R,18,0)</f>
        <v>1.1000000000000001</v>
      </c>
      <c r="AB225" s="77">
        <f t="shared" si="157"/>
        <v>1.1345000000000001</v>
      </c>
      <c r="AC225" s="77">
        <f t="shared" si="158"/>
        <v>-3.1710005450000001</v>
      </c>
      <c r="AD225" s="77">
        <f t="shared" si="159"/>
        <v>10.408256880733946</v>
      </c>
      <c r="AE225" s="77">
        <f t="shared" si="160"/>
        <v>-48.08553805544291</v>
      </c>
      <c r="AF225" s="77">
        <f t="shared" si="161"/>
        <v>4.2745000000000193</v>
      </c>
      <c r="AG225" s="77">
        <f t="shared" si="162"/>
        <v>30.445156695156832</v>
      </c>
      <c r="AH225" s="346">
        <f>AVERAGE(W225:W228)</f>
        <v>25.5</v>
      </c>
      <c r="AI225" s="346">
        <f>SUM(J225:J228)</f>
        <v>19.919750000000001</v>
      </c>
      <c r="AJ225" s="346">
        <f>AH225-AI225</f>
        <v>5.5802499999999995</v>
      </c>
      <c r="AK225" s="346">
        <f>SUM(AA225:AA228)</f>
        <v>2.2000000000000002</v>
      </c>
      <c r="AL225" s="346">
        <f t="shared" si="167"/>
        <v>3.3802499999999993</v>
      </c>
      <c r="AM225" s="345">
        <f t="shared" si="168"/>
        <v>13.255882352941173</v>
      </c>
      <c r="AN225" t="s">
        <v>1563</v>
      </c>
      <c r="AO225" t="s">
        <v>1577</v>
      </c>
      <c r="AP225" t="str">
        <f t="shared" si="155"/>
        <v>12V155F</v>
      </c>
      <c r="AQ225">
        <f>_xlfn.XLOOKUP(A225,'SYS Allocations'!A:A,'SYS Allocations'!B:B)</f>
        <v>0</v>
      </c>
      <c r="AR225">
        <f>_xlfn.XLOOKUP(A225,'SYS Allocations'!A:A,'SYS Allocations'!C:C)</f>
        <v>0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56"/>
        <v>12V155F</v>
      </c>
    </row>
    <row r="226" spans="1:53">
      <c r="A226" s="35" t="s">
        <v>242</v>
      </c>
      <c r="B226" s="35" t="s">
        <v>1590</v>
      </c>
      <c r="C226" s="35" t="s">
        <v>1590</v>
      </c>
      <c r="D226" s="35" t="s">
        <v>1568</v>
      </c>
      <c r="E226" s="35" t="s">
        <v>906</v>
      </c>
      <c r="F226" s="35" t="s">
        <v>1907</v>
      </c>
      <c r="G226" s="105">
        <v>50</v>
      </c>
      <c r="H226" s="105">
        <v>6</v>
      </c>
      <c r="I226" s="105">
        <v>131.5</v>
      </c>
      <c r="J226" s="105">
        <v>7.1667500000000004</v>
      </c>
      <c r="K226" s="106">
        <v>44504.541666666701</v>
      </c>
      <c r="L226" s="105">
        <v>10.9</v>
      </c>
      <c r="M226" s="105">
        <v>3.73325</v>
      </c>
      <c r="N226" s="105">
        <v>6.5944994550000002</v>
      </c>
      <c r="O226" s="107">
        <v>-0.57225054500000005</v>
      </c>
      <c r="P226" s="35" t="s">
        <v>1575</v>
      </c>
      <c r="Q226" s="35" t="s">
        <v>1599</v>
      </c>
      <c r="R226" s="35" t="s">
        <v>1605</v>
      </c>
      <c r="S226" s="105">
        <v>14.04</v>
      </c>
      <c r="T226" s="105">
        <v>6.8732500000000201</v>
      </c>
      <c r="U226" s="35" t="s">
        <v>1586</v>
      </c>
      <c r="V226" s="35" t="s">
        <v>1908</v>
      </c>
      <c r="W226" s="105">
        <v>25.5</v>
      </c>
      <c r="X226" s="105">
        <v>18.33325</v>
      </c>
      <c r="Y226" s="105">
        <v>2</v>
      </c>
      <c r="Z226" s="35" t="s">
        <v>1576</v>
      </c>
      <c r="AA226">
        <f>VLOOKUP(A226,Cover!A:R,18,0)</f>
        <v>1.1000000000000001</v>
      </c>
      <c r="AB226" s="77">
        <f t="shared" si="157"/>
        <v>2.6332499999999999</v>
      </c>
      <c r="AC226" s="77">
        <f t="shared" si="158"/>
        <v>-1.6722505450000003</v>
      </c>
      <c r="AD226" s="77">
        <f t="shared" si="159"/>
        <v>24.158256880733944</v>
      </c>
      <c r="AE226" s="77">
        <f t="shared" si="160"/>
        <v>-25.358263449883026</v>
      </c>
      <c r="AF226" s="77">
        <f t="shared" si="161"/>
        <v>5.7732500000000204</v>
      </c>
      <c r="AG226" s="77">
        <f t="shared" si="162"/>
        <v>41.120014245014389</v>
      </c>
      <c r="AH226" s="346"/>
      <c r="AI226" s="346"/>
      <c r="AJ226" s="346"/>
      <c r="AK226" s="346"/>
      <c r="AL226" s="346"/>
      <c r="AM226" s="345"/>
      <c r="AN226" t="s">
        <v>1563</v>
      </c>
      <c r="AO226" t="s">
        <v>1577</v>
      </c>
      <c r="AP226" t="str">
        <f t="shared" si="155"/>
        <v>12V155F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56"/>
        <v>12V155F</v>
      </c>
    </row>
    <row r="227" spans="1:53">
      <c r="A227" s="35" t="s">
        <v>243</v>
      </c>
      <c r="B227" s="35" t="s">
        <v>1590</v>
      </c>
      <c r="C227" s="35" t="s">
        <v>1590</v>
      </c>
      <c r="D227" s="35" t="s">
        <v>1568</v>
      </c>
      <c r="E227" s="35" t="s">
        <v>906</v>
      </c>
      <c r="F227" s="35" t="s">
        <v>1875</v>
      </c>
      <c r="G227" s="105">
        <v>50</v>
      </c>
      <c r="H227" s="105">
        <v>6</v>
      </c>
      <c r="I227" s="105">
        <v>53</v>
      </c>
      <c r="J227" s="105">
        <v>2.8885000000000001</v>
      </c>
      <c r="K227" s="106">
        <v>45058</v>
      </c>
      <c r="L227" s="105">
        <v>10.9</v>
      </c>
      <c r="M227" s="105">
        <v>8.0114999999999998</v>
      </c>
      <c r="N227" s="105">
        <v>5.1883993459999997</v>
      </c>
      <c r="O227" s="105">
        <v>2.2998993460000001</v>
      </c>
      <c r="P227" s="35" t="s">
        <v>1663</v>
      </c>
      <c r="Q227" s="35" t="s">
        <v>1599</v>
      </c>
      <c r="R227" s="35" t="s">
        <v>1605</v>
      </c>
      <c r="S227" s="105">
        <v>16.847999999999999</v>
      </c>
      <c r="T227" s="105">
        <v>13.9595</v>
      </c>
      <c r="U227" s="35" t="s">
        <v>1586</v>
      </c>
      <c r="V227" s="35" t="s">
        <v>1908</v>
      </c>
      <c r="W227" s="105">
        <v>25.5</v>
      </c>
      <c r="X227" s="105">
        <v>22.611499999999999</v>
      </c>
      <c r="Y227" s="105">
        <v>2</v>
      </c>
      <c r="Z227" s="35" t="s">
        <v>1576</v>
      </c>
      <c r="AA227">
        <f>VLOOKUP(A227,Cover!A:R,18,0)</f>
        <v>0</v>
      </c>
      <c r="AB227" s="77">
        <f t="shared" si="157"/>
        <v>8.0114999999999998</v>
      </c>
      <c r="AC227" s="77">
        <f t="shared" si="158"/>
        <v>2.2998993460000001</v>
      </c>
      <c r="AD227" s="77">
        <f t="shared" si="159"/>
        <v>73.5</v>
      </c>
      <c r="AE227" s="77">
        <f t="shared" si="160"/>
        <v>44.327724074923204</v>
      </c>
      <c r="AF227" s="77">
        <f t="shared" si="161"/>
        <v>13.9595</v>
      </c>
      <c r="AG227" s="77">
        <f t="shared" si="162"/>
        <v>82.855531813865156</v>
      </c>
      <c r="AH227" s="346"/>
      <c r="AI227" s="346"/>
      <c r="AJ227" s="346"/>
      <c r="AK227" s="346"/>
      <c r="AL227" s="346"/>
      <c r="AM227" s="345"/>
      <c r="AN227" t="s">
        <v>1563</v>
      </c>
      <c r="AO227" t="s">
        <v>1577</v>
      </c>
      <c r="AP227" t="str">
        <f t="shared" si="155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56"/>
        <v>12V155F</v>
      </c>
    </row>
    <row r="228" spans="1:53">
      <c r="A228" s="35" t="s">
        <v>244</v>
      </c>
      <c r="B228" s="35" t="s">
        <v>1590</v>
      </c>
      <c r="C228" s="35" t="s">
        <v>1590</v>
      </c>
      <c r="D228" s="35" t="s">
        <v>1568</v>
      </c>
      <c r="E228" s="35" t="s">
        <v>906</v>
      </c>
      <c r="F228" s="35" t="s">
        <v>1875</v>
      </c>
      <c r="G228" s="105">
        <v>50</v>
      </c>
      <c r="H228" s="105">
        <v>4</v>
      </c>
      <c r="I228" s="105">
        <v>22</v>
      </c>
      <c r="J228" s="105">
        <v>1.1990000000000001</v>
      </c>
      <c r="K228" s="106">
        <v>45058</v>
      </c>
      <c r="L228" s="105">
        <v>6.54</v>
      </c>
      <c r="M228" s="105">
        <v>5.3410000000000002</v>
      </c>
      <c r="N228" s="105">
        <v>2.5505995640000001</v>
      </c>
      <c r="O228" s="105">
        <v>1.351599564</v>
      </c>
      <c r="P228" s="35" t="s">
        <v>1591</v>
      </c>
      <c r="Q228" s="35" t="s">
        <v>1599</v>
      </c>
      <c r="R228" s="35" t="s">
        <v>1605</v>
      </c>
      <c r="S228" s="105">
        <v>11.231999999999999</v>
      </c>
      <c r="T228" s="105">
        <v>10.032999999999999</v>
      </c>
      <c r="U228" s="35" t="s">
        <v>1586</v>
      </c>
      <c r="V228" s="35" t="s">
        <v>1908</v>
      </c>
      <c r="W228" s="105">
        <v>25.5</v>
      </c>
      <c r="X228" s="105">
        <v>24.300999999999998</v>
      </c>
      <c r="Y228" s="105">
        <v>2</v>
      </c>
      <c r="Z228" s="35" t="s">
        <v>1576</v>
      </c>
      <c r="AA228">
        <f>VLOOKUP(A228,Cover!A:R,18,0)</f>
        <v>0</v>
      </c>
      <c r="AB228" s="77">
        <f t="shared" si="157"/>
        <v>5.3410000000000002</v>
      </c>
      <c r="AC228" s="77">
        <f t="shared" si="158"/>
        <v>1.351599564</v>
      </c>
      <c r="AD228" s="77">
        <f t="shared" si="159"/>
        <v>81.666666666666671</v>
      </c>
      <c r="AE228" s="77">
        <f t="shared" si="160"/>
        <v>52.991444955802557</v>
      </c>
      <c r="AF228" s="77">
        <f t="shared" si="161"/>
        <v>10.032999999999999</v>
      </c>
      <c r="AG228" s="77">
        <f t="shared" si="162"/>
        <v>89.325142450142451</v>
      </c>
      <c r="AH228" s="346"/>
      <c r="AI228" s="346"/>
      <c r="AJ228" s="346"/>
      <c r="AK228" s="346"/>
      <c r="AL228" s="346"/>
      <c r="AM228" s="345"/>
      <c r="AN228" t="s">
        <v>1563</v>
      </c>
      <c r="AO228" t="s">
        <v>1577</v>
      </c>
      <c r="AP228" t="str">
        <f t="shared" si="155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56"/>
        <v>12V155F</v>
      </c>
    </row>
    <row r="229" spans="1:53">
      <c r="A229" s="35" t="s">
        <v>245</v>
      </c>
      <c r="B229" s="35" t="s">
        <v>1590</v>
      </c>
      <c r="C229" s="35" t="s">
        <v>1590</v>
      </c>
      <c r="D229" s="35" t="s">
        <v>1563</v>
      </c>
      <c r="E229" s="35" t="s">
        <v>903</v>
      </c>
      <c r="F229" s="35" t="s">
        <v>1720</v>
      </c>
      <c r="G229" s="105">
        <v>37.5</v>
      </c>
      <c r="H229" s="105">
        <v>10</v>
      </c>
      <c r="I229" s="105">
        <v>18</v>
      </c>
      <c r="J229" s="105">
        <v>0.98099999999999998</v>
      </c>
      <c r="K229" s="106">
        <v>44602.708333333299</v>
      </c>
      <c r="L229" s="105">
        <v>14.715</v>
      </c>
      <c r="M229" s="105">
        <v>13.734</v>
      </c>
      <c r="N229" s="105">
        <v>11.41775</v>
      </c>
      <c r="O229" s="105">
        <v>10.43675</v>
      </c>
      <c r="P229" s="35" t="s">
        <v>1591</v>
      </c>
      <c r="Q229" s="35" t="s">
        <v>1626</v>
      </c>
      <c r="R229" s="35" t="s">
        <v>1909</v>
      </c>
      <c r="S229" s="105">
        <v>9.4867200000000107</v>
      </c>
      <c r="T229" s="105">
        <v>8.5057200000000108</v>
      </c>
      <c r="U229" s="35" t="s">
        <v>1574</v>
      </c>
      <c r="V229" s="35" t="s">
        <v>1910</v>
      </c>
      <c r="W229" s="105">
        <v>13.5</v>
      </c>
      <c r="X229" s="105">
        <v>12.519</v>
      </c>
      <c r="Y229" s="105">
        <v>0</v>
      </c>
      <c r="Z229" s="35" t="s">
        <v>8</v>
      </c>
      <c r="AA229">
        <f>VLOOKUP(A229,Cover!A:R,18,0)</f>
        <v>0</v>
      </c>
      <c r="AB229" s="77">
        <f t="shared" si="157"/>
        <v>13.734</v>
      </c>
      <c r="AC229" s="77">
        <f t="shared" si="158"/>
        <v>10.43675</v>
      </c>
      <c r="AD229" s="77">
        <f t="shared" si="159"/>
        <v>93.333333333333329</v>
      </c>
      <c r="AE229" s="77">
        <f t="shared" si="160"/>
        <v>91.408114558472548</v>
      </c>
      <c r="AF229" s="77">
        <f t="shared" si="161"/>
        <v>8.5057200000000108</v>
      </c>
      <c r="AG229" s="77">
        <f t="shared" si="162"/>
        <v>89.659228901032193</v>
      </c>
      <c r="AH229" s="77">
        <f t="shared" si="163"/>
        <v>13.5</v>
      </c>
      <c r="AI229" s="77">
        <f t="shared" si="164"/>
        <v>0.98099999999999998</v>
      </c>
      <c r="AJ229" s="77">
        <f t="shared" si="165"/>
        <v>12.519</v>
      </c>
      <c r="AK229" s="77">
        <f t="shared" si="166"/>
        <v>0</v>
      </c>
      <c r="AL229" s="77">
        <f t="shared" si="167"/>
        <v>12.519</v>
      </c>
      <c r="AM229" s="77">
        <f t="shared" si="168"/>
        <v>92.733333333333334</v>
      </c>
      <c r="AN229" t="s">
        <v>1563</v>
      </c>
      <c r="AO229" t="s">
        <v>1577</v>
      </c>
      <c r="AP229" t="str">
        <f t="shared" si="155"/>
        <v>12UMTB160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56"/>
        <v>12UMTB160</v>
      </c>
    </row>
    <row r="230" spans="1:53">
      <c r="A230" s="35" t="s">
        <v>246</v>
      </c>
      <c r="B230" s="35" t="s">
        <v>1636</v>
      </c>
      <c r="C230" s="35" t="s">
        <v>1814</v>
      </c>
      <c r="D230" s="35" t="s">
        <v>1563</v>
      </c>
      <c r="E230" s="35" t="s">
        <v>1103</v>
      </c>
      <c r="F230" s="35" t="s">
        <v>1570</v>
      </c>
      <c r="G230" s="105">
        <v>36.6</v>
      </c>
      <c r="H230" s="105">
        <v>51</v>
      </c>
      <c r="I230" s="105">
        <v>538</v>
      </c>
      <c r="J230" s="105">
        <v>29.321000000000002</v>
      </c>
      <c r="K230" s="106">
        <v>45264</v>
      </c>
      <c r="L230" s="105">
        <v>79.787999999999997</v>
      </c>
      <c r="M230" s="105">
        <v>50.466999999999999</v>
      </c>
      <c r="N230" s="105">
        <v>67.034999999999997</v>
      </c>
      <c r="O230" s="105">
        <v>37.713999999999999</v>
      </c>
      <c r="P230" s="35" t="s">
        <v>1571</v>
      </c>
      <c r="Q230" s="35" t="s">
        <v>1581</v>
      </c>
      <c r="R230" s="35" t="s">
        <v>1592</v>
      </c>
      <c r="S230" s="105">
        <v>53.330399999999997</v>
      </c>
      <c r="T230" s="105">
        <v>24.009399999999999</v>
      </c>
      <c r="U230" s="35" t="s">
        <v>1586</v>
      </c>
      <c r="V230" s="35" t="s">
        <v>1911</v>
      </c>
      <c r="W230" s="105">
        <v>16.649999999999999</v>
      </c>
      <c r="X230" s="105">
        <v>-12.670999999999999</v>
      </c>
      <c r="Y230" s="105">
        <v>6</v>
      </c>
      <c r="Z230" s="35" t="s">
        <v>1912</v>
      </c>
      <c r="AA230">
        <f>VLOOKUP(A230,Cover!A:R,18,0)</f>
        <v>8.2050000000000001</v>
      </c>
      <c r="AB230" s="77">
        <f t="shared" si="157"/>
        <v>42.262</v>
      </c>
      <c r="AC230" s="77">
        <f t="shared" si="158"/>
        <v>29.509</v>
      </c>
      <c r="AD230" s="77">
        <f t="shared" si="159"/>
        <v>52.96786484183086</v>
      </c>
      <c r="AE230" s="77">
        <f t="shared" si="160"/>
        <v>44.020287909301111</v>
      </c>
      <c r="AF230" s="77">
        <f t="shared" si="161"/>
        <v>15.804399999999999</v>
      </c>
      <c r="AG230" s="77">
        <f t="shared" si="162"/>
        <v>29.634879918395509</v>
      </c>
      <c r="AH230" s="346">
        <f>'Multiroom cooling'!F2</f>
        <v>91.350000000000009</v>
      </c>
      <c r="AI230" s="346">
        <f>SUM(J230:J231)</f>
        <v>63.9285</v>
      </c>
      <c r="AJ230" s="346">
        <f t="shared" si="165"/>
        <v>27.421500000000009</v>
      </c>
      <c r="AK230" s="346">
        <f>SUM(AA230:AA231)</f>
        <v>16.41</v>
      </c>
      <c r="AL230" s="346">
        <f t="shared" si="167"/>
        <v>11.011500000000009</v>
      </c>
      <c r="AM230" s="345">
        <f t="shared" si="168"/>
        <v>12.054187192118235</v>
      </c>
      <c r="AN230" t="s">
        <v>1563</v>
      </c>
      <c r="AO230" t="s">
        <v>1634</v>
      </c>
      <c r="AP230" t="str">
        <f t="shared" si="155"/>
        <v>DDm125-33</v>
      </c>
      <c r="AQ230" t="str">
        <f>_xlfn.XLOOKUP(A230,'SYS Allocations'!A:A,'SYS Allocations'!B:B)</f>
        <v>P-Core</v>
      </c>
      <c r="AR230">
        <f>_xlfn.XLOOKUP(A230,'SYS Allocations'!A:A,'SYS Allocations'!C:C)</f>
        <v>0</v>
      </c>
      <c r="AS230" t="str">
        <f>_xlfn.XLOOKUP(A230,'SYS Allocations'!A:A,'SYS Allocations'!D:D)</f>
        <v>PX</v>
      </c>
      <c r="AT230">
        <f>_xlfn.XLOOKUP(A230,'SYS Allocations'!A:A,'SYS Allocations'!E:E)</f>
        <v>0</v>
      </c>
      <c r="AU230" t="str">
        <f>_xlfn.XLOOKUP(A230,'SYS Allocations'!A:A,'SYS Allocations'!F:F)</f>
        <v>OPEX</v>
      </c>
      <c r="BA230" t="str">
        <f t="shared" si="156"/>
        <v>DDm125-33</v>
      </c>
    </row>
    <row r="231" spans="1:53">
      <c r="A231" s="35" t="s">
        <v>247</v>
      </c>
      <c r="B231" s="35" t="s">
        <v>1636</v>
      </c>
      <c r="C231" s="35" t="s">
        <v>1814</v>
      </c>
      <c r="D231" s="35" t="s">
        <v>1563</v>
      </c>
      <c r="E231" s="35" t="s">
        <v>1103</v>
      </c>
      <c r="F231" s="35" t="s">
        <v>1570</v>
      </c>
      <c r="G231" s="105">
        <v>36.6</v>
      </c>
      <c r="H231" s="105">
        <v>51</v>
      </c>
      <c r="I231" s="105">
        <v>635</v>
      </c>
      <c r="J231" s="105">
        <v>34.607500000000002</v>
      </c>
      <c r="K231" s="106">
        <v>45264</v>
      </c>
      <c r="L231" s="105">
        <v>79.787999999999997</v>
      </c>
      <c r="M231" s="105">
        <v>45.180500000000002</v>
      </c>
      <c r="N231" s="105">
        <v>67.034999999999997</v>
      </c>
      <c r="O231" s="105">
        <v>32.427500000000002</v>
      </c>
      <c r="P231" s="35" t="s">
        <v>1571</v>
      </c>
      <c r="Q231" s="35" t="s">
        <v>1581</v>
      </c>
      <c r="R231" s="35" t="s">
        <v>1592</v>
      </c>
      <c r="S231" s="105">
        <v>53.330399999999997</v>
      </c>
      <c r="T231" s="105">
        <v>18.722899999999999</v>
      </c>
      <c r="U231" s="35" t="s">
        <v>1586</v>
      </c>
      <c r="V231" s="35" t="s">
        <v>1911</v>
      </c>
      <c r="W231" s="105">
        <v>16.649999999999999</v>
      </c>
      <c r="X231" s="105">
        <v>-17.9575</v>
      </c>
      <c r="Y231" s="105">
        <v>6</v>
      </c>
      <c r="Z231" s="35" t="s">
        <v>1912</v>
      </c>
      <c r="AA231">
        <f>VLOOKUP(A231,Cover!A:R,18,0)</f>
        <v>8.2050000000000001</v>
      </c>
      <c r="AB231" s="77">
        <f t="shared" si="157"/>
        <v>36.975500000000004</v>
      </c>
      <c r="AC231" s="77">
        <f t="shared" si="158"/>
        <v>24.222500000000004</v>
      </c>
      <c r="AD231" s="77">
        <f t="shared" si="159"/>
        <v>46.342181781721571</v>
      </c>
      <c r="AE231" s="77">
        <f t="shared" si="160"/>
        <v>36.134109047512496</v>
      </c>
      <c r="AF231" s="77">
        <f t="shared" si="161"/>
        <v>10.517899999999999</v>
      </c>
      <c r="AG231" s="77">
        <f t="shared" si="162"/>
        <v>19.722147218096993</v>
      </c>
      <c r="AH231" s="346"/>
      <c r="AI231" s="346"/>
      <c r="AJ231" s="346"/>
      <c r="AK231" s="346"/>
      <c r="AL231" s="346"/>
      <c r="AM231" s="345"/>
      <c r="AN231" t="s">
        <v>1563</v>
      </c>
      <c r="AO231" t="s">
        <v>1634</v>
      </c>
      <c r="AP231" t="str">
        <f t="shared" si="155"/>
        <v>DDm125-33</v>
      </c>
      <c r="AQ231">
        <f>_xlfn.XLOOKUP(A231,'SYS Allocations'!A:A,'SYS Allocations'!B:B)</f>
        <v>0</v>
      </c>
      <c r="AR231">
        <f>_xlfn.XLOOKUP(A231,'SYS Allocations'!A:A,'SYS Allocations'!C:C)</f>
        <v>0</v>
      </c>
      <c r="AS231">
        <f>_xlfn.XLOOKUP(A231,'SYS Allocations'!A:A,'SYS Allocations'!D:D)</f>
        <v>0</v>
      </c>
      <c r="AT231">
        <f>_xlfn.XLOOKUP(A231,'SYS Allocations'!A:A,'SYS Allocations'!E:E)</f>
        <v>0</v>
      </c>
      <c r="AU231">
        <f>_xlfn.XLOOKUP(A231,'SYS Allocations'!A:A,'SYS Allocations'!F:F)</f>
        <v>0</v>
      </c>
      <c r="BA231" t="str">
        <f t="shared" si="156"/>
        <v>DDm125-33</v>
      </c>
    </row>
    <row r="232" spans="1:53">
      <c r="A232" s="35" t="s">
        <v>248</v>
      </c>
      <c r="B232" s="35" t="s">
        <v>1595</v>
      </c>
      <c r="C232" s="35" t="s">
        <v>1913</v>
      </c>
      <c r="D232" s="35" t="s">
        <v>1568</v>
      </c>
      <c r="E232" s="35" t="s">
        <v>1914</v>
      </c>
      <c r="F232" s="35" t="s">
        <v>1756</v>
      </c>
      <c r="G232" s="105">
        <v>37.5</v>
      </c>
      <c r="H232" s="105">
        <v>3</v>
      </c>
      <c r="I232" s="105">
        <v>8</v>
      </c>
      <c r="J232" s="105">
        <v>0.436</v>
      </c>
      <c r="K232" s="106">
        <v>44481.701388888898</v>
      </c>
      <c r="L232" s="105">
        <v>3.27</v>
      </c>
      <c r="M232" s="105">
        <v>2.8340000000000001</v>
      </c>
      <c r="N232" s="105">
        <v>2.7795000000000001</v>
      </c>
      <c r="O232" s="105">
        <v>2.3435000000000001</v>
      </c>
      <c r="P232" s="35" t="s">
        <v>1571</v>
      </c>
      <c r="Q232" s="35" t="s">
        <v>1599</v>
      </c>
      <c r="R232" s="35" t="s">
        <v>1679</v>
      </c>
      <c r="S232" s="105">
        <v>2.92896</v>
      </c>
      <c r="T232" s="105">
        <v>2.4929600000000001</v>
      </c>
      <c r="U232" s="35" t="s">
        <v>1574</v>
      </c>
      <c r="V232" s="35" t="s">
        <v>1610</v>
      </c>
      <c r="W232" s="105">
        <v>3.75</v>
      </c>
      <c r="X232" s="105">
        <v>3.3140000000000001</v>
      </c>
      <c r="Y232" s="105">
        <v>0</v>
      </c>
      <c r="Z232" s="35" t="s">
        <v>1576</v>
      </c>
      <c r="AA232">
        <f>VLOOKUP(A232,Cover!A:R,18,0)</f>
        <v>0</v>
      </c>
      <c r="AB232" s="77">
        <f t="shared" ref="AB232" si="169">M232-AA232</f>
        <v>2.8340000000000001</v>
      </c>
      <c r="AC232" s="77">
        <f t="shared" ref="AC232" si="170">O232-AA232</f>
        <v>2.3435000000000001</v>
      </c>
      <c r="AD232" s="77">
        <f t="shared" ref="AD232" si="171">AB232/L232%</f>
        <v>86.666666666666671</v>
      </c>
      <c r="AE232" s="77">
        <f t="shared" ref="AE232" si="172">AC232/N232%</f>
        <v>84.313725490196077</v>
      </c>
      <c r="AF232" s="77">
        <f t="shared" ref="AF232" si="173">T232-AA232</f>
        <v>2.4929600000000001</v>
      </c>
      <c r="AG232" s="77">
        <f t="shared" ref="AG232" si="174">AF232/S232%</f>
        <v>85.114170217415065</v>
      </c>
      <c r="AH232" s="77">
        <f t="shared" ref="AH232" si="175">W232</f>
        <v>3.75</v>
      </c>
      <c r="AI232" s="77">
        <f t="shared" ref="AI232" si="176">J232</f>
        <v>0.436</v>
      </c>
      <c r="AJ232" s="77">
        <f t="shared" ref="AJ232" si="177">AH232-AI232</f>
        <v>3.3140000000000001</v>
      </c>
      <c r="AK232" s="77">
        <f t="shared" ref="AK232" si="178">AA232</f>
        <v>0</v>
      </c>
      <c r="AL232" s="77">
        <f t="shared" ref="AL232" si="179">AJ232-AK232</f>
        <v>3.3140000000000001</v>
      </c>
      <c r="AM232" s="77">
        <f t="shared" ref="AM232" si="180">AL232/AH232%</f>
        <v>88.373333333333335</v>
      </c>
      <c r="AO232" t="s">
        <v>1577</v>
      </c>
      <c r="AP232" t="str">
        <f t="shared" si="155"/>
        <v>12V100F</v>
      </c>
      <c r="AQ232">
        <f>_xlfn.XLOOKUP(A232,'SYS Allocations'!A:A,'SYS Allocations'!B:B)</f>
        <v>0</v>
      </c>
      <c r="AR232">
        <f>_xlfn.XLOOKUP(A232,'SYS Allocations'!A:A,'SYS Allocations'!C:C)</f>
        <v>0</v>
      </c>
      <c r="AS232">
        <f>_xlfn.XLOOKUP(A232,'SYS Allocations'!A:A,'SYS Allocations'!D:D)</f>
        <v>0</v>
      </c>
      <c r="AT232">
        <f>_xlfn.XLOOKUP(A232,'SYS Allocations'!A:A,'SYS Allocations'!E:E)</f>
        <v>0</v>
      </c>
      <c r="AU232">
        <f>_xlfn.XLOOKUP(A232,'SYS Allocations'!A:A,'SYS Allocations'!F:F)</f>
        <v>0</v>
      </c>
      <c r="BA232" t="str">
        <f t="shared" si="156"/>
        <v>12V100F</v>
      </c>
    </row>
    <row r="233" spans="1:53">
      <c r="A233" s="35" t="s">
        <v>249</v>
      </c>
      <c r="B233" s="35" t="s">
        <v>1616</v>
      </c>
      <c r="C233" s="35" t="s">
        <v>1915</v>
      </c>
      <c r="D233" s="35" t="s">
        <v>1568</v>
      </c>
      <c r="E233" s="35" t="s">
        <v>1404</v>
      </c>
      <c r="F233" s="35" t="s">
        <v>1570</v>
      </c>
      <c r="G233" s="105">
        <v>36.6</v>
      </c>
      <c r="H233" s="105">
        <v>22</v>
      </c>
      <c r="I233" s="105">
        <v>97</v>
      </c>
      <c r="J233" s="105">
        <v>5.2865000000000002</v>
      </c>
      <c r="K233" s="106">
        <v>45264</v>
      </c>
      <c r="L233" s="105">
        <v>33.510959999999997</v>
      </c>
      <c r="M233" s="105">
        <v>28.224460000000001</v>
      </c>
      <c r="N233" s="105">
        <v>27.064699999999998</v>
      </c>
      <c r="O233" s="105">
        <v>21.778199999999998</v>
      </c>
      <c r="P233" s="35" t="s">
        <v>1574</v>
      </c>
      <c r="Q233" s="35" t="s">
        <v>1581</v>
      </c>
      <c r="R233" s="35" t="s">
        <v>1694</v>
      </c>
      <c r="S233" s="105">
        <v>22.982399999999998</v>
      </c>
      <c r="T233" s="105">
        <v>17.695900000000002</v>
      </c>
      <c r="U233" s="35" t="s">
        <v>1571</v>
      </c>
      <c r="V233" s="35" t="s">
        <v>1587</v>
      </c>
      <c r="W233" s="105">
        <v>33.75</v>
      </c>
      <c r="X233" s="105">
        <v>28.4635</v>
      </c>
      <c r="Y233" s="105">
        <v>55</v>
      </c>
      <c r="Z233" s="35" t="s">
        <v>1576</v>
      </c>
      <c r="AA233">
        <f>VLOOKUP(A233,Cover!A:R,18,0)</f>
        <v>7.4</v>
      </c>
      <c r="AB233" s="77">
        <f t="shared" si="157"/>
        <v>20.824460000000002</v>
      </c>
      <c r="AC233" s="77">
        <f t="shared" si="158"/>
        <v>14.378199999999998</v>
      </c>
      <c r="AD233" s="77">
        <f t="shared" si="159"/>
        <v>62.142236450403104</v>
      </c>
      <c r="AE233" s="77">
        <f t="shared" si="160"/>
        <v>53.125288660136633</v>
      </c>
      <c r="AF233" s="77">
        <f t="shared" si="161"/>
        <v>10.295900000000001</v>
      </c>
      <c r="AG233" s="77">
        <f t="shared" si="162"/>
        <v>44.799063631300484</v>
      </c>
      <c r="AH233" s="77">
        <f t="shared" si="163"/>
        <v>33.75</v>
      </c>
      <c r="AI233" s="77">
        <f t="shared" si="164"/>
        <v>5.2865000000000002</v>
      </c>
      <c r="AJ233" s="77">
        <f t="shared" si="165"/>
        <v>28.4635</v>
      </c>
      <c r="AK233" s="77">
        <f t="shared" si="166"/>
        <v>7.4</v>
      </c>
      <c r="AL233" s="77">
        <f t="shared" si="167"/>
        <v>21.063499999999998</v>
      </c>
      <c r="AM233" s="77">
        <f t="shared" si="168"/>
        <v>62.410370370370359</v>
      </c>
      <c r="AO233" t="s">
        <v>1634</v>
      </c>
      <c r="AP233" t="str">
        <f t="shared" si="155"/>
        <v>DDm85-33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56"/>
        <v>DDm85-33</v>
      </c>
    </row>
    <row r="234" spans="1:53">
      <c r="A234" s="35" t="s">
        <v>250</v>
      </c>
      <c r="B234" s="35" t="s">
        <v>1616</v>
      </c>
      <c r="C234" s="35" t="s">
        <v>1915</v>
      </c>
      <c r="D234" s="35" t="s">
        <v>1568</v>
      </c>
      <c r="E234" s="35" t="s">
        <v>1404</v>
      </c>
      <c r="F234" s="35" t="s">
        <v>1570</v>
      </c>
      <c r="G234" s="105">
        <v>36.6</v>
      </c>
      <c r="H234" s="105">
        <v>22</v>
      </c>
      <c r="I234" s="105">
        <v>83</v>
      </c>
      <c r="J234" s="105">
        <v>4.5235000000000003</v>
      </c>
      <c r="K234" s="106">
        <v>45264</v>
      </c>
      <c r="L234" s="105">
        <v>33.510959999999997</v>
      </c>
      <c r="M234" s="105">
        <v>28.987459999999999</v>
      </c>
      <c r="N234" s="105">
        <v>27.064699999999998</v>
      </c>
      <c r="O234" s="105">
        <v>22.5412</v>
      </c>
      <c r="P234" s="35" t="s">
        <v>1574</v>
      </c>
      <c r="Q234" s="35" t="s">
        <v>1581</v>
      </c>
      <c r="R234" s="35" t="s">
        <v>1694</v>
      </c>
      <c r="S234" s="105">
        <v>22.982399999999998</v>
      </c>
      <c r="T234" s="105">
        <v>18.4589</v>
      </c>
      <c r="U234" s="35" t="s">
        <v>1571</v>
      </c>
      <c r="V234" s="35" t="s">
        <v>1587</v>
      </c>
      <c r="W234" s="105">
        <v>33.75</v>
      </c>
      <c r="X234" s="105">
        <v>29.226500000000001</v>
      </c>
      <c r="Y234" s="105">
        <v>55</v>
      </c>
      <c r="Z234" s="35" t="s">
        <v>1576</v>
      </c>
      <c r="AA234">
        <f>VLOOKUP(A234,Cover!A:R,18,0)</f>
        <v>7.7</v>
      </c>
      <c r="AB234" s="77">
        <f t="shared" ref="AB234" si="181">M234-AA234</f>
        <v>21.287459999999999</v>
      </c>
      <c r="AC234" s="77">
        <f t="shared" ref="AC234" si="182">O234-AA234</f>
        <v>14.841200000000001</v>
      </c>
      <c r="AD234" s="77">
        <f t="shared" ref="AD234" si="183">AB234/L234%</f>
        <v>63.523873980333605</v>
      </c>
      <c r="AE234" s="77">
        <f t="shared" ref="AE234" si="184">AC234/N234%</f>
        <v>54.836004093893528</v>
      </c>
      <c r="AF234" s="77">
        <f t="shared" ref="AF234" si="185">T234-AA234</f>
        <v>10.758900000000001</v>
      </c>
      <c r="AG234" s="77">
        <f t="shared" ref="AG234" si="186">AF234/S234%</f>
        <v>46.813648705096078</v>
      </c>
      <c r="AH234" s="77">
        <f t="shared" ref="AH234" si="187">W234</f>
        <v>33.75</v>
      </c>
      <c r="AI234" s="77">
        <f t="shared" ref="AI234" si="188">J234</f>
        <v>4.5235000000000003</v>
      </c>
      <c r="AJ234" s="77">
        <f t="shared" ref="AJ234" si="189">AH234-AI234</f>
        <v>29.226500000000001</v>
      </c>
      <c r="AK234" s="77">
        <f t="shared" ref="AK234" si="190">AA234</f>
        <v>7.7</v>
      </c>
      <c r="AL234" s="77">
        <f t="shared" ref="AL234" si="191">AJ234-AK234</f>
        <v>21.526500000000002</v>
      </c>
      <c r="AM234" s="77">
        <f t="shared" ref="AM234" si="192">AL234/AH234%</f>
        <v>63.782222222222224</v>
      </c>
      <c r="AO234" t="s">
        <v>1634</v>
      </c>
      <c r="AP234" t="str">
        <f t="shared" si="155"/>
        <v>DDm85-33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56"/>
        <v>DDm85-33</v>
      </c>
    </row>
    <row r="235" spans="1:53">
      <c r="A235" s="35" t="s">
        <v>251</v>
      </c>
      <c r="B235" s="35" t="s">
        <v>1616</v>
      </c>
      <c r="C235" s="35" t="s">
        <v>1916</v>
      </c>
      <c r="D235" s="35" t="s">
        <v>1568</v>
      </c>
      <c r="E235" s="35" t="s">
        <v>1407</v>
      </c>
      <c r="F235" s="35" t="s">
        <v>1570</v>
      </c>
      <c r="G235" s="105">
        <v>36.6</v>
      </c>
      <c r="H235" s="105">
        <v>6</v>
      </c>
      <c r="I235" s="105">
        <v>47</v>
      </c>
      <c r="J235" s="105">
        <v>2.5615000000000001</v>
      </c>
      <c r="K235" s="106">
        <v>45264</v>
      </c>
      <c r="L235" s="105">
        <v>7.9787999999999997</v>
      </c>
      <c r="M235" s="105">
        <v>5.4173</v>
      </c>
      <c r="N235" s="105">
        <v>6.867</v>
      </c>
      <c r="O235" s="105">
        <v>4.3055000000000003</v>
      </c>
      <c r="P235" s="35" t="s">
        <v>1571</v>
      </c>
      <c r="Q235" s="35" t="s">
        <v>1599</v>
      </c>
      <c r="R235" s="35" t="s">
        <v>1753</v>
      </c>
      <c r="S235" s="105">
        <v>5.5922400000000101</v>
      </c>
      <c r="T235" s="105">
        <v>3.03074000000001</v>
      </c>
      <c r="U235" s="35" t="s">
        <v>1586</v>
      </c>
      <c r="V235" s="35" t="s">
        <v>1897</v>
      </c>
      <c r="W235" s="105">
        <v>18</v>
      </c>
      <c r="X235" s="105">
        <v>15.438499999999999</v>
      </c>
      <c r="Y235" s="105">
        <v>65</v>
      </c>
      <c r="Z235" s="35" t="s">
        <v>1576</v>
      </c>
      <c r="AA235">
        <f>VLOOKUP(A235,Cover!A:R,18,0)</f>
        <v>0</v>
      </c>
      <c r="AB235" s="77">
        <f t="shared" si="157"/>
        <v>5.4173</v>
      </c>
      <c r="AC235" s="77">
        <f t="shared" si="158"/>
        <v>4.3055000000000003</v>
      </c>
      <c r="AD235" s="77">
        <f t="shared" si="159"/>
        <v>67.896174863387984</v>
      </c>
      <c r="AE235" s="77">
        <f t="shared" si="160"/>
        <v>62.69841269841271</v>
      </c>
      <c r="AF235" s="77">
        <f t="shared" si="161"/>
        <v>3.03074000000001</v>
      </c>
      <c r="AG235" s="77">
        <f t="shared" si="162"/>
        <v>54.195456561234934</v>
      </c>
      <c r="AH235" s="77">
        <f t="shared" si="163"/>
        <v>18</v>
      </c>
      <c r="AI235" s="77">
        <f t="shared" si="164"/>
        <v>2.5615000000000001</v>
      </c>
      <c r="AJ235" s="77">
        <f t="shared" si="165"/>
        <v>15.438499999999999</v>
      </c>
      <c r="AK235" s="77">
        <f t="shared" si="166"/>
        <v>0</v>
      </c>
      <c r="AL235" s="77">
        <f t="shared" si="167"/>
        <v>15.438499999999999</v>
      </c>
      <c r="AM235" s="77">
        <f t="shared" si="168"/>
        <v>85.769444444444446</v>
      </c>
      <c r="AO235" t="s">
        <v>1577</v>
      </c>
      <c r="AP235" t="str">
        <f t="shared" si="155"/>
        <v>12V190F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56"/>
        <v>12V190F</v>
      </c>
    </row>
    <row r="236" spans="1:53">
      <c r="A236" s="35" t="s">
        <v>252</v>
      </c>
      <c r="B236" s="35" t="s">
        <v>1590</v>
      </c>
      <c r="C236" s="35" t="s">
        <v>1917</v>
      </c>
      <c r="D236" s="35" t="s">
        <v>1568</v>
      </c>
      <c r="E236" s="35" t="s">
        <v>911</v>
      </c>
      <c r="F236" s="35" t="s">
        <v>1570</v>
      </c>
      <c r="G236" s="105">
        <v>36.6</v>
      </c>
      <c r="H236" s="105">
        <v>44</v>
      </c>
      <c r="I236" s="105">
        <v>721</v>
      </c>
      <c r="J236" s="105">
        <v>39.294499999999999</v>
      </c>
      <c r="K236" s="106">
        <v>44627.604166666701</v>
      </c>
      <c r="L236" s="105">
        <v>68.617679999999993</v>
      </c>
      <c r="M236" s="105">
        <v>29.323180000000001</v>
      </c>
      <c r="N236" s="105">
        <v>42.1721</v>
      </c>
      <c r="O236" s="105">
        <v>2.8776000000000002</v>
      </c>
      <c r="P236" s="35" t="s">
        <v>1586</v>
      </c>
      <c r="Q236" s="35" t="s">
        <v>1581</v>
      </c>
      <c r="R236" s="35" t="s">
        <v>1592</v>
      </c>
      <c r="S236" s="105">
        <v>71.107200000000205</v>
      </c>
      <c r="T236" s="105">
        <v>31.812700000000198</v>
      </c>
      <c r="U236" s="35" t="s">
        <v>1586</v>
      </c>
      <c r="V236" s="35" t="s">
        <v>1652</v>
      </c>
      <c r="W236" s="105">
        <v>67.5</v>
      </c>
      <c r="X236" s="105">
        <v>28.205500000000001</v>
      </c>
      <c r="Y236" s="105">
        <v>1</v>
      </c>
      <c r="Z236" s="35" t="s">
        <v>1576</v>
      </c>
      <c r="AA236">
        <f>VLOOKUP(A236,Cover!A:R,18,0)</f>
        <v>7.4</v>
      </c>
      <c r="AB236" s="77">
        <f t="shared" si="157"/>
        <v>21.923180000000002</v>
      </c>
      <c r="AC236" s="77">
        <f t="shared" si="158"/>
        <v>-4.5224000000000002</v>
      </c>
      <c r="AD236" s="77">
        <f t="shared" si="159"/>
        <v>31.949754057554852</v>
      </c>
      <c r="AE236" s="77">
        <f t="shared" si="160"/>
        <v>-10.723677502424589</v>
      </c>
      <c r="AF236" s="77">
        <f t="shared" si="161"/>
        <v>24.4127000000002</v>
      </c>
      <c r="AG236" s="77">
        <f t="shared" si="162"/>
        <v>34.332247648620857</v>
      </c>
      <c r="AH236" s="77">
        <f t="shared" si="163"/>
        <v>67.5</v>
      </c>
      <c r="AI236" s="77">
        <f t="shared" si="164"/>
        <v>39.294499999999999</v>
      </c>
      <c r="AJ236" s="77">
        <f t="shared" si="165"/>
        <v>28.205500000000001</v>
      </c>
      <c r="AK236" s="77">
        <f t="shared" si="166"/>
        <v>7.4</v>
      </c>
      <c r="AL236" s="77">
        <f t="shared" si="167"/>
        <v>20.805500000000002</v>
      </c>
      <c r="AM236" s="77">
        <f t="shared" si="168"/>
        <v>30.822962962962965</v>
      </c>
      <c r="AO236" t="s">
        <v>1577</v>
      </c>
      <c r="AP236" t="str">
        <f t="shared" si="155"/>
        <v>DDm125-33</v>
      </c>
      <c r="AQ236">
        <f>_xlfn.XLOOKUP(A236,'SYS Allocations'!A:A,'SYS Allocations'!B:B)</f>
        <v>0</v>
      </c>
      <c r="AR236" t="str">
        <f>_xlfn.XLOOKUP(A236,'SYS Allocations'!A:A,'SYS Allocations'!C:C)</f>
        <v>RA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56"/>
        <v>DDm125-33</v>
      </c>
    </row>
    <row r="237" spans="1:53">
      <c r="A237" s="35" t="s">
        <v>253</v>
      </c>
      <c r="B237" s="35" t="s">
        <v>1590</v>
      </c>
      <c r="C237" s="35" t="s">
        <v>1729</v>
      </c>
      <c r="D237" s="35" t="s">
        <v>1563</v>
      </c>
      <c r="E237" s="35" t="s">
        <v>840</v>
      </c>
      <c r="F237" s="35" t="s">
        <v>1570</v>
      </c>
      <c r="G237" s="105">
        <v>36.6</v>
      </c>
      <c r="H237" s="105">
        <v>90</v>
      </c>
      <c r="I237" s="105">
        <v>78</v>
      </c>
      <c r="J237" s="105">
        <v>4.2510000000000003</v>
      </c>
      <c r="K237" s="106">
        <v>44692.583333333299</v>
      </c>
      <c r="L237" s="105">
        <v>142.02264</v>
      </c>
      <c r="M237" s="105">
        <v>137.77163999999999</v>
      </c>
      <c r="N237" s="105">
        <v>116.4883</v>
      </c>
      <c r="O237" s="105">
        <v>112.2373</v>
      </c>
      <c r="P237" s="35" t="s">
        <v>1586</v>
      </c>
      <c r="Q237" s="35" t="s">
        <v>1581</v>
      </c>
      <c r="R237" s="35" t="s">
        <v>1813</v>
      </c>
      <c r="S237" s="105">
        <v>95.610240000000005</v>
      </c>
      <c r="T237" s="105">
        <v>91.35924</v>
      </c>
      <c r="U237" s="35" t="s">
        <v>1586</v>
      </c>
      <c r="V237" s="35" t="s">
        <v>1653</v>
      </c>
      <c r="W237" s="105">
        <v>90</v>
      </c>
      <c r="X237" s="105">
        <v>85.748999999999995</v>
      </c>
      <c r="Y237" s="105">
        <v>8</v>
      </c>
      <c r="Z237" s="35" t="s">
        <v>1918</v>
      </c>
      <c r="AA237">
        <f>VLOOKUP(A237,Cover!A:R,18,0)</f>
        <v>0</v>
      </c>
      <c r="AB237" s="77">
        <f t="shared" si="157"/>
        <v>137.77163999999999</v>
      </c>
      <c r="AC237" s="77">
        <f t="shared" si="158"/>
        <v>112.2373</v>
      </c>
      <c r="AD237" s="77">
        <f t="shared" si="159"/>
        <v>97.006815251427511</v>
      </c>
      <c r="AE237" s="77">
        <f t="shared" si="160"/>
        <v>96.35070646579959</v>
      </c>
      <c r="AF237" s="77">
        <f t="shared" si="161"/>
        <v>91.35924</v>
      </c>
      <c r="AG237" s="77">
        <f t="shared" si="162"/>
        <v>95.553823523505429</v>
      </c>
      <c r="AH237" s="77">
        <f t="shared" si="163"/>
        <v>90</v>
      </c>
      <c r="AI237" s="77">
        <f t="shared" si="164"/>
        <v>4.2510000000000003</v>
      </c>
      <c r="AJ237" s="77">
        <f t="shared" si="165"/>
        <v>85.748999999999995</v>
      </c>
      <c r="AK237" s="77">
        <f t="shared" si="166"/>
        <v>0</v>
      </c>
      <c r="AL237" s="77">
        <f t="shared" si="167"/>
        <v>85.748999999999995</v>
      </c>
      <c r="AM237" s="77">
        <f t="shared" si="168"/>
        <v>95.276666666666657</v>
      </c>
      <c r="AO237" t="s">
        <v>1577</v>
      </c>
      <c r="AP237" t="str">
        <f t="shared" si="155"/>
        <v>2CP3000</v>
      </c>
      <c r="AQ237">
        <f>_xlfn.XLOOKUP(A237,'SYS Allocations'!A:A,'SYS Allocations'!B:B)</f>
        <v>0</v>
      </c>
      <c r="AR237">
        <f>_xlfn.XLOOKUP(A237,'SYS Allocations'!A:A,'SYS Allocations'!C:C)</f>
        <v>0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56"/>
        <v>2CP3000</v>
      </c>
    </row>
    <row r="238" spans="1:53">
      <c r="A238" s="35" t="s">
        <v>254</v>
      </c>
      <c r="B238" s="35" t="s">
        <v>1590</v>
      </c>
      <c r="C238" s="35" t="s">
        <v>1919</v>
      </c>
      <c r="D238" s="35" t="s">
        <v>1563</v>
      </c>
      <c r="E238" s="35" t="s">
        <v>928</v>
      </c>
      <c r="F238" s="35" t="s">
        <v>1570</v>
      </c>
      <c r="G238" s="105">
        <v>36.6</v>
      </c>
      <c r="H238" s="105">
        <v>67</v>
      </c>
      <c r="I238" s="105">
        <v>994</v>
      </c>
      <c r="J238" s="105">
        <v>54.173000000000002</v>
      </c>
      <c r="K238" s="106">
        <v>45264</v>
      </c>
      <c r="L238" s="105">
        <v>105.32016</v>
      </c>
      <c r="M238" s="105">
        <v>51.14716</v>
      </c>
      <c r="N238" s="105">
        <v>77.150199999999998</v>
      </c>
      <c r="O238" s="105">
        <v>22.9772</v>
      </c>
      <c r="P238" s="35" t="s">
        <v>1610</v>
      </c>
      <c r="Q238" s="35" t="s">
        <v>1581</v>
      </c>
      <c r="R238" s="35" t="s">
        <v>1592</v>
      </c>
      <c r="S238" s="105">
        <v>88.884000000000199</v>
      </c>
      <c r="T238" s="105">
        <v>34.711000000000197</v>
      </c>
      <c r="U238" s="35" t="s">
        <v>1586</v>
      </c>
      <c r="V238" s="35" t="s">
        <v>1611</v>
      </c>
      <c r="W238" s="105">
        <v>112.5</v>
      </c>
      <c r="X238" s="105">
        <v>58.326999999999998</v>
      </c>
      <c r="Y238" s="105">
        <v>9</v>
      </c>
      <c r="Z238" s="35" t="s">
        <v>1920</v>
      </c>
      <c r="AA238">
        <f>VLOOKUP(A238,Cover!A:R,18,0)</f>
        <v>11.950000000000001</v>
      </c>
      <c r="AB238" s="77">
        <f t="shared" si="157"/>
        <v>39.197159999999997</v>
      </c>
      <c r="AC238" s="77">
        <f t="shared" si="158"/>
        <v>11.027199999999999</v>
      </c>
      <c r="AD238" s="77">
        <f t="shared" si="159"/>
        <v>37.217148169923021</v>
      </c>
      <c r="AE238" s="77">
        <f t="shared" si="160"/>
        <v>14.293158021625347</v>
      </c>
      <c r="AF238" s="77">
        <f t="shared" si="161"/>
        <v>22.761000000000195</v>
      </c>
      <c r="AG238" s="77">
        <f t="shared" si="162"/>
        <v>25.607533414337951</v>
      </c>
      <c r="AH238" s="346">
        <f>AVERAGE(W238:W239)</f>
        <v>112.5</v>
      </c>
      <c r="AI238" s="346">
        <f>SUM(J238:J239)</f>
        <v>100.498</v>
      </c>
      <c r="AJ238" s="346">
        <f t="shared" si="165"/>
        <v>12.001999999999995</v>
      </c>
      <c r="AK238" s="346">
        <f>SUM(AA238:AA239)</f>
        <v>24.4</v>
      </c>
      <c r="AL238" s="346">
        <f t="shared" si="167"/>
        <v>-12.398000000000003</v>
      </c>
      <c r="AM238" s="345">
        <f t="shared" si="168"/>
        <v>-11.020444444444447</v>
      </c>
      <c r="AN238" t="s">
        <v>1563</v>
      </c>
      <c r="AO238" t="s">
        <v>1634</v>
      </c>
      <c r="AP238" t="str">
        <f t="shared" si="155"/>
        <v>DDm125-33</v>
      </c>
      <c r="AQ238" t="str">
        <f>_xlfn.XLOOKUP(A238,'SYS Allocations'!A:A,'SYS Allocations'!B:B)</f>
        <v>P-Core</v>
      </c>
      <c r="AR238" t="str">
        <f>_xlfn.XLOOKUP(A238,'SYS Allocations'!A:A,'SYS Allocations'!C:C)</f>
        <v>RA</v>
      </c>
      <c r="AS238" t="str">
        <f>_xlfn.XLOOKUP(A238,'SYS Allocations'!A:A,'SYS Allocations'!D:D)</f>
        <v>PX</v>
      </c>
      <c r="AT238">
        <f>_xlfn.XLOOKUP(A238,'SYS Allocations'!A:A,'SYS Allocations'!E:E)</f>
        <v>0</v>
      </c>
      <c r="AU238" t="str">
        <f>_xlfn.XLOOKUP(A238,'SYS Allocations'!A:A,'SYS Allocations'!F:F)</f>
        <v>OPEX</v>
      </c>
      <c r="BA238" t="str">
        <f t="shared" si="156"/>
        <v>DDm125-33</v>
      </c>
    </row>
    <row r="239" spans="1:53">
      <c r="A239" s="35" t="s">
        <v>255</v>
      </c>
      <c r="B239" s="35" t="s">
        <v>1590</v>
      </c>
      <c r="C239" s="35" t="s">
        <v>1919</v>
      </c>
      <c r="D239" s="35" t="s">
        <v>1563</v>
      </c>
      <c r="E239" s="35" t="s">
        <v>928</v>
      </c>
      <c r="F239" s="35" t="s">
        <v>1570</v>
      </c>
      <c r="G239" s="105">
        <v>36.6</v>
      </c>
      <c r="H239" s="105">
        <v>67</v>
      </c>
      <c r="I239" s="105">
        <v>850</v>
      </c>
      <c r="J239" s="105">
        <v>46.325000000000003</v>
      </c>
      <c r="K239" s="106">
        <v>45264</v>
      </c>
      <c r="L239" s="105">
        <v>105.32016</v>
      </c>
      <c r="M239" s="105">
        <v>58.995159999999998</v>
      </c>
      <c r="N239" s="105">
        <v>77.150199999999998</v>
      </c>
      <c r="O239" s="105">
        <v>30.825199999999999</v>
      </c>
      <c r="P239" s="35" t="s">
        <v>1610</v>
      </c>
      <c r="Q239" s="35" t="s">
        <v>1581</v>
      </c>
      <c r="R239" s="35" t="s">
        <v>1592</v>
      </c>
      <c r="S239" s="105">
        <v>88.884000000000199</v>
      </c>
      <c r="T239" s="105">
        <v>42.559000000000196</v>
      </c>
      <c r="U239" s="35" t="s">
        <v>1586</v>
      </c>
      <c r="V239" s="35" t="s">
        <v>1611</v>
      </c>
      <c r="W239" s="105">
        <v>112.5</v>
      </c>
      <c r="X239" s="105">
        <v>66.174999999999997</v>
      </c>
      <c r="Y239" s="105">
        <v>9</v>
      </c>
      <c r="Z239" s="35" t="s">
        <v>1920</v>
      </c>
      <c r="AA239">
        <f>VLOOKUP(A239,Cover!A:R,18,0)</f>
        <v>12.45</v>
      </c>
      <c r="AB239" s="77">
        <f t="shared" ref="AB239" si="193">M239-AA239</f>
        <v>46.545159999999996</v>
      </c>
      <c r="AC239" s="77">
        <f t="shared" ref="AC239" si="194">O239-AA239</f>
        <v>18.3752</v>
      </c>
      <c r="AD239" s="77">
        <f t="shared" ref="AD239" si="195">AB239/L239%</f>
        <v>44.193970081321559</v>
      </c>
      <c r="AE239" s="77">
        <f t="shared" ref="AE239" si="196">AC239/N239%</f>
        <v>23.817436636586812</v>
      </c>
      <c r="AF239" s="77">
        <f t="shared" ref="AF239" si="197">T239-AA239</f>
        <v>30.109000000000197</v>
      </c>
      <c r="AG239" s="77">
        <f t="shared" ref="AG239" si="198">AF239/S239%</f>
        <v>33.874488096845475</v>
      </c>
      <c r="AH239" s="346"/>
      <c r="AI239" s="346"/>
      <c r="AJ239" s="346"/>
      <c r="AK239" s="346"/>
      <c r="AL239" s="346"/>
      <c r="AM239" s="345"/>
      <c r="AN239" t="s">
        <v>1563</v>
      </c>
      <c r="AO239" t="s">
        <v>1634</v>
      </c>
      <c r="AP239" t="str">
        <f t="shared" si="155"/>
        <v>DDm125-33</v>
      </c>
      <c r="AQ239">
        <f>_xlfn.XLOOKUP(A239,'SYS Allocations'!A:A,'SYS Allocations'!B:B)</f>
        <v>0</v>
      </c>
      <c r="AR239">
        <f>_xlfn.XLOOKUP(A239,'SYS Allocations'!A:A,'SYS Allocations'!C:C)</f>
        <v>0</v>
      </c>
      <c r="AS239">
        <f>_xlfn.XLOOKUP(A239,'SYS Allocations'!A:A,'SYS Allocations'!D:D)</f>
        <v>0</v>
      </c>
      <c r="AT239">
        <f>_xlfn.XLOOKUP(A239,'SYS Allocations'!A:A,'SYS Allocations'!E:E)</f>
        <v>0</v>
      </c>
      <c r="AU239">
        <f>_xlfn.XLOOKUP(A239,'SYS Allocations'!A:A,'SYS Allocations'!F:F)</f>
        <v>0</v>
      </c>
      <c r="BA239" t="str">
        <f t="shared" si="156"/>
        <v>DDm125-33</v>
      </c>
    </row>
    <row r="240" spans="1:53">
      <c r="A240" s="35" t="s">
        <v>256</v>
      </c>
      <c r="B240" s="35" t="s">
        <v>1590</v>
      </c>
      <c r="C240" s="35" t="s">
        <v>1919</v>
      </c>
      <c r="D240" s="35" t="s">
        <v>1568</v>
      </c>
      <c r="E240" s="35" t="s">
        <v>916</v>
      </c>
      <c r="F240" s="35" t="s">
        <v>1570</v>
      </c>
      <c r="G240" s="105">
        <v>36.6</v>
      </c>
      <c r="H240" s="105">
        <v>60</v>
      </c>
      <c r="I240" s="105">
        <v>340</v>
      </c>
      <c r="J240" s="105">
        <v>18.53</v>
      </c>
      <c r="K240" s="106">
        <v>45232</v>
      </c>
      <c r="L240" s="105">
        <v>94.149839999999998</v>
      </c>
      <c r="M240" s="105">
        <v>75.619839999999996</v>
      </c>
      <c r="N240" s="105">
        <v>96.432299999999998</v>
      </c>
      <c r="O240" s="105">
        <v>77.902299999999997</v>
      </c>
      <c r="P240" s="35" t="s">
        <v>1571</v>
      </c>
      <c r="Q240" s="35" t="s">
        <v>1581</v>
      </c>
      <c r="R240" s="35" t="s">
        <v>1588</v>
      </c>
      <c r="S240" s="105">
        <v>34.279200000000003</v>
      </c>
      <c r="T240" s="105">
        <v>15.7492</v>
      </c>
      <c r="U240" s="35" t="s">
        <v>1610</v>
      </c>
      <c r="V240" s="35" t="s">
        <v>1653</v>
      </c>
      <c r="W240" s="105">
        <v>90</v>
      </c>
      <c r="X240" s="105">
        <v>71.47</v>
      </c>
      <c r="Y240" s="105">
        <v>65</v>
      </c>
      <c r="Z240" s="35" t="s">
        <v>1576</v>
      </c>
      <c r="AA240">
        <f>VLOOKUP(A240,Cover!A:R,18,0)</f>
        <v>11.83</v>
      </c>
      <c r="AB240" s="77">
        <f t="shared" si="157"/>
        <v>63.789839999999998</v>
      </c>
      <c r="AC240" s="77">
        <f t="shared" si="158"/>
        <v>66.072299999999998</v>
      </c>
      <c r="AD240" s="77">
        <f t="shared" si="159"/>
        <v>67.753529905095959</v>
      </c>
      <c r="AE240" s="77">
        <f t="shared" si="160"/>
        <v>68.516772907003158</v>
      </c>
      <c r="AF240" s="77">
        <f t="shared" si="161"/>
        <v>3.9192</v>
      </c>
      <c r="AG240" s="77">
        <f t="shared" si="162"/>
        <v>11.433172302737519</v>
      </c>
      <c r="AH240" s="346">
        <f>AVERAGE(W240:W241)</f>
        <v>90</v>
      </c>
      <c r="AI240" s="346">
        <f>SUM(J240:J241)</f>
        <v>36.351500000000001</v>
      </c>
      <c r="AJ240" s="346">
        <f t="shared" si="165"/>
        <v>53.648499999999999</v>
      </c>
      <c r="AK240" s="346">
        <f>SUM(AA240:AA241)</f>
        <v>23.66</v>
      </c>
      <c r="AL240" s="346">
        <f t="shared" si="167"/>
        <v>29.988499999999998</v>
      </c>
      <c r="AM240" s="345">
        <f t="shared" si="168"/>
        <v>33.320555555555551</v>
      </c>
      <c r="AO240" t="s">
        <v>1634</v>
      </c>
      <c r="AP240" t="str">
        <f t="shared" si="155"/>
        <v>DDm100-27</v>
      </c>
      <c r="AQ240">
        <f>_xlfn.XLOOKUP(A240,'SYS Allocations'!A:A,'SYS Allocations'!B:B)</f>
        <v>0</v>
      </c>
      <c r="AR240">
        <f>_xlfn.XLOOKUP(A240,'SYS Allocations'!A:A,'SYS Allocations'!C:C)</f>
        <v>0</v>
      </c>
      <c r="AS240">
        <f>_xlfn.XLOOKUP(A240,'SYS Allocations'!A:A,'SYS Allocations'!D:D)</f>
        <v>0</v>
      </c>
      <c r="AT240">
        <f>_xlfn.XLOOKUP(A240,'SYS Allocations'!A:A,'SYS Allocations'!E:E)</f>
        <v>0</v>
      </c>
      <c r="AU240">
        <f>_xlfn.XLOOKUP(A240,'SYS Allocations'!A:A,'SYS Allocations'!F:F)</f>
        <v>0</v>
      </c>
      <c r="BA240" t="str">
        <f t="shared" si="156"/>
        <v>DDm100-27</v>
      </c>
    </row>
    <row r="241" spans="1:53">
      <c r="A241" s="35" t="s">
        <v>257</v>
      </c>
      <c r="B241" s="35" t="s">
        <v>1590</v>
      </c>
      <c r="C241" s="35" t="s">
        <v>1919</v>
      </c>
      <c r="D241" s="35" t="s">
        <v>1568</v>
      </c>
      <c r="E241" s="35" t="s">
        <v>916</v>
      </c>
      <c r="F241" s="35" t="s">
        <v>1570</v>
      </c>
      <c r="G241" s="105">
        <v>36.6</v>
      </c>
      <c r="H241" s="105">
        <v>60</v>
      </c>
      <c r="I241" s="105">
        <v>327</v>
      </c>
      <c r="J241" s="105">
        <v>17.8215</v>
      </c>
      <c r="K241" s="106">
        <v>45232</v>
      </c>
      <c r="L241" s="105">
        <v>94.149839999999998</v>
      </c>
      <c r="M241" s="105">
        <v>76.328339999999997</v>
      </c>
      <c r="N241" s="105">
        <v>96.432299999999998</v>
      </c>
      <c r="O241" s="105">
        <v>78.610799999999998</v>
      </c>
      <c r="P241" s="35" t="s">
        <v>1571</v>
      </c>
      <c r="Q241" s="35" t="s">
        <v>1581</v>
      </c>
      <c r="R241" s="35" t="s">
        <v>1588</v>
      </c>
      <c r="S241" s="105">
        <v>34.279200000000003</v>
      </c>
      <c r="T241" s="105">
        <v>16.457699999999999</v>
      </c>
      <c r="U241" s="35" t="s">
        <v>1610</v>
      </c>
      <c r="V241" s="35" t="s">
        <v>1653</v>
      </c>
      <c r="W241" s="105">
        <v>90</v>
      </c>
      <c r="X241" s="105">
        <v>72.1785</v>
      </c>
      <c r="Y241" s="105">
        <v>65</v>
      </c>
      <c r="Z241" s="35" t="s">
        <v>1576</v>
      </c>
      <c r="AA241">
        <f>VLOOKUP(A241,Cover!A:R,18,0)</f>
        <v>11.83</v>
      </c>
      <c r="AB241" s="77">
        <f t="shared" si="157"/>
        <v>64.498339999999999</v>
      </c>
      <c r="AC241" s="77">
        <f t="shared" si="158"/>
        <v>66.780799999999999</v>
      </c>
      <c r="AD241" s="77">
        <f t="shared" si="159"/>
        <v>68.506053754313342</v>
      </c>
      <c r="AE241" s="77">
        <f t="shared" si="160"/>
        <v>69.251485238867062</v>
      </c>
      <c r="AF241" s="77">
        <f t="shared" si="161"/>
        <v>4.627699999999999</v>
      </c>
      <c r="AG241" s="77">
        <f t="shared" si="162"/>
        <v>13.500023337767505</v>
      </c>
      <c r="AH241" s="346"/>
      <c r="AI241" s="346"/>
      <c r="AJ241" s="346"/>
      <c r="AK241" s="346"/>
      <c r="AL241" s="346"/>
      <c r="AM241" s="345"/>
      <c r="AO241" t="s">
        <v>1634</v>
      </c>
      <c r="AP241" t="str">
        <f t="shared" si="155"/>
        <v>DDm100-27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56"/>
        <v>DDm100-27</v>
      </c>
    </row>
    <row r="242" spans="1:53">
      <c r="A242" s="35" t="s">
        <v>258</v>
      </c>
      <c r="B242" s="35" t="s">
        <v>1590</v>
      </c>
      <c r="C242" s="35" t="s">
        <v>1919</v>
      </c>
      <c r="D242" s="35" t="s">
        <v>1568</v>
      </c>
      <c r="E242" s="35" t="s">
        <v>935</v>
      </c>
      <c r="F242" s="35" t="s">
        <v>1625</v>
      </c>
      <c r="G242" s="105">
        <v>55</v>
      </c>
      <c r="H242" s="105">
        <v>8</v>
      </c>
      <c r="I242" s="105">
        <v>61</v>
      </c>
      <c r="J242" s="105">
        <v>3.3245</v>
      </c>
      <c r="K242" s="106">
        <v>44673.604166666701</v>
      </c>
      <c r="L242" s="105">
        <v>16.786000000000001</v>
      </c>
      <c r="M242" s="105">
        <v>13.461499999999999</v>
      </c>
      <c r="N242" s="105">
        <v>19.892499999999998</v>
      </c>
      <c r="O242" s="105">
        <v>16.568000000000001</v>
      </c>
      <c r="P242" s="35" t="s">
        <v>1574</v>
      </c>
      <c r="Q242" s="35" t="s">
        <v>1599</v>
      </c>
      <c r="R242" s="35" t="s">
        <v>1921</v>
      </c>
      <c r="S242" s="105">
        <v>2.2507199999999998</v>
      </c>
      <c r="T242" s="105">
        <v>-1.07378</v>
      </c>
      <c r="U242" s="35" t="s">
        <v>1586</v>
      </c>
      <c r="V242" s="35" t="s">
        <v>1611</v>
      </c>
      <c r="W242" s="105">
        <v>112.5</v>
      </c>
      <c r="X242" s="105">
        <v>109.1755</v>
      </c>
      <c r="Y242" s="105">
        <v>6</v>
      </c>
      <c r="Z242" s="35" t="s">
        <v>1576</v>
      </c>
      <c r="AA242">
        <f>VLOOKUP(A242,Cover!A:R,18,0)</f>
        <v>0</v>
      </c>
      <c r="AB242" s="77">
        <f t="shared" si="157"/>
        <v>13.461499999999999</v>
      </c>
      <c r="AC242" s="77">
        <f t="shared" si="158"/>
        <v>16.568000000000001</v>
      </c>
      <c r="AD242" s="77">
        <f t="shared" si="159"/>
        <v>80.194805194805184</v>
      </c>
      <c r="AE242" s="77">
        <f t="shared" si="160"/>
        <v>83.287671232876718</v>
      </c>
      <c r="AF242" s="77">
        <f t="shared" si="161"/>
        <v>-1.07378</v>
      </c>
      <c r="AG242" s="77">
        <f t="shared" si="162"/>
        <v>-47.708288903106563</v>
      </c>
      <c r="AH242" s="77">
        <f t="shared" si="163"/>
        <v>112.5</v>
      </c>
      <c r="AI242" s="77">
        <f t="shared" si="164"/>
        <v>3.3245</v>
      </c>
      <c r="AJ242" s="77">
        <f t="shared" si="165"/>
        <v>109.1755</v>
      </c>
      <c r="AK242" s="77">
        <f t="shared" si="166"/>
        <v>0</v>
      </c>
      <c r="AL242" s="77">
        <f t="shared" si="167"/>
        <v>109.1755</v>
      </c>
      <c r="AM242" s="77">
        <f t="shared" si="168"/>
        <v>97.044888888888892</v>
      </c>
      <c r="AO242" t="s">
        <v>1577</v>
      </c>
      <c r="AP242" t="str">
        <f t="shared" si="155"/>
        <v>12V125F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56"/>
        <v>12V125F</v>
      </c>
    </row>
    <row r="243" spans="1:53">
      <c r="A243" s="35" t="s">
        <v>259</v>
      </c>
      <c r="B243" s="35" t="s">
        <v>1595</v>
      </c>
      <c r="C243" s="35" t="s">
        <v>1922</v>
      </c>
      <c r="D243" s="35" t="s">
        <v>1568</v>
      </c>
      <c r="E243" s="35" t="s">
        <v>1923</v>
      </c>
      <c r="F243" s="35" t="s">
        <v>1570</v>
      </c>
      <c r="G243" s="105">
        <v>36.6</v>
      </c>
      <c r="H243" s="105">
        <v>4</v>
      </c>
      <c r="I243" s="105">
        <v>38</v>
      </c>
      <c r="J243" s="105">
        <v>2.0710000000000002</v>
      </c>
      <c r="K243" s="106">
        <v>45264</v>
      </c>
      <c r="L243" s="105">
        <v>4.78728</v>
      </c>
      <c r="M243" s="105">
        <v>2.7162799999999998</v>
      </c>
      <c r="N243" s="105">
        <v>3.8749498364999999</v>
      </c>
      <c r="O243" s="105">
        <v>1.8039498365</v>
      </c>
      <c r="P243" s="35" t="s">
        <v>1571</v>
      </c>
      <c r="Q243" s="35" t="s">
        <v>1599</v>
      </c>
      <c r="R243" s="35" t="s">
        <v>1605</v>
      </c>
      <c r="S243" s="105">
        <v>4.2119999999999997</v>
      </c>
      <c r="T243" s="105">
        <v>2.141</v>
      </c>
      <c r="U243" s="35" t="s">
        <v>1574</v>
      </c>
      <c r="V243" s="35" t="s">
        <v>1601</v>
      </c>
      <c r="W243" s="105">
        <v>5.0250000000000004</v>
      </c>
      <c r="X243" s="105">
        <v>2.9540000000000002</v>
      </c>
      <c r="Y243" s="105">
        <v>6</v>
      </c>
      <c r="Z243" s="35" t="s">
        <v>1576</v>
      </c>
      <c r="AA243">
        <f>VLOOKUP(A243,Cover!A:R,18,0)</f>
        <v>0</v>
      </c>
      <c r="AB243" s="77">
        <f t="shared" si="157"/>
        <v>2.7162799999999998</v>
      </c>
      <c r="AC243" s="77">
        <f t="shared" si="158"/>
        <v>1.8039498365</v>
      </c>
      <c r="AD243" s="77">
        <f t="shared" si="159"/>
        <v>56.739526411657558</v>
      </c>
      <c r="AE243" s="77">
        <f t="shared" si="160"/>
        <v>46.554146830695366</v>
      </c>
      <c r="AF243" s="77">
        <f t="shared" si="161"/>
        <v>2.141</v>
      </c>
      <c r="AG243" s="77">
        <f t="shared" si="162"/>
        <v>50.830959164292501</v>
      </c>
      <c r="AH243" s="77">
        <f t="shared" si="163"/>
        <v>5.0250000000000004</v>
      </c>
      <c r="AI243" s="77">
        <f t="shared" si="164"/>
        <v>2.0710000000000002</v>
      </c>
      <c r="AJ243" s="77">
        <f t="shared" si="165"/>
        <v>2.9540000000000002</v>
      </c>
      <c r="AK243" s="77">
        <f t="shared" si="166"/>
        <v>0</v>
      </c>
      <c r="AL243" s="77">
        <f t="shared" si="167"/>
        <v>2.9540000000000002</v>
      </c>
      <c r="AM243" s="77">
        <f t="shared" si="168"/>
        <v>58.786069651741293</v>
      </c>
      <c r="AO243" t="s">
        <v>1577</v>
      </c>
      <c r="AP243" t="str">
        <f t="shared" si="155"/>
        <v>12V155F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56"/>
        <v>12V155F</v>
      </c>
    </row>
    <row r="244" spans="1:53">
      <c r="A244" s="35" t="s">
        <v>260</v>
      </c>
      <c r="B244" s="35" t="s">
        <v>1642</v>
      </c>
      <c r="C244" s="35" t="s">
        <v>1924</v>
      </c>
      <c r="D244" s="35" t="s">
        <v>1563</v>
      </c>
      <c r="E244" s="35" t="s">
        <v>1925</v>
      </c>
      <c r="F244" s="35" t="s">
        <v>1926</v>
      </c>
      <c r="G244" s="105">
        <v>20</v>
      </c>
      <c r="H244" s="105">
        <v>3</v>
      </c>
      <c r="I244" s="105">
        <v>9</v>
      </c>
      <c r="J244" s="105">
        <v>0.49049999999999999</v>
      </c>
      <c r="K244" s="106">
        <v>44720.583333333299</v>
      </c>
      <c r="L244" s="105">
        <v>1.744</v>
      </c>
      <c r="M244" s="105">
        <v>1.2535000000000001</v>
      </c>
      <c r="N244" s="105">
        <v>0.54500000000000004</v>
      </c>
      <c r="O244" s="105">
        <v>5.45E-2</v>
      </c>
      <c r="P244" s="35" t="s">
        <v>1571</v>
      </c>
      <c r="Q244" s="35" t="s">
        <v>1581</v>
      </c>
      <c r="R244" s="35" t="s">
        <v>1675</v>
      </c>
      <c r="S244" s="105">
        <v>2.6892</v>
      </c>
      <c r="T244" s="105">
        <v>2.1987000000000001</v>
      </c>
      <c r="U244" s="35" t="s">
        <v>1574</v>
      </c>
      <c r="V244" s="35" t="s">
        <v>1591</v>
      </c>
      <c r="W244" s="105">
        <v>6</v>
      </c>
      <c r="X244" s="105">
        <v>5.5095000000000001</v>
      </c>
      <c r="Y244" s="105">
        <v>1</v>
      </c>
      <c r="Z244" s="35" t="s">
        <v>1927</v>
      </c>
      <c r="AA244">
        <f>VLOOKUP(A244,Cover!A:R,18,0)</f>
        <v>0</v>
      </c>
      <c r="AB244" s="77">
        <f t="shared" si="157"/>
        <v>1.2535000000000001</v>
      </c>
      <c r="AC244" s="77">
        <f t="shared" si="158"/>
        <v>5.45E-2</v>
      </c>
      <c r="AD244" s="77">
        <f t="shared" si="159"/>
        <v>71.875</v>
      </c>
      <c r="AE244" s="77">
        <f t="shared" si="160"/>
        <v>10</v>
      </c>
      <c r="AF244" s="77">
        <f t="shared" si="161"/>
        <v>2.1987000000000001</v>
      </c>
      <c r="AG244" s="77">
        <f t="shared" si="162"/>
        <v>81.760374832663999</v>
      </c>
      <c r="AH244" s="77">
        <f t="shared" si="163"/>
        <v>6</v>
      </c>
      <c r="AI244" s="77">
        <f t="shared" si="164"/>
        <v>0.49049999999999999</v>
      </c>
      <c r="AJ244" s="77">
        <f t="shared" si="165"/>
        <v>5.5095000000000001</v>
      </c>
      <c r="AK244" s="77">
        <f t="shared" si="166"/>
        <v>0</v>
      </c>
      <c r="AL244" s="77">
        <f t="shared" si="167"/>
        <v>5.5095000000000001</v>
      </c>
      <c r="AM244" s="77">
        <f t="shared" si="168"/>
        <v>91.825000000000003</v>
      </c>
      <c r="AN244" t="s">
        <v>1563</v>
      </c>
      <c r="AO244" t="s">
        <v>1577</v>
      </c>
      <c r="AP244" t="str">
        <f t="shared" si="155"/>
        <v>12V101F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56"/>
        <v xml:space="preserve">12V101F </v>
      </c>
    </row>
    <row r="245" spans="1:53">
      <c r="A245" s="35" t="s">
        <v>261</v>
      </c>
      <c r="B245" s="35" t="s">
        <v>1607</v>
      </c>
      <c r="C245" s="35" t="s">
        <v>1928</v>
      </c>
      <c r="D245" s="35" t="s">
        <v>1568</v>
      </c>
      <c r="E245" s="35" t="s">
        <v>1484</v>
      </c>
      <c r="F245" s="35" t="s">
        <v>1584</v>
      </c>
      <c r="G245" s="105">
        <v>31</v>
      </c>
      <c r="H245" s="105">
        <v>24</v>
      </c>
      <c r="I245" s="105">
        <v>438</v>
      </c>
      <c r="J245" s="105">
        <v>23.870999999999999</v>
      </c>
      <c r="K245" s="106">
        <v>44840</v>
      </c>
      <c r="L245" s="105">
        <v>31.0868</v>
      </c>
      <c r="M245" s="105">
        <v>7.2157999999999998</v>
      </c>
      <c r="N245" s="105">
        <v>18.4755</v>
      </c>
      <c r="O245" s="107">
        <v>-5.3955000000000002</v>
      </c>
      <c r="P245" s="35" t="s">
        <v>1574</v>
      </c>
      <c r="Q245" s="35" t="s">
        <v>1581</v>
      </c>
      <c r="R245" s="35" t="s">
        <v>1803</v>
      </c>
      <c r="S245" s="105">
        <v>32.832000000000001</v>
      </c>
      <c r="T245" s="105">
        <v>8.9610000000000198</v>
      </c>
      <c r="U245" s="35" t="s">
        <v>1604</v>
      </c>
      <c r="V245" s="35" t="s">
        <v>1713</v>
      </c>
      <c r="W245" s="105">
        <v>180</v>
      </c>
      <c r="X245" s="105">
        <v>156.12899999999999</v>
      </c>
      <c r="Y245" s="105">
        <v>107</v>
      </c>
      <c r="Z245" s="35" t="s">
        <v>1576</v>
      </c>
      <c r="AA245">
        <f>VLOOKUP(A245,Cover!A:R,18,0)</f>
        <v>1</v>
      </c>
      <c r="AB245" s="77">
        <f t="shared" si="157"/>
        <v>6.2157999999999998</v>
      </c>
      <c r="AC245" s="77">
        <f t="shared" si="158"/>
        <v>-6.3955000000000002</v>
      </c>
      <c r="AD245" s="77">
        <f t="shared" si="159"/>
        <v>19.994981792915322</v>
      </c>
      <c r="AE245" s="77">
        <f t="shared" si="160"/>
        <v>-34.616113231035698</v>
      </c>
      <c r="AF245" s="77">
        <f t="shared" si="161"/>
        <v>7.9610000000000198</v>
      </c>
      <c r="AG245" s="77">
        <f t="shared" si="162"/>
        <v>24.247685185185247</v>
      </c>
      <c r="AH245" s="77">
        <f t="shared" si="163"/>
        <v>180</v>
      </c>
      <c r="AI245" s="77">
        <f t="shared" si="164"/>
        <v>23.870999999999999</v>
      </c>
      <c r="AJ245" s="77">
        <f t="shared" si="165"/>
        <v>156.12899999999999</v>
      </c>
      <c r="AK245" s="77">
        <f t="shared" si="166"/>
        <v>1</v>
      </c>
      <c r="AL245" s="77">
        <f t="shared" si="167"/>
        <v>155.12899999999999</v>
      </c>
      <c r="AM245" s="77">
        <f t="shared" si="168"/>
        <v>86.182777777777773</v>
      </c>
      <c r="AO245" t="s">
        <v>1577</v>
      </c>
      <c r="AP245" t="str">
        <f t="shared" si="155"/>
        <v>SBS EON 1800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56"/>
        <v>SBS EON 1800</v>
      </c>
    </row>
    <row r="246" spans="1:53">
      <c r="A246" s="35" t="s">
        <v>262</v>
      </c>
      <c r="B246" s="35" t="s">
        <v>1668</v>
      </c>
      <c r="C246" s="35" t="s">
        <v>1929</v>
      </c>
      <c r="D246" s="35" t="s">
        <v>1568</v>
      </c>
      <c r="E246" s="35" t="s">
        <v>1427</v>
      </c>
      <c r="F246" s="35" t="s">
        <v>1570</v>
      </c>
      <c r="G246" s="105">
        <v>36.6</v>
      </c>
      <c r="H246" s="105">
        <v>35</v>
      </c>
      <c r="I246" s="105">
        <v>135</v>
      </c>
      <c r="J246" s="105">
        <v>7.3574999999999999</v>
      </c>
      <c r="K246" s="106">
        <v>44589</v>
      </c>
      <c r="L246" s="105">
        <v>54.255839999999999</v>
      </c>
      <c r="M246" s="105">
        <v>46.898339999999997</v>
      </c>
      <c r="N246" s="105">
        <v>35.119799999999998</v>
      </c>
      <c r="O246" s="105">
        <v>27.7623</v>
      </c>
      <c r="P246" s="35" t="s">
        <v>1571</v>
      </c>
      <c r="Q246" s="35" t="s">
        <v>1581</v>
      </c>
      <c r="R246" s="35" t="s">
        <v>1592</v>
      </c>
      <c r="S246" s="105">
        <v>53.330399999999997</v>
      </c>
      <c r="T246" s="105">
        <v>45.972900000000003</v>
      </c>
      <c r="U246" s="35" t="s">
        <v>1610</v>
      </c>
      <c r="V246" s="35" t="s">
        <v>1930</v>
      </c>
      <c r="W246" s="105">
        <v>66</v>
      </c>
      <c r="X246" s="105">
        <v>58.642499999999998</v>
      </c>
      <c r="Y246" s="105">
        <v>34</v>
      </c>
      <c r="Z246" s="35" t="s">
        <v>1576</v>
      </c>
      <c r="AA246">
        <f>VLOOKUP(A246,Cover!A:R,18,0)</f>
        <v>2.4</v>
      </c>
      <c r="AB246" s="77">
        <f t="shared" si="157"/>
        <v>44.498339999999999</v>
      </c>
      <c r="AC246" s="77">
        <f t="shared" si="158"/>
        <v>25.362300000000001</v>
      </c>
      <c r="AD246" s="77">
        <f t="shared" si="159"/>
        <v>82.015760883989628</v>
      </c>
      <c r="AE246" s="77">
        <f t="shared" si="160"/>
        <v>72.216527428971702</v>
      </c>
      <c r="AF246" s="77">
        <f t="shared" si="161"/>
        <v>43.572900000000004</v>
      </c>
      <c r="AG246" s="77">
        <f t="shared" si="162"/>
        <v>81.703681202466143</v>
      </c>
      <c r="AH246" s="77">
        <f t="shared" si="163"/>
        <v>66</v>
      </c>
      <c r="AI246" s="77">
        <f t="shared" si="164"/>
        <v>7.3574999999999999</v>
      </c>
      <c r="AJ246" s="77">
        <f t="shared" si="165"/>
        <v>58.642499999999998</v>
      </c>
      <c r="AK246" s="77">
        <f t="shared" si="166"/>
        <v>2.4</v>
      </c>
      <c r="AL246" s="77">
        <f t="shared" si="167"/>
        <v>56.2425</v>
      </c>
      <c r="AM246" s="77">
        <f t="shared" si="168"/>
        <v>85.215909090909093</v>
      </c>
      <c r="AO246" t="s">
        <v>1577</v>
      </c>
      <c r="AP246" t="str">
        <f t="shared" si="155"/>
        <v>DDm125-33</v>
      </c>
      <c r="AQ246">
        <f>_xlfn.XLOOKUP(A246,'SYS Allocations'!A:A,'SYS Allocations'!B:B)</f>
        <v>0</v>
      </c>
      <c r="AR246" t="str">
        <f>_xlfn.XLOOKUP(A246,'SYS Allocations'!A:A,'SYS Allocations'!C:C)</f>
        <v>RA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56"/>
        <v>DDm125-33</v>
      </c>
    </row>
    <row r="247" spans="1:53">
      <c r="A247" s="35" t="s">
        <v>263</v>
      </c>
      <c r="B247" s="35" t="s">
        <v>1655</v>
      </c>
      <c r="C247" s="35" t="s">
        <v>1931</v>
      </c>
      <c r="D247" s="35" t="s">
        <v>1563</v>
      </c>
      <c r="E247" s="35" t="s">
        <v>1932</v>
      </c>
      <c r="F247" s="35" t="s">
        <v>1720</v>
      </c>
      <c r="G247" s="105">
        <v>37.5</v>
      </c>
      <c r="H247" s="105">
        <v>6</v>
      </c>
      <c r="I247" s="105">
        <v>49</v>
      </c>
      <c r="J247" s="105">
        <v>2.6705000000000001</v>
      </c>
      <c r="K247" s="106">
        <v>44680.666666666701</v>
      </c>
      <c r="L247" s="105">
        <v>8.1750000000000007</v>
      </c>
      <c r="M247" s="105">
        <v>5.5045000000000002</v>
      </c>
      <c r="N247" s="105">
        <v>8.1095998364999993</v>
      </c>
      <c r="O247" s="105">
        <v>5.4390998364999996</v>
      </c>
      <c r="P247" s="35" t="s">
        <v>1571</v>
      </c>
      <c r="Q247" s="35" t="s">
        <v>1599</v>
      </c>
      <c r="R247" s="35" t="s">
        <v>1605</v>
      </c>
      <c r="S247" s="105">
        <v>4.2119999999999997</v>
      </c>
      <c r="T247" s="105">
        <v>1.5415000000000001</v>
      </c>
      <c r="U247" s="35" t="s">
        <v>1658</v>
      </c>
      <c r="V247" s="35" t="s">
        <v>1591</v>
      </c>
      <c r="W247" s="105">
        <v>6</v>
      </c>
      <c r="X247" s="105">
        <v>3.3294999999999999</v>
      </c>
      <c r="Y247" s="105">
        <v>1</v>
      </c>
      <c r="Z247" s="35" t="s">
        <v>1659</v>
      </c>
      <c r="AA247">
        <f>VLOOKUP(A247,Cover!A:R,18,0)</f>
        <v>0.5</v>
      </c>
      <c r="AB247" s="77">
        <f t="shared" si="157"/>
        <v>5.0045000000000002</v>
      </c>
      <c r="AC247" s="77">
        <f t="shared" si="158"/>
        <v>4.9390998364999996</v>
      </c>
      <c r="AD247" s="77">
        <f t="shared" si="159"/>
        <v>61.217125382262999</v>
      </c>
      <c r="AE247" s="77">
        <f t="shared" si="160"/>
        <v>60.904359476159463</v>
      </c>
      <c r="AF247" s="77">
        <f t="shared" si="161"/>
        <v>1.0415000000000001</v>
      </c>
      <c r="AG247" s="77">
        <f t="shared" si="162"/>
        <v>24.726970560303897</v>
      </c>
      <c r="AH247" s="77">
        <f t="shared" si="163"/>
        <v>6</v>
      </c>
      <c r="AI247" s="77">
        <f t="shared" si="164"/>
        <v>2.6705000000000001</v>
      </c>
      <c r="AJ247" s="77">
        <f t="shared" si="165"/>
        <v>3.3294999999999999</v>
      </c>
      <c r="AK247" s="77">
        <f t="shared" si="166"/>
        <v>0.5</v>
      </c>
      <c r="AL247" s="77">
        <f t="shared" si="167"/>
        <v>2.8294999999999999</v>
      </c>
      <c r="AM247" s="77">
        <f t="shared" si="168"/>
        <v>47.158333333333331</v>
      </c>
      <c r="AN247" t="s">
        <v>1563</v>
      </c>
      <c r="AO247" t="s">
        <v>1577</v>
      </c>
      <c r="AP247" t="str">
        <f t="shared" si="155"/>
        <v>12V155F</v>
      </c>
      <c r="AQ247">
        <f>_xlfn.XLOOKUP(A247,'SYS Allocations'!A:A,'SYS Allocations'!B:B)</f>
        <v>0</v>
      </c>
      <c r="AR247">
        <f>_xlfn.XLOOKUP(A247,'SYS Allocations'!A:A,'SYS Allocations'!C:C)</f>
        <v>0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56"/>
        <v>12V155F</v>
      </c>
    </row>
    <row r="248" spans="1:53">
      <c r="A248" s="35" t="s">
        <v>264</v>
      </c>
      <c r="B248" s="35" t="s">
        <v>1655</v>
      </c>
      <c r="C248" s="35" t="s">
        <v>1933</v>
      </c>
      <c r="D248" s="35" t="s">
        <v>1568</v>
      </c>
      <c r="E248" s="35" t="s">
        <v>1180</v>
      </c>
      <c r="F248" s="35" t="s">
        <v>1625</v>
      </c>
      <c r="G248" s="105">
        <v>55</v>
      </c>
      <c r="H248" s="105">
        <v>26</v>
      </c>
      <c r="I248" s="105">
        <v>691</v>
      </c>
      <c r="J248" s="105">
        <v>37.659500000000001</v>
      </c>
      <c r="K248" s="106">
        <v>44645.666666666701</v>
      </c>
      <c r="L248" s="105">
        <v>59.95</v>
      </c>
      <c r="M248" s="105">
        <v>22.290500000000002</v>
      </c>
      <c r="N248" s="105">
        <v>42.237499999999997</v>
      </c>
      <c r="O248" s="105">
        <v>4.5780000000000003</v>
      </c>
      <c r="P248" s="35" t="s">
        <v>1571</v>
      </c>
      <c r="Q248" s="35" t="s">
        <v>1581</v>
      </c>
      <c r="R248" s="35" t="s">
        <v>1592</v>
      </c>
      <c r="S248" s="105">
        <v>53.330399999999997</v>
      </c>
      <c r="T248" s="105">
        <v>15.6709</v>
      </c>
      <c r="U248" s="35" t="s">
        <v>1618</v>
      </c>
      <c r="V248" s="35" t="s">
        <v>1934</v>
      </c>
      <c r="W248" s="105">
        <v>58.5</v>
      </c>
      <c r="X248" s="105">
        <v>20.840499999999999</v>
      </c>
      <c r="Y248" s="105">
        <v>34</v>
      </c>
      <c r="Z248" s="35" t="s">
        <v>1576</v>
      </c>
      <c r="AA248">
        <f>VLOOKUP(A248,Cover!A:R,18,0)</f>
        <v>2.7</v>
      </c>
      <c r="AB248" s="77">
        <f t="shared" si="157"/>
        <v>19.590500000000002</v>
      </c>
      <c r="AC248" s="77">
        <f t="shared" si="158"/>
        <v>1.8780000000000001</v>
      </c>
      <c r="AD248" s="77">
        <f t="shared" si="159"/>
        <v>32.678065054211842</v>
      </c>
      <c r="AE248" s="77">
        <f t="shared" si="160"/>
        <v>4.4462858833974561</v>
      </c>
      <c r="AF248" s="77">
        <f t="shared" si="161"/>
        <v>12.9709</v>
      </c>
      <c r="AG248" s="77">
        <f t="shared" si="162"/>
        <v>24.321775197635869</v>
      </c>
      <c r="AH248" s="77">
        <f t="shared" si="163"/>
        <v>58.5</v>
      </c>
      <c r="AI248" s="77">
        <f t="shared" si="164"/>
        <v>37.659500000000001</v>
      </c>
      <c r="AJ248" s="77">
        <f t="shared" si="165"/>
        <v>20.840499999999999</v>
      </c>
      <c r="AK248" s="77">
        <f t="shared" si="166"/>
        <v>2.7</v>
      </c>
      <c r="AL248" s="77">
        <f t="shared" si="167"/>
        <v>18.140499999999999</v>
      </c>
      <c r="AM248" s="77">
        <f t="shared" si="168"/>
        <v>31.009401709401711</v>
      </c>
      <c r="AO248" t="s">
        <v>1577</v>
      </c>
      <c r="AP248" t="str">
        <f t="shared" si="155"/>
        <v>DDm125-33</v>
      </c>
      <c r="AQ248">
        <f>_xlfn.XLOOKUP(A248,'SYS Allocations'!A:A,'SYS Allocations'!B:B)</f>
        <v>0</v>
      </c>
      <c r="AR248" t="str">
        <f>_xlfn.XLOOKUP(A248,'SYS Allocations'!A:A,'SYS Allocations'!C:C)</f>
        <v>RA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56"/>
        <v>DDm125-33</v>
      </c>
    </row>
    <row r="249" spans="1:53">
      <c r="A249" s="35" t="s">
        <v>265</v>
      </c>
      <c r="B249" s="35" t="s">
        <v>1566</v>
      </c>
      <c r="C249" s="35" t="s">
        <v>1935</v>
      </c>
      <c r="D249" s="35" t="s">
        <v>1568</v>
      </c>
      <c r="E249" s="35" t="s">
        <v>793</v>
      </c>
      <c r="F249" s="35" t="s">
        <v>1570</v>
      </c>
      <c r="G249" s="105">
        <v>36.6</v>
      </c>
      <c r="H249" s="105">
        <v>15</v>
      </c>
      <c r="I249" s="105">
        <v>137</v>
      </c>
      <c r="J249" s="105">
        <v>7.4664999999999999</v>
      </c>
      <c r="K249" s="106">
        <v>44251</v>
      </c>
      <c r="L249" s="105">
        <v>22.34064</v>
      </c>
      <c r="M249" s="105">
        <v>14.874140000000001</v>
      </c>
      <c r="N249" s="105">
        <v>14.845800000000001</v>
      </c>
      <c r="O249" s="105">
        <v>7.3792999999999997</v>
      </c>
      <c r="P249" s="35" t="s">
        <v>1574</v>
      </c>
      <c r="Q249" s="35" t="s">
        <v>1581</v>
      </c>
      <c r="R249" s="35" t="s">
        <v>1585</v>
      </c>
      <c r="S249" s="105">
        <v>21.1248</v>
      </c>
      <c r="T249" s="105">
        <v>13.658300000000001</v>
      </c>
      <c r="U249" s="35" t="s">
        <v>1610</v>
      </c>
      <c r="V249" s="35" t="s">
        <v>1936</v>
      </c>
      <c r="W249" s="105">
        <v>28.35</v>
      </c>
      <c r="X249" s="105">
        <v>20.883500000000002</v>
      </c>
      <c r="Y249" s="105">
        <v>42</v>
      </c>
      <c r="Z249" s="35" t="s">
        <v>1576</v>
      </c>
      <c r="AA249">
        <f>VLOOKUP(A249,Cover!A:R,18,0)</f>
        <v>1</v>
      </c>
      <c r="AB249" s="77">
        <f t="shared" si="157"/>
        <v>13.874140000000001</v>
      </c>
      <c r="AC249" s="77">
        <f t="shared" si="158"/>
        <v>6.3792999999999997</v>
      </c>
      <c r="AD249" s="77">
        <f t="shared" si="159"/>
        <v>62.102697147440722</v>
      </c>
      <c r="AE249" s="77">
        <f t="shared" si="160"/>
        <v>42.970402403373342</v>
      </c>
      <c r="AF249" s="77">
        <f t="shared" si="161"/>
        <v>12.658300000000001</v>
      </c>
      <c r="AG249" s="77">
        <f t="shared" si="162"/>
        <v>59.921514049837164</v>
      </c>
      <c r="AH249" s="77">
        <f t="shared" si="163"/>
        <v>28.35</v>
      </c>
      <c r="AI249" s="77">
        <f t="shared" si="164"/>
        <v>7.4664999999999999</v>
      </c>
      <c r="AJ249" s="77">
        <f t="shared" si="165"/>
        <v>20.883500000000002</v>
      </c>
      <c r="AK249" s="77">
        <f t="shared" si="166"/>
        <v>1</v>
      </c>
      <c r="AL249" s="77">
        <f t="shared" si="167"/>
        <v>19.883500000000002</v>
      </c>
      <c r="AM249" s="77">
        <f t="shared" si="168"/>
        <v>70.135802469135797</v>
      </c>
      <c r="AO249" t="s">
        <v>1577</v>
      </c>
      <c r="AP249" t="str">
        <f t="shared" si="155"/>
        <v>DDm100-25</v>
      </c>
      <c r="AQ249">
        <f>_xlfn.XLOOKUP(A249,'SYS Allocations'!A:A,'SYS Allocations'!B:B)</f>
        <v>0</v>
      </c>
      <c r="AR249">
        <f>_xlfn.XLOOKUP(A249,'SYS Allocations'!A:A,'SYS Allocations'!C:C)</f>
        <v>0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56"/>
        <v>DDm100-25</v>
      </c>
    </row>
    <row r="250" spans="1:53">
      <c r="A250" s="35" t="s">
        <v>266</v>
      </c>
      <c r="B250" s="35" t="s">
        <v>1620</v>
      </c>
      <c r="C250" s="35" t="s">
        <v>1937</v>
      </c>
      <c r="D250" s="35" t="s">
        <v>1568</v>
      </c>
      <c r="E250" s="35" t="s">
        <v>1041</v>
      </c>
      <c r="F250" s="35" t="s">
        <v>1570</v>
      </c>
      <c r="G250" s="105">
        <v>36.6</v>
      </c>
      <c r="H250" s="105">
        <v>15</v>
      </c>
      <c r="I250" s="105">
        <v>178</v>
      </c>
      <c r="J250" s="105">
        <v>9.7010000000000005</v>
      </c>
      <c r="K250" s="106">
        <v>44627.458333333299</v>
      </c>
      <c r="L250" s="105">
        <v>22.34064</v>
      </c>
      <c r="M250" s="105">
        <v>12.63964</v>
      </c>
      <c r="N250" s="105">
        <v>11.248799999999999</v>
      </c>
      <c r="O250" s="105">
        <v>1.5478000000000001</v>
      </c>
      <c r="P250" s="35" t="s">
        <v>1571</v>
      </c>
      <c r="Q250" s="35" t="s">
        <v>1581</v>
      </c>
      <c r="R250" s="35" t="s">
        <v>1582</v>
      </c>
      <c r="S250" s="105">
        <v>26.1144</v>
      </c>
      <c r="T250" s="105">
        <v>16.413399999999999</v>
      </c>
      <c r="U250" s="35" t="s">
        <v>1571</v>
      </c>
      <c r="V250" s="35" t="s">
        <v>1938</v>
      </c>
      <c r="W250" s="105">
        <v>11.1</v>
      </c>
      <c r="X250" s="105">
        <v>1.399</v>
      </c>
      <c r="Y250" s="105">
        <v>12</v>
      </c>
      <c r="Z250" s="35" t="s">
        <v>1576</v>
      </c>
      <c r="AA250">
        <f>VLOOKUP(A250,Cover!A:R,18,0)</f>
        <v>2.4</v>
      </c>
      <c r="AB250" s="77">
        <f t="shared" si="157"/>
        <v>10.23964</v>
      </c>
      <c r="AC250" s="77">
        <f t="shared" si="158"/>
        <v>-0.85219999999999985</v>
      </c>
      <c r="AD250" s="77">
        <f t="shared" si="159"/>
        <v>45.834139039884263</v>
      </c>
      <c r="AE250" s="77">
        <f t="shared" si="160"/>
        <v>-7.5759192091600873</v>
      </c>
      <c r="AF250" s="77">
        <f t="shared" si="161"/>
        <v>14.013399999999999</v>
      </c>
      <c r="AG250" s="77">
        <f t="shared" si="162"/>
        <v>53.661581349753391</v>
      </c>
      <c r="AH250" s="77">
        <f t="shared" si="163"/>
        <v>11.1</v>
      </c>
      <c r="AI250" s="77">
        <f t="shared" si="164"/>
        <v>9.7010000000000005</v>
      </c>
      <c r="AJ250" s="77">
        <f t="shared" si="165"/>
        <v>1.3989999999999991</v>
      </c>
      <c r="AK250" s="77">
        <f t="shared" si="166"/>
        <v>2.4</v>
      </c>
      <c r="AL250" s="77">
        <f t="shared" si="167"/>
        <v>-1.0010000000000008</v>
      </c>
      <c r="AM250" s="77">
        <f t="shared" si="168"/>
        <v>-9.0180180180180241</v>
      </c>
      <c r="AO250" t="s">
        <v>1577</v>
      </c>
      <c r="AP250" t="str">
        <f t="shared" si="155"/>
        <v>DDm85-25</v>
      </c>
      <c r="AQ250">
        <f>_xlfn.XLOOKUP(A250,'SYS Allocations'!A:A,'SYS Allocations'!B:B)</f>
        <v>0</v>
      </c>
      <c r="AR250" t="str">
        <f>_xlfn.XLOOKUP(A250,'SYS Allocations'!A:A,'SYS Allocations'!C:C)</f>
        <v>RA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56"/>
        <v>DDm85-25</v>
      </c>
    </row>
    <row r="251" spans="1:53">
      <c r="A251" s="35" t="s">
        <v>267</v>
      </c>
      <c r="B251" s="35" t="s">
        <v>1636</v>
      </c>
      <c r="C251" s="35" t="s">
        <v>1939</v>
      </c>
      <c r="D251" s="35" t="s">
        <v>1568</v>
      </c>
      <c r="E251" s="35" t="s">
        <v>1112</v>
      </c>
      <c r="F251" s="35" t="s">
        <v>1580</v>
      </c>
      <c r="G251" s="105">
        <v>75</v>
      </c>
      <c r="H251" s="105">
        <v>9</v>
      </c>
      <c r="I251" s="105">
        <v>240</v>
      </c>
      <c r="J251" s="105">
        <v>13.08</v>
      </c>
      <c r="K251" s="106">
        <v>44049</v>
      </c>
      <c r="L251" s="105">
        <v>26.16</v>
      </c>
      <c r="M251" s="105">
        <v>13.08</v>
      </c>
      <c r="N251" s="105">
        <v>19.62</v>
      </c>
      <c r="O251" s="105">
        <v>6.54</v>
      </c>
      <c r="P251" s="35" t="s">
        <v>1574</v>
      </c>
      <c r="Q251" s="35" t="s">
        <v>1581</v>
      </c>
      <c r="R251" s="35" t="s">
        <v>1585</v>
      </c>
      <c r="S251" s="105">
        <v>21.1248</v>
      </c>
      <c r="T251" s="105">
        <v>8.0448000000000093</v>
      </c>
      <c r="U251" s="35" t="s">
        <v>1571</v>
      </c>
      <c r="V251" s="35" t="s">
        <v>1683</v>
      </c>
      <c r="W251" s="105">
        <v>33</v>
      </c>
      <c r="X251" s="105">
        <v>19.920000000000002</v>
      </c>
      <c r="Y251" s="105">
        <v>67</v>
      </c>
      <c r="Z251" s="35" t="s">
        <v>1576</v>
      </c>
      <c r="AA251">
        <f>VLOOKUP(A251,Cover!A:R,18,0)</f>
        <v>1</v>
      </c>
      <c r="AB251" s="77">
        <f t="shared" si="157"/>
        <v>12.08</v>
      </c>
      <c r="AC251" s="77">
        <f t="shared" si="158"/>
        <v>5.54</v>
      </c>
      <c r="AD251" s="77">
        <f t="shared" si="159"/>
        <v>46.177370030581038</v>
      </c>
      <c r="AE251" s="77">
        <f t="shared" si="160"/>
        <v>28.236493374108051</v>
      </c>
      <c r="AF251" s="77">
        <f t="shared" si="161"/>
        <v>7.0448000000000093</v>
      </c>
      <c r="AG251" s="77">
        <f t="shared" si="162"/>
        <v>33.348481405741168</v>
      </c>
      <c r="AH251" s="77">
        <f t="shared" si="163"/>
        <v>33</v>
      </c>
      <c r="AI251" s="77">
        <f t="shared" si="164"/>
        <v>13.08</v>
      </c>
      <c r="AJ251" s="77">
        <f t="shared" si="165"/>
        <v>19.920000000000002</v>
      </c>
      <c r="AK251" s="77">
        <f t="shared" si="166"/>
        <v>1</v>
      </c>
      <c r="AL251" s="77">
        <f t="shared" si="167"/>
        <v>18.920000000000002</v>
      </c>
      <c r="AM251" s="77">
        <f t="shared" si="168"/>
        <v>57.333333333333336</v>
      </c>
      <c r="AO251" t="s">
        <v>1577</v>
      </c>
      <c r="AP251" t="str">
        <f t="shared" si="155"/>
        <v>DDm100-25</v>
      </c>
      <c r="AQ251">
        <f>_xlfn.XLOOKUP(A251,'SYS Allocations'!A:A,'SYS Allocations'!B:B)</f>
        <v>0</v>
      </c>
      <c r="AR251">
        <f>_xlfn.XLOOKUP(A251,'SYS Allocations'!A:A,'SYS Allocations'!C:C)</f>
        <v>0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56"/>
        <v>DDm100-25</v>
      </c>
    </row>
    <row r="252" spans="1:53">
      <c r="A252" s="35" t="s">
        <v>268</v>
      </c>
      <c r="B252" s="35" t="s">
        <v>1636</v>
      </c>
      <c r="C252" s="35" t="s">
        <v>1939</v>
      </c>
      <c r="D252" s="35" t="s">
        <v>1568</v>
      </c>
      <c r="E252" s="35" t="s">
        <v>1114</v>
      </c>
      <c r="F252" s="35" t="s">
        <v>1639</v>
      </c>
      <c r="G252" s="105">
        <v>50</v>
      </c>
      <c r="H252" s="105">
        <v>5</v>
      </c>
      <c r="I252" s="105">
        <v>81.8</v>
      </c>
      <c r="J252" s="105">
        <v>4.4581</v>
      </c>
      <c r="K252" s="106">
        <v>44739.411111111098</v>
      </c>
      <c r="L252" s="105">
        <v>8.7200000000000006</v>
      </c>
      <c r="M252" s="105">
        <v>4.2618999999999998</v>
      </c>
      <c r="N252" s="105">
        <v>4.4145000000000003</v>
      </c>
      <c r="O252" s="107">
        <v>-4.3599999999999799E-2</v>
      </c>
      <c r="P252" s="35" t="s">
        <v>1574</v>
      </c>
      <c r="Q252" s="35" t="s">
        <v>1581</v>
      </c>
      <c r="R252" s="35" t="s">
        <v>1609</v>
      </c>
      <c r="S252" s="105">
        <v>10.1088</v>
      </c>
      <c r="T252" s="105">
        <v>5.6506999999999801</v>
      </c>
      <c r="U252" s="35" t="s">
        <v>1574</v>
      </c>
      <c r="V252" s="35" t="s">
        <v>1583</v>
      </c>
      <c r="W252" s="105">
        <v>22.5</v>
      </c>
      <c r="X252" s="105">
        <v>18.041899999999998</v>
      </c>
      <c r="Y252" s="105">
        <v>42</v>
      </c>
      <c r="Z252" s="35" t="s">
        <v>1576</v>
      </c>
      <c r="AA252">
        <f>VLOOKUP(A252,Cover!A:R,18,0)</f>
        <v>0</v>
      </c>
      <c r="AB252" s="77">
        <f t="shared" si="157"/>
        <v>4.2618999999999998</v>
      </c>
      <c r="AC252" s="77">
        <f t="shared" si="158"/>
        <v>-4.3599999999999799E-2</v>
      </c>
      <c r="AD252" s="77">
        <f t="shared" si="159"/>
        <v>48.875</v>
      </c>
      <c r="AE252" s="77">
        <f t="shared" si="160"/>
        <v>-0.98765432098764971</v>
      </c>
      <c r="AF252" s="77">
        <f t="shared" si="161"/>
        <v>5.6506999999999801</v>
      </c>
      <c r="AG252" s="77">
        <f t="shared" si="162"/>
        <v>55.898820829376184</v>
      </c>
      <c r="AH252" s="77">
        <f t="shared" si="163"/>
        <v>22.5</v>
      </c>
      <c r="AI252" s="77">
        <f t="shared" si="164"/>
        <v>4.4581</v>
      </c>
      <c r="AJ252" s="77">
        <f t="shared" si="165"/>
        <v>18.041899999999998</v>
      </c>
      <c r="AK252" s="77">
        <f t="shared" si="166"/>
        <v>0</v>
      </c>
      <c r="AL252" s="77">
        <f t="shared" si="167"/>
        <v>18.041899999999998</v>
      </c>
      <c r="AM252" s="77">
        <f t="shared" si="168"/>
        <v>80.186222222222213</v>
      </c>
      <c r="AO252" t="s">
        <v>1577</v>
      </c>
      <c r="AP252" t="str">
        <f t="shared" si="155"/>
        <v>2DDm85-15</v>
      </c>
      <c r="AQ252">
        <f>_xlfn.XLOOKUP(A252,'SYS Allocations'!A:A,'SYS Allocations'!B:B)</f>
        <v>0</v>
      </c>
      <c r="AR252">
        <f>_xlfn.XLOOKUP(A252,'SYS Allocations'!A:A,'SYS Allocations'!C:C)</f>
        <v>0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56"/>
        <v>2DDm85-15</v>
      </c>
    </row>
    <row r="253" spans="1:53">
      <c r="A253" s="35"/>
      <c r="B253" s="35" t="s">
        <v>1590</v>
      </c>
      <c r="C253" s="35" t="s">
        <v>1729</v>
      </c>
      <c r="D253" s="35" t="s">
        <v>1568</v>
      </c>
      <c r="E253" s="35" t="s">
        <v>835</v>
      </c>
      <c r="F253" s="35"/>
      <c r="G253" s="105"/>
      <c r="H253" s="105"/>
      <c r="I253" s="105"/>
      <c r="J253" s="105"/>
      <c r="K253" s="106"/>
      <c r="L253" s="105"/>
      <c r="M253" s="105"/>
      <c r="N253" s="105"/>
      <c r="O253" s="105"/>
      <c r="P253" s="35"/>
      <c r="Q253" s="35"/>
      <c r="R253" s="35"/>
      <c r="S253" s="105"/>
      <c r="T253" s="105"/>
      <c r="U253" s="35" t="s">
        <v>1574</v>
      </c>
      <c r="V253" s="35" t="s">
        <v>1583</v>
      </c>
      <c r="W253" s="105">
        <v>22.5</v>
      </c>
      <c r="X253" s="105">
        <v>18.041899999999998</v>
      </c>
      <c r="Y253" s="105">
        <v>42</v>
      </c>
      <c r="Z253" s="35" t="s">
        <v>1576</v>
      </c>
      <c r="AA253" t="e">
        <f>VLOOKUP(A253,Cover!A:R,18,0)</f>
        <v>#N/A</v>
      </c>
      <c r="AB253" s="77" t="e">
        <f t="shared" si="157"/>
        <v>#N/A</v>
      </c>
      <c r="AC253" s="77" t="e">
        <f t="shared" si="158"/>
        <v>#N/A</v>
      </c>
      <c r="AD253" s="77" t="e">
        <f t="shared" si="159"/>
        <v>#N/A</v>
      </c>
      <c r="AE253" s="77" t="e">
        <f t="shared" si="160"/>
        <v>#N/A</v>
      </c>
      <c r="AF253" s="77" t="e">
        <f t="shared" si="161"/>
        <v>#N/A</v>
      </c>
      <c r="AG253" s="77" t="e">
        <f t="shared" si="162"/>
        <v>#N/A</v>
      </c>
      <c r="AH253" s="77">
        <f t="shared" si="163"/>
        <v>22.5</v>
      </c>
      <c r="AI253" s="77">
        <f t="shared" si="164"/>
        <v>0</v>
      </c>
      <c r="AJ253" s="77">
        <f t="shared" si="165"/>
        <v>22.5</v>
      </c>
      <c r="AK253" s="77" t="e">
        <f t="shared" si="166"/>
        <v>#N/A</v>
      </c>
      <c r="AL253" s="77" t="e">
        <f t="shared" si="167"/>
        <v>#N/A</v>
      </c>
      <c r="AM253" s="77" t="e">
        <f t="shared" si="168"/>
        <v>#N/A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</row>
    <row r="254" spans="1:53">
      <c r="A254" s="35"/>
      <c r="B254" s="35" t="s">
        <v>1590</v>
      </c>
      <c r="C254" s="35" t="s">
        <v>1917</v>
      </c>
      <c r="D254" s="35" t="s">
        <v>1568</v>
      </c>
      <c r="E254" s="35" t="s">
        <v>1940</v>
      </c>
      <c r="F254" s="35" t="s">
        <v>1941</v>
      </c>
      <c r="G254" s="105"/>
      <c r="H254" s="105"/>
      <c r="I254" s="105"/>
      <c r="J254" s="105"/>
      <c r="K254" s="106"/>
      <c r="L254" s="105"/>
      <c r="M254" s="105"/>
      <c r="N254" s="105"/>
      <c r="O254" s="105"/>
      <c r="P254" s="35"/>
      <c r="Q254" s="35"/>
      <c r="R254" s="35"/>
      <c r="S254" s="105"/>
      <c r="T254" s="105"/>
      <c r="U254" s="35" t="s">
        <v>1571</v>
      </c>
      <c r="V254" s="35" t="s">
        <v>1942</v>
      </c>
      <c r="W254" s="105">
        <v>174</v>
      </c>
      <c r="X254" s="105">
        <v>174</v>
      </c>
      <c r="Y254" s="105">
        <v>5</v>
      </c>
      <c r="Z254" s="35"/>
      <c r="AA254" t="e">
        <f>VLOOKUP(A254,Cover!A:R,18,0)</f>
        <v>#N/A</v>
      </c>
      <c r="AB254" s="77" t="e">
        <f t="shared" si="157"/>
        <v>#N/A</v>
      </c>
      <c r="AC254" s="77" t="e">
        <f t="shared" si="158"/>
        <v>#N/A</v>
      </c>
      <c r="AD254" s="77" t="e">
        <f t="shared" si="159"/>
        <v>#N/A</v>
      </c>
      <c r="AE254" s="77" t="e">
        <f t="shared" si="160"/>
        <v>#N/A</v>
      </c>
      <c r="AF254" s="77" t="e">
        <f t="shared" si="161"/>
        <v>#N/A</v>
      </c>
      <c r="AG254" s="77" t="e">
        <f t="shared" si="162"/>
        <v>#N/A</v>
      </c>
      <c r="AH254" s="77">
        <f t="shared" si="163"/>
        <v>174</v>
      </c>
      <c r="AI254" s="77">
        <f t="shared" si="164"/>
        <v>0</v>
      </c>
      <c r="AJ254" s="77">
        <f t="shared" si="165"/>
        <v>174</v>
      </c>
      <c r="AK254" s="77" t="e">
        <f t="shared" si="166"/>
        <v>#N/A</v>
      </c>
      <c r="AL254" s="77" t="e">
        <f t="shared" si="167"/>
        <v>#N/A</v>
      </c>
      <c r="AM254" s="77" t="e">
        <f t="shared" si="168"/>
        <v>#N/A</v>
      </c>
      <c r="AQ254" t="e">
        <f>_xlfn.XLOOKUP(A254,'SYS Allocations'!A:A,'SYS Allocations'!B:B)</f>
        <v>#N/A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 t="e">
        <f>_xlfn.XLOOKUP(A254,'SYS Allocations'!A:A,'SYS Allocations'!E:E)</f>
        <v>#N/A</v>
      </c>
      <c r="AU254">
        <f>_xlfn.XLOOKUP(A254,'SYS Allocations'!A:A,'SYS Allocations'!F:F)</f>
        <v>0</v>
      </c>
    </row>
    <row r="255" spans="1:53">
      <c r="A255" s="35"/>
      <c r="B255" s="35" t="s">
        <v>1620</v>
      </c>
      <c r="C255" s="35" t="s">
        <v>1647</v>
      </c>
      <c r="D255" s="35" t="s">
        <v>1568</v>
      </c>
      <c r="E255" s="35" t="s">
        <v>1028</v>
      </c>
      <c r="F255" s="35" t="s">
        <v>1941</v>
      </c>
      <c r="G255" s="105"/>
      <c r="H255" s="105"/>
      <c r="I255" s="105"/>
      <c r="J255" s="105"/>
      <c r="K255" s="106"/>
      <c r="L255" s="105"/>
      <c r="M255" s="105"/>
      <c r="N255" s="105"/>
      <c r="O255" s="105"/>
      <c r="P255" s="35"/>
      <c r="Q255" s="35"/>
      <c r="R255" s="35"/>
      <c r="S255" s="105"/>
      <c r="T255" s="105"/>
      <c r="U255" s="35" t="s">
        <v>1574</v>
      </c>
      <c r="V255" s="35" t="s">
        <v>1583</v>
      </c>
      <c r="W255" s="105">
        <v>22.5</v>
      </c>
      <c r="X255" s="105">
        <v>22.5</v>
      </c>
      <c r="Y255" s="105">
        <v>16</v>
      </c>
      <c r="Z255" s="35"/>
      <c r="AA255" t="e">
        <f>VLOOKUP(A255,Cover!A:R,18,0)</f>
        <v>#N/A</v>
      </c>
      <c r="AB255" s="77" t="e">
        <f t="shared" si="157"/>
        <v>#N/A</v>
      </c>
      <c r="AC255" s="77" t="e">
        <f t="shared" si="158"/>
        <v>#N/A</v>
      </c>
      <c r="AD255" s="77" t="e">
        <f t="shared" si="159"/>
        <v>#N/A</v>
      </c>
      <c r="AE255" s="77" t="e">
        <f t="shared" si="160"/>
        <v>#N/A</v>
      </c>
      <c r="AF255" s="77" t="e">
        <f t="shared" si="161"/>
        <v>#N/A</v>
      </c>
      <c r="AG255" s="77" t="e">
        <f t="shared" si="162"/>
        <v>#N/A</v>
      </c>
      <c r="AH255" s="77">
        <f t="shared" si="163"/>
        <v>22.5</v>
      </c>
      <c r="AI255" s="77">
        <f t="shared" si="164"/>
        <v>0</v>
      </c>
      <c r="AJ255" s="77">
        <f t="shared" si="165"/>
        <v>22.5</v>
      </c>
      <c r="AK255" s="77" t="e">
        <f t="shared" si="166"/>
        <v>#N/A</v>
      </c>
      <c r="AL255" s="77" t="e">
        <f t="shared" si="167"/>
        <v>#N/A</v>
      </c>
      <c r="AM255" s="77" t="e">
        <f t="shared" si="168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 t="e">
        <f>_xlfn.XLOOKUP(A255,'SYS Allocations'!A:A,'SYS Allocations'!D:D)</f>
        <v>#N/A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1620</v>
      </c>
      <c r="C256" s="35" t="s">
        <v>1812</v>
      </c>
      <c r="D256" s="35" t="s">
        <v>1568</v>
      </c>
      <c r="E256" s="35" t="s">
        <v>1943</v>
      </c>
      <c r="F256" s="35" t="s">
        <v>1941</v>
      </c>
      <c r="G256" s="105"/>
      <c r="H256" s="105"/>
      <c r="I256" s="105"/>
      <c r="J256" s="105"/>
      <c r="K256" s="106"/>
      <c r="L256" s="105"/>
      <c r="M256" s="105"/>
      <c r="N256" s="105"/>
      <c r="O256" s="105"/>
      <c r="P256" s="35"/>
      <c r="Q256" s="35"/>
      <c r="R256" s="35"/>
      <c r="S256" s="105"/>
      <c r="T256" s="105"/>
      <c r="U256" s="35" t="s">
        <v>1574</v>
      </c>
      <c r="V256" s="35" t="s">
        <v>1944</v>
      </c>
      <c r="W256" s="105">
        <v>7.6875</v>
      </c>
      <c r="X256" s="105">
        <v>7.6875</v>
      </c>
      <c r="Y256" s="105">
        <v>1</v>
      </c>
      <c r="Z256" s="35"/>
      <c r="AA256" t="e">
        <f>VLOOKUP(A256,Cover!A:R,18,0)</f>
        <v>#N/A</v>
      </c>
      <c r="AB256" s="77" t="e">
        <f t="shared" si="157"/>
        <v>#N/A</v>
      </c>
      <c r="AC256" s="77" t="e">
        <f t="shared" si="158"/>
        <v>#N/A</v>
      </c>
      <c r="AD256" s="77" t="e">
        <f t="shared" si="159"/>
        <v>#N/A</v>
      </c>
      <c r="AE256" s="77" t="e">
        <f t="shared" si="160"/>
        <v>#N/A</v>
      </c>
      <c r="AF256" s="77" t="e">
        <f t="shared" si="161"/>
        <v>#N/A</v>
      </c>
      <c r="AG256" s="77" t="e">
        <f t="shared" si="162"/>
        <v>#N/A</v>
      </c>
      <c r="AH256" s="77">
        <f t="shared" si="163"/>
        <v>7.6875</v>
      </c>
      <c r="AI256" s="77">
        <f t="shared" si="164"/>
        <v>0</v>
      </c>
      <c r="AJ256" s="77">
        <f t="shared" si="165"/>
        <v>7.6875</v>
      </c>
      <c r="AK256" s="77" t="e">
        <f t="shared" si="166"/>
        <v>#N/A</v>
      </c>
      <c r="AL256" s="77" t="e">
        <f t="shared" si="167"/>
        <v>#N/A</v>
      </c>
      <c r="AM256" s="77" t="e">
        <f t="shared" si="168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 t="e">
        <f>_xlfn.XLOOKUP(A256,'SYS Allocations'!A:A,'SYS Allocations'!E:E)</f>
        <v>#N/A</v>
      </c>
      <c r="AU256">
        <f>_xlfn.XLOOKUP(A256,'SYS Allocations'!A:A,'SYS Allocations'!F:F)</f>
        <v>0</v>
      </c>
    </row>
    <row r="257" spans="1:47">
      <c r="A257" s="35"/>
      <c r="B257" s="35" t="s">
        <v>1636</v>
      </c>
      <c r="C257" s="35" t="s">
        <v>1814</v>
      </c>
      <c r="D257" s="35" t="s">
        <v>1563</v>
      </c>
      <c r="E257" s="35" t="s">
        <v>1945</v>
      </c>
      <c r="F257" s="35" t="s">
        <v>1941</v>
      </c>
      <c r="G257" s="105"/>
      <c r="H257" s="105"/>
      <c r="I257" s="105"/>
      <c r="J257" s="105"/>
      <c r="K257" s="106"/>
      <c r="L257" s="105"/>
      <c r="M257" s="105"/>
      <c r="N257" s="105"/>
      <c r="O257" s="105"/>
      <c r="P257" s="35"/>
      <c r="Q257" s="35"/>
      <c r="R257" s="35"/>
      <c r="S257" s="105"/>
      <c r="T257" s="105"/>
      <c r="U257" s="35" t="s">
        <v>1618</v>
      </c>
      <c r="V257" s="35" t="s">
        <v>1946</v>
      </c>
      <c r="W257" s="105">
        <v>41.25</v>
      </c>
      <c r="X257" s="105">
        <v>41.25</v>
      </c>
      <c r="Y257" s="105">
        <v>0</v>
      </c>
      <c r="Z257" s="35"/>
      <c r="AA257" t="e">
        <f>VLOOKUP(A257,Cover!A:R,18,0)</f>
        <v>#N/A</v>
      </c>
      <c r="AB257" s="77" t="e">
        <f t="shared" si="157"/>
        <v>#N/A</v>
      </c>
      <c r="AC257" s="77" t="e">
        <f t="shared" si="158"/>
        <v>#N/A</v>
      </c>
      <c r="AD257" s="77" t="e">
        <f t="shared" si="159"/>
        <v>#N/A</v>
      </c>
      <c r="AE257" s="77" t="e">
        <f t="shared" si="160"/>
        <v>#N/A</v>
      </c>
      <c r="AF257" s="77" t="e">
        <f t="shared" si="161"/>
        <v>#N/A</v>
      </c>
      <c r="AG257" s="77" t="e">
        <f t="shared" si="162"/>
        <v>#N/A</v>
      </c>
      <c r="AH257" s="77">
        <f t="shared" si="163"/>
        <v>41.25</v>
      </c>
      <c r="AI257" s="77">
        <f t="shared" si="164"/>
        <v>0</v>
      </c>
      <c r="AJ257" s="77">
        <f t="shared" si="165"/>
        <v>41.25</v>
      </c>
      <c r="AK257" s="77" t="e">
        <f t="shared" si="166"/>
        <v>#N/A</v>
      </c>
      <c r="AL257" s="77" t="e">
        <f t="shared" si="167"/>
        <v>#N/A</v>
      </c>
      <c r="AM257" s="77" t="e">
        <f t="shared" si="168"/>
        <v>#N/A</v>
      </c>
      <c r="AQ257">
        <f>_xlfn.XLOOKUP(A257,'SYS Allocations'!A:A,'SYS Allocations'!B:B)</f>
        <v>0</v>
      </c>
      <c r="AR257" t="e">
        <f>_xlfn.XLOOKUP(A257,'SYS Allocations'!A:A,'SYS Allocations'!C:C)</f>
        <v>#N/A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1636</v>
      </c>
      <c r="C258" s="35" t="s">
        <v>1814</v>
      </c>
      <c r="D258" s="35" t="s">
        <v>1563</v>
      </c>
      <c r="E258" s="35" t="s">
        <v>1945</v>
      </c>
      <c r="F258" s="35" t="s">
        <v>1941</v>
      </c>
      <c r="G258" s="105"/>
      <c r="H258" s="105"/>
      <c r="I258" s="105"/>
      <c r="J258" s="105"/>
      <c r="K258" s="106"/>
      <c r="L258" s="105"/>
      <c r="M258" s="105"/>
      <c r="N258" s="105"/>
      <c r="O258" s="105"/>
      <c r="P258" s="35"/>
      <c r="Q258" s="35"/>
      <c r="R258" s="35"/>
      <c r="S258" s="105"/>
      <c r="T258" s="105"/>
      <c r="U258" s="35" t="s">
        <v>1571</v>
      </c>
      <c r="V258" s="35" t="s">
        <v>1673</v>
      </c>
      <c r="W258" s="105">
        <v>11.25</v>
      </c>
      <c r="X258" s="105">
        <v>11.25</v>
      </c>
      <c r="Y258" s="105">
        <v>0</v>
      </c>
      <c r="Z258" s="35" t="s">
        <v>8</v>
      </c>
      <c r="AA258" t="e">
        <f>VLOOKUP(A258,Cover!A:R,18,0)</f>
        <v>#N/A</v>
      </c>
      <c r="AB258" s="77" t="e">
        <f t="shared" si="157"/>
        <v>#N/A</v>
      </c>
      <c r="AC258" s="77" t="e">
        <f t="shared" si="158"/>
        <v>#N/A</v>
      </c>
      <c r="AD258" s="77" t="e">
        <f t="shared" si="159"/>
        <v>#N/A</v>
      </c>
      <c r="AE258" s="77" t="e">
        <f t="shared" si="160"/>
        <v>#N/A</v>
      </c>
      <c r="AF258" s="77" t="e">
        <f t="shared" si="161"/>
        <v>#N/A</v>
      </c>
      <c r="AG258" s="77" t="e">
        <f t="shared" si="162"/>
        <v>#N/A</v>
      </c>
      <c r="AH258" s="77">
        <f t="shared" si="163"/>
        <v>11.25</v>
      </c>
      <c r="AI258" s="77">
        <f t="shared" si="164"/>
        <v>0</v>
      </c>
      <c r="AJ258" s="77">
        <f t="shared" si="165"/>
        <v>11.25</v>
      </c>
      <c r="AK258" s="77" t="e">
        <f t="shared" si="166"/>
        <v>#N/A</v>
      </c>
      <c r="AL258" s="77" t="e">
        <f t="shared" si="167"/>
        <v>#N/A</v>
      </c>
      <c r="AM258" s="77" t="e">
        <f t="shared" si="168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 t="e">
        <f>_xlfn.XLOOKUP(A258,'SYS Allocations'!A:A,'SYS Allocations'!D:D)</f>
        <v>#N/A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1636</v>
      </c>
      <c r="C259" s="35" t="s">
        <v>1814</v>
      </c>
      <c r="D259" s="35" t="s">
        <v>1563</v>
      </c>
      <c r="E259" s="35" t="s">
        <v>1947</v>
      </c>
      <c r="F259" s="35" t="s">
        <v>1941</v>
      </c>
      <c r="G259" s="105"/>
      <c r="H259" s="105"/>
      <c r="I259" s="105"/>
      <c r="J259" s="105"/>
      <c r="K259" s="106"/>
      <c r="L259" s="105"/>
      <c r="M259" s="105"/>
      <c r="N259" s="105"/>
      <c r="O259" s="105"/>
      <c r="P259" s="35"/>
      <c r="Q259" s="35"/>
      <c r="R259" s="35"/>
      <c r="S259" s="105"/>
      <c r="T259" s="105"/>
      <c r="U259" s="35" t="s">
        <v>1571</v>
      </c>
      <c r="V259" s="35" t="s">
        <v>1948</v>
      </c>
      <c r="W259" s="105">
        <v>48</v>
      </c>
      <c r="X259" s="105">
        <v>48</v>
      </c>
      <c r="Y259" s="105">
        <v>0</v>
      </c>
      <c r="Z259" s="35"/>
      <c r="AA259" t="e">
        <f>VLOOKUP(A259,Cover!A:R,18,0)</f>
        <v>#N/A</v>
      </c>
      <c r="AB259" s="77" t="e">
        <f t="shared" si="157"/>
        <v>#N/A</v>
      </c>
      <c r="AC259" s="77" t="e">
        <f t="shared" si="158"/>
        <v>#N/A</v>
      </c>
      <c r="AD259" s="77" t="e">
        <f t="shared" si="159"/>
        <v>#N/A</v>
      </c>
      <c r="AE259" s="77" t="e">
        <f t="shared" si="160"/>
        <v>#N/A</v>
      </c>
      <c r="AF259" s="77" t="e">
        <f t="shared" si="161"/>
        <v>#N/A</v>
      </c>
      <c r="AG259" s="77" t="e">
        <f t="shared" si="162"/>
        <v>#N/A</v>
      </c>
      <c r="AH259" s="77">
        <f t="shared" si="163"/>
        <v>48</v>
      </c>
      <c r="AI259" s="77">
        <f t="shared" si="164"/>
        <v>0</v>
      </c>
      <c r="AJ259" s="77">
        <f t="shared" si="165"/>
        <v>48</v>
      </c>
      <c r="AK259" s="77" t="e">
        <f t="shared" si="166"/>
        <v>#N/A</v>
      </c>
      <c r="AL259" s="77" t="e">
        <f t="shared" si="167"/>
        <v>#N/A</v>
      </c>
      <c r="AM259" s="77" t="e">
        <f t="shared" si="168"/>
        <v>#N/A</v>
      </c>
      <c r="AQ259">
        <f>_xlfn.XLOOKUP(A259,'SYS Allocations'!A:A,'SYS Allocations'!B:B)</f>
        <v>0</v>
      </c>
      <c r="AR259" t="e">
        <f>_xlfn.XLOOKUP(A259,'SYS Allocations'!A:A,'SYS Allocations'!C:C)</f>
        <v>#N/A</v>
      </c>
      <c r="AS259" t="e">
        <f>_xlfn.XLOOKUP(A259,'SYS Allocations'!A:A,'SYS Allocations'!D:D)</f>
        <v>#N/A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1636</v>
      </c>
      <c r="C260" s="35" t="s">
        <v>1814</v>
      </c>
      <c r="D260" s="35" t="s">
        <v>1568</v>
      </c>
      <c r="E260" s="35" t="s">
        <v>1949</v>
      </c>
      <c r="F260" s="35" t="s">
        <v>1941</v>
      </c>
      <c r="G260" s="105"/>
      <c r="H260" s="105"/>
      <c r="I260" s="105"/>
      <c r="J260" s="105"/>
      <c r="K260" s="106"/>
      <c r="L260" s="105"/>
      <c r="M260" s="105"/>
      <c r="N260" s="105"/>
      <c r="O260" s="105"/>
      <c r="P260" s="35"/>
      <c r="Q260" s="35"/>
      <c r="R260" s="35"/>
      <c r="S260" s="105"/>
      <c r="T260" s="105"/>
      <c r="U260" s="35" t="s">
        <v>1586</v>
      </c>
      <c r="V260" s="35" t="s">
        <v>1604</v>
      </c>
      <c r="W260" s="105">
        <v>6.75</v>
      </c>
      <c r="X260" s="105">
        <v>6.75</v>
      </c>
      <c r="Y260" s="105">
        <v>3</v>
      </c>
      <c r="Z260" s="35"/>
      <c r="AA260" t="e">
        <f>VLOOKUP(A260,Cover!A:R,18,0)</f>
        <v>#N/A</v>
      </c>
      <c r="AB260" s="77" t="e">
        <f t="shared" si="157"/>
        <v>#N/A</v>
      </c>
      <c r="AC260" s="77" t="e">
        <f t="shared" si="158"/>
        <v>#N/A</v>
      </c>
      <c r="AD260" s="77" t="e">
        <f t="shared" si="159"/>
        <v>#N/A</v>
      </c>
      <c r="AE260" s="77" t="e">
        <f t="shared" si="160"/>
        <v>#N/A</v>
      </c>
      <c r="AF260" s="77" t="e">
        <f t="shared" si="161"/>
        <v>#N/A</v>
      </c>
      <c r="AG260" s="77" t="e">
        <f t="shared" si="162"/>
        <v>#N/A</v>
      </c>
      <c r="AH260" s="77">
        <f t="shared" si="163"/>
        <v>6.75</v>
      </c>
      <c r="AI260" s="77">
        <f t="shared" si="164"/>
        <v>0</v>
      </c>
      <c r="AJ260" s="77">
        <f t="shared" si="165"/>
        <v>6.75</v>
      </c>
      <c r="AK260" s="77" t="e">
        <f t="shared" si="166"/>
        <v>#N/A</v>
      </c>
      <c r="AL260" s="77" t="e">
        <f t="shared" si="167"/>
        <v>#N/A</v>
      </c>
      <c r="AM260" s="77" t="e">
        <f t="shared" si="168"/>
        <v>#N/A</v>
      </c>
      <c r="AQ260" t="e">
        <f>_xlfn.XLOOKUP(A260,'SYS Allocations'!A:A,'SYS Allocations'!B:B)</f>
        <v>#N/A</v>
      </c>
      <c r="AR260">
        <f>_xlfn.XLOOKUP(A260,'SYS Allocations'!A:A,'SYS Allocations'!C:C)</f>
        <v>0</v>
      </c>
      <c r="AS260" t="e">
        <f>_xlfn.XLOOKUP(A260,'SYS Allocations'!A:A,'SYS Allocations'!D:D)</f>
        <v>#N/A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1642</v>
      </c>
      <c r="C261" s="35" t="s">
        <v>1700</v>
      </c>
      <c r="D261" s="35" t="s">
        <v>1568</v>
      </c>
      <c r="E261" s="35" t="s">
        <v>1950</v>
      </c>
      <c r="F261" s="35" t="s">
        <v>1941</v>
      </c>
      <c r="G261" s="105"/>
      <c r="H261" s="105"/>
      <c r="I261" s="105"/>
      <c r="J261" s="105"/>
      <c r="K261" s="106"/>
      <c r="L261" s="105"/>
      <c r="M261" s="105"/>
      <c r="N261" s="105"/>
      <c r="O261" s="105"/>
      <c r="P261" s="35"/>
      <c r="Q261" s="35"/>
      <c r="R261" s="35"/>
      <c r="S261" s="105"/>
      <c r="T261" s="105"/>
      <c r="U261" s="35" t="s">
        <v>1757</v>
      </c>
      <c r="V261" s="35" t="s">
        <v>1757</v>
      </c>
      <c r="W261" s="105"/>
      <c r="X261" s="105"/>
      <c r="Y261" s="105">
        <v>0</v>
      </c>
      <c r="Z261" s="35"/>
      <c r="AA261" t="e">
        <f>VLOOKUP(A261,Cover!A:R,18,0)</f>
        <v>#N/A</v>
      </c>
      <c r="AB261" s="77" t="e">
        <f t="shared" si="157"/>
        <v>#N/A</v>
      </c>
      <c r="AC261" s="77" t="e">
        <f t="shared" si="158"/>
        <v>#N/A</v>
      </c>
      <c r="AD261" s="77" t="e">
        <f t="shared" si="159"/>
        <v>#N/A</v>
      </c>
      <c r="AE261" s="77" t="e">
        <f t="shared" si="160"/>
        <v>#N/A</v>
      </c>
      <c r="AF261" s="77" t="e">
        <f t="shared" si="161"/>
        <v>#N/A</v>
      </c>
      <c r="AG261" s="77" t="e">
        <f t="shared" si="162"/>
        <v>#N/A</v>
      </c>
      <c r="AH261" s="77">
        <f t="shared" si="163"/>
        <v>0</v>
      </c>
      <c r="AI261" s="77">
        <f t="shared" si="164"/>
        <v>0</v>
      </c>
      <c r="AJ261" s="77">
        <f t="shared" si="165"/>
        <v>0</v>
      </c>
      <c r="AK261" s="77" t="e">
        <f t="shared" si="166"/>
        <v>#N/A</v>
      </c>
      <c r="AL261" s="77" t="e">
        <f t="shared" si="167"/>
        <v>#N/A</v>
      </c>
      <c r="AM261" s="77" t="e">
        <f t="shared" si="168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 t="e">
        <f>_xlfn.XLOOKUP(A261,'SYS Allocations'!A:A,'SYS Allocations'!D:D)</f>
        <v>#N/A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1578</v>
      </c>
      <c r="C262" s="35" t="s">
        <v>1579</v>
      </c>
      <c r="D262" s="35" t="s">
        <v>1568</v>
      </c>
      <c r="E262" s="35" t="s">
        <v>1757</v>
      </c>
      <c r="F262" s="35" t="s">
        <v>1941</v>
      </c>
      <c r="G262" s="105"/>
      <c r="H262" s="105"/>
      <c r="I262" s="105"/>
      <c r="J262" s="105"/>
      <c r="K262" s="106"/>
      <c r="L262" s="105"/>
      <c r="M262" s="105"/>
      <c r="N262" s="105"/>
      <c r="O262" s="105"/>
      <c r="P262" s="35"/>
      <c r="Q262" s="35"/>
      <c r="R262" s="35"/>
      <c r="S262" s="105"/>
      <c r="T262" s="105"/>
      <c r="U262" s="35" t="s">
        <v>1757</v>
      </c>
      <c r="V262" s="35" t="s">
        <v>1757</v>
      </c>
      <c r="W262" s="105">
        <v>0</v>
      </c>
      <c r="X262" s="105">
        <v>0</v>
      </c>
      <c r="Y262" s="105">
        <v>1</v>
      </c>
      <c r="Z262" s="35"/>
      <c r="AA262" t="e">
        <f>VLOOKUP(A262,Cover!A:R,18,0)</f>
        <v>#N/A</v>
      </c>
      <c r="AB262" s="77" t="e">
        <f t="shared" si="157"/>
        <v>#N/A</v>
      </c>
      <c r="AC262" s="77" t="e">
        <f t="shared" si="158"/>
        <v>#N/A</v>
      </c>
      <c r="AD262" s="77" t="e">
        <f t="shared" si="159"/>
        <v>#N/A</v>
      </c>
      <c r="AE262" s="77" t="e">
        <f t="shared" si="160"/>
        <v>#N/A</v>
      </c>
      <c r="AF262" s="77" t="e">
        <f t="shared" si="161"/>
        <v>#N/A</v>
      </c>
      <c r="AG262" s="77" t="e">
        <f t="shared" si="162"/>
        <v>#N/A</v>
      </c>
      <c r="AH262" s="77">
        <f t="shared" si="163"/>
        <v>0</v>
      </c>
      <c r="AI262" s="77">
        <f t="shared" si="164"/>
        <v>0</v>
      </c>
      <c r="AJ262" s="77">
        <f t="shared" si="165"/>
        <v>0</v>
      </c>
      <c r="AK262" s="77" t="e">
        <f t="shared" si="166"/>
        <v>#N/A</v>
      </c>
      <c r="AL262" s="77" t="e">
        <f t="shared" si="167"/>
        <v>#N/A</v>
      </c>
      <c r="AM262" s="77" t="e">
        <f t="shared" si="168"/>
        <v>#N/A</v>
      </c>
      <c r="AQ262" t="e">
        <f>_xlfn.XLOOKUP(A262,'SYS Allocations'!A:A,'SYS Allocations'!B:B)</f>
        <v>#N/A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 t="e">
        <f>_xlfn.XLOOKUP(A262,'SYS Allocations'!A:A,'SYS Allocations'!E:E)</f>
        <v>#N/A</v>
      </c>
      <c r="AU262">
        <f>_xlfn.XLOOKUP(A262,'SYS Allocations'!A:A,'SYS Allocations'!F:F)</f>
        <v>0</v>
      </c>
    </row>
    <row r="263" spans="1:47">
      <c r="A263" s="35"/>
      <c r="B263" s="35" t="s">
        <v>1578</v>
      </c>
      <c r="C263" s="35" t="s">
        <v>1951</v>
      </c>
      <c r="D263" s="35" t="s">
        <v>1568</v>
      </c>
      <c r="E263" s="35" t="s">
        <v>1952</v>
      </c>
      <c r="F263" s="35" t="s">
        <v>1941</v>
      </c>
      <c r="G263" s="105"/>
      <c r="H263" s="105"/>
      <c r="I263" s="105"/>
      <c r="J263" s="105"/>
      <c r="K263" s="106"/>
      <c r="L263" s="105"/>
      <c r="M263" s="105"/>
      <c r="N263" s="105"/>
      <c r="O263" s="105"/>
      <c r="P263" s="35"/>
      <c r="Q263" s="35"/>
      <c r="R263" s="35"/>
      <c r="S263" s="105"/>
      <c r="T263" s="105"/>
      <c r="U263" s="35" t="s">
        <v>1574</v>
      </c>
      <c r="V263" s="35" t="s">
        <v>1575</v>
      </c>
      <c r="W263" s="105">
        <v>7.5</v>
      </c>
      <c r="X263" s="105">
        <v>7.5</v>
      </c>
      <c r="Y263" s="105">
        <v>0</v>
      </c>
      <c r="Z263" s="35"/>
      <c r="AA263" t="e">
        <f>VLOOKUP(A263,Cover!A:R,18,0)</f>
        <v>#N/A</v>
      </c>
      <c r="AB263" s="77" t="e">
        <f t="shared" si="157"/>
        <v>#N/A</v>
      </c>
      <c r="AC263" s="77" t="e">
        <f t="shared" si="158"/>
        <v>#N/A</v>
      </c>
      <c r="AD263" s="77" t="e">
        <f t="shared" si="159"/>
        <v>#N/A</v>
      </c>
      <c r="AE263" s="77" t="e">
        <f t="shared" si="160"/>
        <v>#N/A</v>
      </c>
      <c r="AF263" s="77" t="e">
        <f t="shared" si="161"/>
        <v>#N/A</v>
      </c>
      <c r="AG263" s="77" t="e">
        <f t="shared" si="162"/>
        <v>#N/A</v>
      </c>
      <c r="AH263" s="77">
        <f t="shared" si="163"/>
        <v>7.5</v>
      </c>
      <c r="AI263" s="77">
        <f t="shared" si="164"/>
        <v>0</v>
      </c>
      <c r="AJ263" s="77">
        <f t="shared" si="165"/>
        <v>7.5</v>
      </c>
      <c r="AK263" s="77" t="e">
        <f t="shared" si="166"/>
        <v>#N/A</v>
      </c>
      <c r="AL263" s="77" t="e">
        <f t="shared" si="167"/>
        <v>#N/A</v>
      </c>
      <c r="AM263" s="77" t="e">
        <f t="shared" si="168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 t="e">
        <f>_xlfn.XLOOKUP(A263,'SYS Allocations'!A:A,'SYS Allocations'!D:D)</f>
        <v>#N/A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1578</v>
      </c>
      <c r="C264" s="35" t="s">
        <v>1761</v>
      </c>
      <c r="D264" s="35" t="s">
        <v>1568</v>
      </c>
      <c r="E264" s="35" t="s">
        <v>1953</v>
      </c>
      <c r="F264" s="35" t="s">
        <v>1941</v>
      </c>
      <c r="G264" s="105"/>
      <c r="H264" s="105"/>
      <c r="I264" s="105"/>
      <c r="J264" s="105"/>
      <c r="K264" s="106"/>
      <c r="L264" s="105"/>
      <c r="M264" s="105"/>
      <c r="N264" s="105"/>
      <c r="O264" s="105"/>
      <c r="P264" s="35"/>
      <c r="Q264" s="35"/>
      <c r="R264" s="35"/>
      <c r="S264" s="105"/>
      <c r="T264" s="105"/>
      <c r="U264" s="35" t="s">
        <v>1757</v>
      </c>
      <c r="V264" s="35" t="s">
        <v>1757</v>
      </c>
      <c r="W264" s="105"/>
      <c r="X264" s="105"/>
      <c r="Y264" s="105">
        <v>210</v>
      </c>
      <c r="Z264" s="35" t="s">
        <v>1954</v>
      </c>
      <c r="AA264" t="e">
        <f>VLOOKUP(A264,Cover!A:R,18,0)</f>
        <v>#N/A</v>
      </c>
      <c r="AB264" s="77" t="e">
        <f t="shared" si="157"/>
        <v>#N/A</v>
      </c>
      <c r="AC264" s="77" t="e">
        <f t="shared" si="158"/>
        <v>#N/A</v>
      </c>
      <c r="AD264" s="77" t="e">
        <f t="shared" si="159"/>
        <v>#N/A</v>
      </c>
      <c r="AE264" s="77" t="e">
        <f t="shared" si="160"/>
        <v>#N/A</v>
      </c>
      <c r="AF264" s="77" t="e">
        <f t="shared" si="161"/>
        <v>#N/A</v>
      </c>
      <c r="AG264" s="77" t="e">
        <f t="shared" si="162"/>
        <v>#N/A</v>
      </c>
      <c r="AH264" s="77">
        <f t="shared" si="163"/>
        <v>0</v>
      </c>
      <c r="AI264" s="77">
        <f t="shared" si="164"/>
        <v>0</v>
      </c>
      <c r="AJ264" s="77">
        <f t="shared" si="165"/>
        <v>0</v>
      </c>
      <c r="AK264" s="77" t="e">
        <f t="shared" si="166"/>
        <v>#N/A</v>
      </c>
      <c r="AL264" s="77" t="e">
        <f t="shared" si="167"/>
        <v>#N/A</v>
      </c>
      <c r="AM264" s="77" t="e">
        <f t="shared" si="168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 t="e">
        <f>_xlfn.XLOOKUP(A264,'SYS Allocations'!A:A,'SYS Allocations'!D:D)</f>
        <v>#N/A</v>
      </c>
      <c r="AT264" t="e">
        <f>_xlfn.XLOOKUP(A264,'SYS Allocations'!A:A,'SYS Allocations'!E:E)</f>
        <v>#N/A</v>
      </c>
      <c r="AU264">
        <f>_xlfn.XLOOKUP(A264,'SYS Allocations'!A:A,'SYS Allocations'!F:F)</f>
        <v>0</v>
      </c>
    </row>
    <row r="265" spans="1:47">
      <c r="A265" s="35"/>
      <c r="B265" s="35" t="s">
        <v>1578</v>
      </c>
      <c r="C265" s="35" t="s">
        <v>1955</v>
      </c>
      <c r="D265" s="35" t="s">
        <v>1568</v>
      </c>
      <c r="E265" s="35" t="s">
        <v>1956</v>
      </c>
      <c r="F265" s="35" t="s">
        <v>1941</v>
      </c>
      <c r="G265" s="105"/>
      <c r="H265" s="105"/>
      <c r="I265" s="105"/>
      <c r="J265" s="105"/>
      <c r="K265" s="106"/>
      <c r="L265" s="105"/>
      <c r="M265" s="105"/>
      <c r="N265" s="105"/>
      <c r="O265" s="105"/>
      <c r="P265" s="35"/>
      <c r="Q265" s="35"/>
      <c r="R265" s="35"/>
      <c r="S265" s="105"/>
      <c r="T265" s="105"/>
      <c r="U265" s="35" t="s">
        <v>1575</v>
      </c>
      <c r="V265" s="35" t="s">
        <v>1652</v>
      </c>
      <c r="W265" s="105">
        <v>67.5</v>
      </c>
      <c r="X265" s="105">
        <v>67.5</v>
      </c>
      <c r="Y265" s="105">
        <v>2</v>
      </c>
      <c r="Z265" s="35" t="s">
        <v>8</v>
      </c>
      <c r="AA265" t="e">
        <f>VLOOKUP(A265,Cover!A:R,18,0)</f>
        <v>#N/A</v>
      </c>
      <c r="AB265" s="77" t="e">
        <f t="shared" si="157"/>
        <v>#N/A</v>
      </c>
      <c r="AC265" s="77" t="e">
        <f t="shared" si="158"/>
        <v>#N/A</v>
      </c>
      <c r="AD265" s="77" t="e">
        <f t="shared" si="159"/>
        <v>#N/A</v>
      </c>
      <c r="AE265" s="77" t="e">
        <f t="shared" si="160"/>
        <v>#N/A</v>
      </c>
      <c r="AF265" s="77" t="e">
        <f t="shared" si="161"/>
        <v>#N/A</v>
      </c>
      <c r="AG265" s="77" t="e">
        <f t="shared" si="162"/>
        <v>#N/A</v>
      </c>
      <c r="AH265" s="77">
        <f t="shared" si="163"/>
        <v>67.5</v>
      </c>
      <c r="AI265" s="77">
        <f t="shared" si="164"/>
        <v>0</v>
      </c>
      <c r="AJ265" s="77">
        <f t="shared" si="165"/>
        <v>67.5</v>
      </c>
      <c r="AK265" s="77" t="e">
        <f t="shared" si="166"/>
        <v>#N/A</v>
      </c>
      <c r="AL265" s="77" t="e">
        <f t="shared" si="167"/>
        <v>#N/A</v>
      </c>
      <c r="AM265" s="77" t="e">
        <f t="shared" si="168"/>
        <v>#N/A</v>
      </c>
      <c r="AQ265">
        <f>_xlfn.XLOOKUP(A265,'SYS Allocations'!A:A,'SYS Allocations'!B:B)</f>
        <v>0</v>
      </c>
      <c r="AR265" t="e">
        <f>_xlfn.XLOOKUP(A265,'SYS Allocations'!A:A,'SYS Allocations'!C:C)</f>
        <v>#N/A</v>
      </c>
      <c r="AS265" t="e">
        <f>_xlfn.XLOOKUP(A265,'SYS Allocations'!A:A,'SYS Allocations'!D:D)</f>
        <v>#N/A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1616</v>
      </c>
      <c r="C266" s="35" t="s">
        <v>1617</v>
      </c>
      <c r="D266" s="35" t="s">
        <v>1563</v>
      </c>
      <c r="E266" s="35" t="s">
        <v>1300</v>
      </c>
      <c r="F266" s="35" t="s">
        <v>1941</v>
      </c>
      <c r="G266" s="105"/>
      <c r="H266" s="105"/>
      <c r="I266" s="105"/>
      <c r="J266" s="105"/>
      <c r="K266" s="106"/>
      <c r="L266" s="105"/>
      <c r="M266" s="105"/>
      <c r="N266" s="105"/>
      <c r="O266" s="105"/>
      <c r="P266" s="35"/>
      <c r="Q266" s="35"/>
      <c r="R266" s="35"/>
      <c r="S266" s="105"/>
      <c r="T266" s="105"/>
      <c r="U266" s="35" t="s">
        <v>1663</v>
      </c>
      <c r="V266" s="35" t="s">
        <v>1957</v>
      </c>
      <c r="W266" s="105">
        <v>445.5</v>
      </c>
      <c r="X266" s="105">
        <v>445.5</v>
      </c>
      <c r="Y266" s="105">
        <v>9</v>
      </c>
      <c r="Z266" s="35" t="s">
        <v>8</v>
      </c>
      <c r="AA266" t="e">
        <f>VLOOKUP(A266,Cover!A:R,18,0)</f>
        <v>#N/A</v>
      </c>
      <c r="AB266" s="77" t="e">
        <f t="shared" ref="AB266" si="199">M266-AA266</f>
        <v>#N/A</v>
      </c>
      <c r="AC266" s="77" t="e">
        <f t="shared" ref="AC266" si="200">O266-AA266</f>
        <v>#N/A</v>
      </c>
      <c r="AD266" s="77" t="e">
        <f t="shared" ref="AD266" si="201">AB266/L266%</f>
        <v>#N/A</v>
      </c>
      <c r="AE266" s="77" t="e">
        <f t="shared" ref="AE266" si="202">AC266/N266%</f>
        <v>#N/A</v>
      </c>
      <c r="AF266" s="77" t="e">
        <f t="shared" ref="AF266" si="203">T266-AA266</f>
        <v>#N/A</v>
      </c>
      <c r="AG266" s="77" t="e">
        <f t="shared" ref="AG266" si="204">AF266/S266%</f>
        <v>#N/A</v>
      </c>
      <c r="AH266" s="77">
        <f t="shared" ref="AH266" si="205">W266</f>
        <v>445.5</v>
      </c>
      <c r="AI266" s="77">
        <f t="shared" ref="AI266" si="206">J266</f>
        <v>0</v>
      </c>
      <c r="AJ266" s="77">
        <f t="shared" ref="AJ266" si="207">AH266-AI266</f>
        <v>445.5</v>
      </c>
      <c r="AK266" s="77" t="e">
        <f t="shared" ref="AK266" si="208">AA266</f>
        <v>#N/A</v>
      </c>
      <c r="AL266" s="77" t="e">
        <f t="shared" ref="AL266" si="209">AJ266-AK266</f>
        <v>#N/A</v>
      </c>
      <c r="AM266" s="77" t="e">
        <f t="shared" ref="AM266" si="210">AL266/AH266%</f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265"/>
      <c r="B267" s="35" t="s">
        <v>1616</v>
      </c>
      <c r="C267" s="35" t="s">
        <v>1883</v>
      </c>
      <c r="D267" s="35" t="s">
        <v>1563</v>
      </c>
      <c r="E267" s="35" t="s">
        <v>1399</v>
      </c>
      <c r="F267" s="265" t="s">
        <v>1941</v>
      </c>
      <c r="G267" s="265"/>
      <c r="H267" s="265"/>
      <c r="I267" s="265"/>
      <c r="J267" s="265"/>
      <c r="K267" s="265"/>
      <c r="L267" s="265"/>
      <c r="M267" s="265"/>
      <c r="N267" s="265"/>
      <c r="O267" s="265"/>
      <c r="P267" s="265"/>
      <c r="Q267" s="265"/>
      <c r="R267" s="265"/>
      <c r="S267" s="265"/>
      <c r="T267" s="265"/>
      <c r="U267" s="265" t="s">
        <v>1663</v>
      </c>
      <c r="V267" s="265" t="s">
        <v>1957</v>
      </c>
      <c r="W267" s="265">
        <v>445.5</v>
      </c>
      <c r="X267" s="265">
        <v>445.5</v>
      </c>
      <c r="Y267" s="265">
        <v>9</v>
      </c>
      <c r="Z267" s="265" t="s">
        <v>8</v>
      </c>
      <c r="AQ267">
        <f>_xlfn.XLOOKUP(A267,'SYS Allocations'!A:A,'SYS Allocations'!B:B)</f>
        <v>0</v>
      </c>
      <c r="AR267" t="e">
        <f>_xlfn.XLOOKUP(A267,'SYS Allocations'!A:A,'SYS Allocations'!C:C)</f>
        <v>#N/A</v>
      </c>
      <c r="AS267" t="e">
        <f>_xlfn.XLOOKUP(A267,'SYS Allocations'!A:A,'SYS Allocations'!D:D)</f>
        <v>#N/A</v>
      </c>
      <c r="AT267">
        <f>_xlfn.XLOOKUP(A267,'SYS Allocations'!A:A,'SYS Allocations'!E:E)</f>
        <v>0</v>
      </c>
    </row>
  </sheetData>
  <sheetProtection algorithmName="SHA-512" hashValue="2E4uXmuBEUtLIfy0s5+MRS93s76Pz0R0QnZNaVvO5OxxagyaZJxpLwNK2wtGffq8y62QRaZXXytHgxdpVvyO9A==" saltValue="5uAzZZffrFu96oylF47GnQ==" spinCount="100000" sheet="1" autoFilter="0"/>
  <autoFilter ref="A7:BA267" xr:uid="{00000000-0009-0000-0000-000006000000}"/>
  <mergeCells count="180">
    <mergeCell ref="AH238:AH239"/>
    <mergeCell ref="AI238:AI239"/>
    <mergeCell ref="AJ238:AJ239"/>
    <mergeCell ref="AK238:AK239"/>
    <mergeCell ref="AL238:AL239"/>
    <mergeCell ref="AM238:AM239"/>
    <mergeCell ref="AH240:AH241"/>
    <mergeCell ref="AI240:AI241"/>
    <mergeCell ref="AJ240:AJ241"/>
    <mergeCell ref="AK240:AK241"/>
    <mergeCell ref="AL240:AL241"/>
    <mergeCell ref="AM240:AM241"/>
    <mergeCell ref="AH40:AH41"/>
    <mergeCell ref="AI40:AI41"/>
    <mergeCell ref="AJ40:AJ41"/>
    <mergeCell ref="AK40:AK41"/>
    <mergeCell ref="AL40:AL41"/>
    <mergeCell ref="AM40:AM41"/>
    <mergeCell ref="AH36:AH38"/>
    <mergeCell ref="AI36:AI38"/>
    <mergeCell ref="AJ36:AJ38"/>
    <mergeCell ref="AK36:AK38"/>
    <mergeCell ref="AL36:AL38"/>
    <mergeCell ref="AM36:AM38"/>
    <mergeCell ref="AH69:AH70"/>
    <mergeCell ref="AI69:AI70"/>
    <mergeCell ref="AJ69:AJ70"/>
    <mergeCell ref="AK69:AK70"/>
    <mergeCell ref="AL69:AL70"/>
    <mergeCell ref="AM69:AM70"/>
    <mergeCell ref="AH79:AH80"/>
    <mergeCell ref="AI79:AI80"/>
    <mergeCell ref="AJ79:AJ80"/>
    <mergeCell ref="AK79:AK80"/>
    <mergeCell ref="AL79:AL80"/>
    <mergeCell ref="AM79:AM80"/>
    <mergeCell ref="AH71:AH72"/>
    <mergeCell ref="AI71:AI72"/>
    <mergeCell ref="AJ71:AJ72"/>
    <mergeCell ref="AK71:AK72"/>
    <mergeCell ref="AL71:AL72"/>
    <mergeCell ref="AM71:AM72"/>
    <mergeCell ref="AH75:AH76"/>
    <mergeCell ref="AI75:AI76"/>
    <mergeCell ref="AJ75:AJ76"/>
    <mergeCell ref="AK75:AK76"/>
    <mergeCell ref="AL75:AL76"/>
    <mergeCell ref="AM75:AM76"/>
    <mergeCell ref="AH118:AH119"/>
    <mergeCell ref="AI118:AI119"/>
    <mergeCell ref="AJ118:AJ119"/>
    <mergeCell ref="AK118:AK119"/>
    <mergeCell ref="AL118:AL119"/>
    <mergeCell ref="AM118:AM119"/>
    <mergeCell ref="AH103:AH104"/>
    <mergeCell ref="AI103:AI104"/>
    <mergeCell ref="AJ103:AJ104"/>
    <mergeCell ref="AK103:AK104"/>
    <mergeCell ref="AL103:AL104"/>
    <mergeCell ref="AM103:AM104"/>
    <mergeCell ref="AH108:AH109"/>
    <mergeCell ref="AI108:AI109"/>
    <mergeCell ref="AJ108:AJ109"/>
    <mergeCell ref="AK108:AK109"/>
    <mergeCell ref="AL108:AL109"/>
    <mergeCell ref="AM108:AM109"/>
    <mergeCell ref="AH116:AH117"/>
    <mergeCell ref="AI116:AI117"/>
    <mergeCell ref="AJ116:AJ117"/>
    <mergeCell ref="AK116:AK117"/>
    <mergeCell ref="AL116:AL117"/>
    <mergeCell ref="AM116:AM117"/>
    <mergeCell ref="AH142:AH143"/>
    <mergeCell ref="AI142:AI143"/>
    <mergeCell ref="AJ142:AJ143"/>
    <mergeCell ref="AK142:AK143"/>
    <mergeCell ref="AL142:AL143"/>
    <mergeCell ref="AM142:AM143"/>
    <mergeCell ref="AH140:AH141"/>
    <mergeCell ref="AI140:AI141"/>
    <mergeCell ref="AJ140:AJ141"/>
    <mergeCell ref="AK140:AK141"/>
    <mergeCell ref="AL140:AL141"/>
    <mergeCell ref="AM140:AM141"/>
    <mergeCell ref="AH156:AH157"/>
    <mergeCell ref="AI156:AI157"/>
    <mergeCell ref="AJ156:AJ157"/>
    <mergeCell ref="AK156:AK157"/>
    <mergeCell ref="AL156:AL157"/>
    <mergeCell ref="AM156:AM157"/>
    <mergeCell ref="AH153:AH154"/>
    <mergeCell ref="AI153:AI154"/>
    <mergeCell ref="AJ153:AJ154"/>
    <mergeCell ref="AK153:AK154"/>
    <mergeCell ref="AL153:AL154"/>
    <mergeCell ref="AM153:AM154"/>
    <mergeCell ref="AH193:AH194"/>
    <mergeCell ref="AI193:AI194"/>
    <mergeCell ref="AJ193:AJ194"/>
    <mergeCell ref="AK193:AK194"/>
    <mergeCell ref="AL193:AL194"/>
    <mergeCell ref="AM193:AM194"/>
    <mergeCell ref="AH174:AH175"/>
    <mergeCell ref="AI174:AI175"/>
    <mergeCell ref="AJ174:AJ175"/>
    <mergeCell ref="AK174:AK175"/>
    <mergeCell ref="AL174:AL175"/>
    <mergeCell ref="AM174:AM175"/>
    <mergeCell ref="AH178:AH181"/>
    <mergeCell ref="AI178:AI181"/>
    <mergeCell ref="AJ178:AJ181"/>
    <mergeCell ref="AK178:AK181"/>
    <mergeCell ref="AL178:AL181"/>
    <mergeCell ref="AM178:AM181"/>
    <mergeCell ref="AH176:AH177"/>
    <mergeCell ref="AI176:AI177"/>
    <mergeCell ref="AJ176:AJ177"/>
    <mergeCell ref="AK176:AK177"/>
    <mergeCell ref="AL176:AL177"/>
    <mergeCell ref="AM176:AM177"/>
    <mergeCell ref="AH230:AH231"/>
    <mergeCell ref="AI230:AI231"/>
    <mergeCell ref="AJ230:AJ231"/>
    <mergeCell ref="AK230:AK231"/>
    <mergeCell ref="AL230:AL231"/>
    <mergeCell ref="AM230:AM231"/>
    <mergeCell ref="AH225:AH228"/>
    <mergeCell ref="AI225:AI228"/>
    <mergeCell ref="AJ225:AJ228"/>
    <mergeCell ref="AK225:AK228"/>
    <mergeCell ref="AL225:AL228"/>
    <mergeCell ref="AM225:AM228"/>
    <mergeCell ref="AH21:AH22"/>
    <mergeCell ref="AI21:AI22"/>
    <mergeCell ref="AJ21:AJ22"/>
    <mergeCell ref="AK21:AK22"/>
    <mergeCell ref="AL21:AL22"/>
    <mergeCell ref="AM21:AM22"/>
    <mergeCell ref="AH185:AH186"/>
    <mergeCell ref="AI185:AI186"/>
    <mergeCell ref="AJ185:AJ186"/>
    <mergeCell ref="AK185:AK186"/>
    <mergeCell ref="AL185:AL186"/>
    <mergeCell ref="AM185:AM186"/>
    <mergeCell ref="AH113:AH114"/>
    <mergeCell ref="AI113:AI114"/>
    <mergeCell ref="AJ113:AJ114"/>
    <mergeCell ref="AK113:AK114"/>
    <mergeCell ref="AL113:AL114"/>
    <mergeCell ref="AM113:AM114"/>
    <mergeCell ref="AH158:AH159"/>
    <mergeCell ref="AI158:AI159"/>
    <mergeCell ref="AJ158:AJ159"/>
    <mergeCell ref="AK158:AK159"/>
    <mergeCell ref="AL158:AL159"/>
    <mergeCell ref="AM158:AM159"/>
    <mergeCell ref="AH50:AH51"/>
    <mergeCell ref="AI50:AI51"/>
    <mergeCell ref="AJ50:AJ51"/>
    <mergeCell ref="AK50:AK51"/>
    <mergeCell ref="AL50:AL51"/>
    <mergeCell ref="AM50:AM51"/>
    <mergeCell ref="AH217:AH220"/>
    <mergeCell ref="AI217:AI220"/>
    <mergeCell ref="AJ217:AJ220"/>
    <mergeCell ref="AK217:AK220"/>
    <mergeCell ref="AL217:AL220"/>
    <mergeCell ref="AM217:AM220"/>
    <mergeCell ref="AH214:AH216"/>
    <mergeCell ref="AI214:AI216"/>
    <mergeCell ref="AJ214:AJ216"/>
    <mergeCell ref="AK214:AK216"/>
    <mergeCell ref="AL214:AL216"/>
    <mergeCell ref="AM214:AM216"/>
    <mergeCell ref="AH201:AH202"/>
    <mergeCell ref="AI201:AI202"/>
    <mergeCell ref="AJ201:AJ202"/>
    <mergeCell ref="AK201:AK202"/>
    <mergeCell ref="AL201:AL202"/>
    <mergeCell ref="AM201:AM202"/>
  </mergeCells>
  <conditionalFormatting sqref="AD8:AE266">
    <cfRule type="cellIs" dxfId="129" priority="11" operator="greaterThanOrEqual">
      <formula>25</formula>
    </cfRule>
    <cfRule type="cellIs" dxfId="128" priority="12" operator="between">
      <formula>10</formula>
      <formula>24.9999999999</formula>
    </cfRule>
    <cfRule type="cellIs" dxfId="127" priority="13" operator="between">
      <formula>0</formula>
      <formula>9.99999999</formula>
    </cfRule>
    <cfRule type="cellIs" dxfId="126" priority="14" operator="lessThan">
      <formula>0</formula>
    </cfRule>
  </conditionalFormatting>
  <conditionalFormatting sqref="AG8:AG266">
    <cfRule type="cellIs" dxfId="125" priority="7" operator="greaterThanOrEqual">
      <formula>25</formula>
    </cfRule>
    <cfRule type="cellIs" dxfId="124" priority="8" operator="between">
      <formula>10</formula>
      <formula>24.99999999</formula>
    </cfRule>
    <cfRule type="cellIs" dxfId="123" priority="9" operator="between">
      <formula>0</formula>
      <formula>9.999999999</formula>
    </cfRule>
    <cfRule type="cellIs" dxfId="122" priority="10" operator="lessThan">
      <formula>0</formula>
    </cfRule>
  </conditionalFormatting>
  <conditionalFormatting sqref="AM8:AM21 AM23:AM35 AM39:AM40 AM42:AM50 AM52:AM69 AM71 AM73:AM75 AM77:AM79 AM81:AM103 AM105:AM108 AM110:AM113 AM115:AM116 AM118 AM120:AM140 AM142 AM144:AM153 AM156 AM158 AM160:AM174 AM176 AM178 AM182:AM185 AM187:AM193 AM195:AM201 AM203:AM214 AM217 AM221:AM225 AM229:AM230 AM232:AM238 AM240 AM242:AM266">
    <cfRule type="cellIs" dxfId="121" priority="15" operator="greaterThanOrEqual">
      <formula>25</formula>
    </cfRule>
    <cfRule type="cellIs" dxfId="120" priority="16" operator="between">
      <formula>10</formula>
      <formula>24.9999999</formula>
    </cfRule>
    <cfRule type="cellIs" dxfId="119" priority="17" operator="between">
      <formula>0</formula>
      <formula>9.99999999</formula>
    </cfRule>
    <cfRule type="cellIs" dxfId="118" priority="18" operator="lessThan">
      <formula>0</formula>
    </cfRule>
  </conditionalFormatting>
  <conditionalFormatting sqref="AQ8:AU266">
    <cfRule type="cellIs" dxfId="117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J50"/>
  <sheetViews>
    <sheetView zoomScale="80" zoomScaleNormal="80" workbookViewId="0">
      <selection activeCell="D6" sqref="D6"/>
    </sheetView>
  </sheetViews>
  <sheetFormatPr defaultColWidth="14.42578125" defaultRowHeight="15.75" customHeight="1"/>
  <cols>
    <col min="1" max="1" width="4.42578125" style="121" customWidth="1"/>
    <col min="2" max="2" width="5.28515625" style="121" customWidth="1"/>
    <col min="3" max="3" width="61" style="121" bestFit="1" customWidth="1"/>
    <col min="4" max="4" width="51.28515625" style="121" customWidth="1"/>
    <col min="5" max="6" width="34.5703125" style="121" customWidth="1"/>
    <col min="7" max="7" width="56.7109375" style="121" customWidth="1"/>
    <col min="8" max="8" width="5" style="121" customWidth="1"/>
    <col min="9" max="9" width="2" style="121" customWidth="1"/>
    <col min="10" max="16384" width="14.42578125" style="121"/>
  </cols>
  <sheetData>
    <row r="1" spans="2:10" ht="15.75" customHeight="1" thickBot="1"/>
    <row r="2" spans="2:10" ht="15.75" customHeight="1" thickBot="1">
      <c r="B2" s="122"/>
      <c r="C2" s="123"/>
      <c r="D2" s="123"/>
      <c r="E2" s="123"/>
      <c r="F2" s="123"/>
      <c r="G2" s="123"/>
      <c r="H2" s="124"/>
    </row>
    <row r="3" spans="2:10" ht="24.75" customHeight="1" thickBot="1">
      <c r="B3" s="125"/>
      <c r="C3" s="365" t="s">
        <v>1958</v>
      </c>
      <c r="D3" s="366"/>
      <c r="E3" s="366"/>
      <c r="F3" s="366"/>
      <c r="G3" s="367"/>
      <c r="H3" s="126"/>
    </row>
    <row r="4" spans="2:10" ht="10.5" customHeight="1">
      <c r="B4" s="125"/>
      <c r="C4" s="127"/>
      <c r="D4" s="127"/>
      <c r="E4" s="127"/>
      <c r="F4" s="127"/>
      <c r="G4" s="127"/>
      <c r="H4" s="126"/>
    </row>
    <row r="5" spans="2:10" ht="10.5" customHeight="1">
      <c r="B5" s="125"/>
      <c r="G5" s="127"/>
      <c r="H5" s="126"/>
    </row>
    <row r="6" spans="2:10" ht="19.899999999999999" customHeight="1">
      <c r="B6" s="125"/>
      <c r="C6" s="192" t="s">
        <v>1959</v>
      </c>
      <c r="D6" s="128" t="s">
        <v>928</v>
      </c>
      <c r="E6" s="363" t="s">
        <v>1960</v>
      </c>
      <c r="F6" s="363"/>
      <c r="G6" s="363"/>
      <c r="H6" s="126"/>
    </row>
    <row r="7" spans="2:10" ht="19.899999999999999" customHeight="1">
      <c r="B7" s="125"/>
      <c r="C7" s="192" t="s">
        <v>1961</v>
      </c>
      <c r="D7" s="196">
        <f>SUM(D15+G15)</f>
        <v>1844</v>
      </c>
      <c r="E7" s="368" t="s">
        <v>1962</v>
      </c>
      <c r="F7" s="368"/>
      <c r="G7" s="368"/>
      <c r="H7" s="126"/>
    </row>
    <row r="8" spans="2:10" ht="19.899999999999999" customHeight="1">
      <c r="B8" s="125"/>
      <c r="C8" s="192" t="s">
        <v>1961</v>
      </c>
      <c r="D8" s="215">
        <f>D7*54.5/1000</f>
        <v>100.498</v>
      </c>
      <c r="E8" s="368" t="s">
        <v>1963</v>
      </c>
      <c r="F8" s="368"/>
      <c r="G8" s="368"/>
      <c r="H8" s="126"/>
      <c r="J8" s="129"/>
    </row>
    <row r="9" spans="2:10" ht="19.899999999999999" customHeight="1">
      <c r="B9" s="125"/>
      <c r="C9" s="188" t="s">
        <v>1964</v>
      </c>
      <c r="D9" s="196">
        <f>SUM(D16+G16)</f>
        <v>447.70642201834863</v>
      </c>
      <c r="E9" s="368" t="s">
        <v>1965</v>
      </c>
      <c r="F9" s="368"/>
      <c r="G9" s="368"/>
      <c r="H9" s="126"/>
    </row>
    <row r="10" spans="2:10" ht="19.899999999999999" customHeight="1">
      <c r="B10" s="125"/>
      <c r="C10" s="188" t="s">
        <v>1964</v>
      </c>
      <c r="D10" s="216">
        <f>D9*54.5/1000</f>
        <v>24.4</v>
      </c>
      <c r="E10" s="354" t="s">
        <v>1966</v>
      </c>
      <c r="F10" s="364"/>
      <c r="G10" s="355"/>
      <c r="H10" s="126"/>
    </row>
    <row r="11" spans="2:10" ht="19.899999999999999" customHeight="1">
      <c r="B11" s="125"/>
      <c r="C11" s="188" t="s">
        <v>1967</v>
      </c>
      <c r="D11" s="217"/>
      <c r="E11" s="363" t="s">
        <v>1968</v>
      </c>
      <c r="F11" s="363"/>
      <c r="G11" s="363"/>
      <c r="H11" s="126"/>
    </row>
    <row r="12" spans="2:10" ht="6" customHeight="1">
      <c r="B12" s="125"/>
      <c r="C12" s="130"/>
      <c r="D12" s="131"/>
      <c r="E12" s="132"/>
      <c r="F12" s="132"/>
      <c r="G12" s="127"/>
      <c r="H12" s="126"/>
    </row>
    <row r="13" spans="2:10" ht="18.75" customHeight="1">
      <c r="B13" s="125"/>
      <c r="C13" s="184"/>
      <c r="D13" s="185" t="s">
        <v>1969</v>
      </c>
      <c r="E13" s="186"/>
      <c r="F13" s="186"/>
      <c r="G13" s="187" t="s">
        <v>1970</v>
      </c>
      <c r="H13" s="126"/>
    </row>
    <row r="14" spans="2:10" ht="18.75" customHeight="1">
      <c r="B14" s="125"/>
      <c r="C14" s="188" t="s">
        <v>1971</v>
      </c>
      <c r="D14" s="189" t="str">
        <f>VLOOKUP(D6,Data!C1:D32,2,FALSE)</f>
        <v>WAHP; DC SYS A (Feeds WAHP06)</v>
      </c>
      <c r="E14" s="354"/>
      <c r="F14" s="355"/>
      <c r="G14" s="189" t="str">
        <f>VLOOKUP(D6,Data!C1:E33,3,FALSE)</f>
        <v>WAHP; DC SYS B (Feeds WAHP06)</v>
      </c>
      <c r="H14" s="126"/>
    </row>
    <row r="15" spans="2:10" ht="18.75" customHeight="1">
      <c r="B15" s="125"/>
      <c r="C15" s="188" t="s">
        <v>1972</v>
      </c>
      <c r="D15" s="191">
        <f>VLOOKUP(D14,All!A8:I266,9,FALSE)</f>
        <v>994</v>
      </c>
      <c r="E15" s="354"/>
      <c r="F15" s="355"/>
      <c r="G15" s="191">
        <f>VLOOKUP(G14,All!A8:I266,9,FALSE)</f>
        <v>850</v>
      </c>
      <c r="H15" s="126"/>
    </row>
    <row r="16" spans="2:10" ht="18.75" customHeight="1">
      <c r="B16" s="125"/>
      <c r="C16" s="188" t="s">
        <v>1973</v>
      </c>
      <c r="D16" s="191">
        <f>VLOOKUP(D14,'SYS Allocations'!A8:I267,8,FALSE)</f>
        <v>219.26605504587158</v>
      </c>
      <c r="E16" s="354" t="s">
        <v>1974</v>
      </c>
      <c r="F16" s="355"/>
      <c r="G16" s="191">
        <f>VLOOKUP(G14,'SYS Allocations'!A8:H267,8,FALSE)</f>
        <v>228.44036697247705</v>
      </c>
      <c r="H16" s="126"/>
    </row>
    <row r="17" spans="2:10" ht="18.75" customHeight="1">
      <c r="B17" s="125"/>
      <c r="C17" s="188" t="s">
        <v>1975</v>
      </c>
      <c r="D17" s="190" t="str">
        <f>VLOOKUP(D14,All!A8:H266,6,FALSE)</f>
        <v>Eaton Powerware APR48-ES</v>
      </c>
      <c r="E17" s="354"/>
      <c r="F17" s="355"/>
      <c r="G17" s="190" t="str">
        <f>VLOOKUP(G14,All!A8:H266,6,FALSE)</f>
        <v>Eaton Powerware APR48-ES</v>
      </c>
      <c r="H17" s="134"/>
    </row>
    <row r="18" spans="2:10" ht="18.75" customHeight="1">
      <c r="B18" s="125"/>
      <c r="C18" s="188" t="s">
        <v>1976</v>
      </c>
      <c r="D18" s="190">
        <f>VLOOKUP(D14,All!A8:H266,8,FALSE)</f>
        <v>67</v>
      </c>
      <c r="E18" s="354"/>
      <c r="F18" s="355"/>
      <c r="G18" s="190">
        <f>VLOOKUP(G14,All!A8:H266,8,FALSE)</f>
        <v>67</v>
      </c>
      <c r="H18" s="126"/>
      <c r="J18" s="181" t="s">
        <v>1977</v>
      </c>
    </row>
    <row r="19" spans="2:10" ht="18.75" customHeight="1">
      <c r="B19" s="125"/>
      <c r="C19" s="188" t="s">
        <v>1978</v>
      </c>
      <c r="D19" s="191">
        <f>D7/2</f>
        <v>922</v>
      </c>
      <c r="E19" s="354" t="s">
        <v>1963</v>
      </c>
      <c r="F19" s="355"/>
      <c r="G19" s="191">
        <f>D19</f>
        <v>922</v>
      </c>
      <c r="H19" s="126"/>
    </row>
    <row r="20" spans="2:10" ht="18.75" customHeight="1">
      <c r="B20" s="125"/>
      <c r="C20" s="192" t="s">
        <v>1979</v>
      </c>
      <c r="D20" s="191">
        <f>SUM(D7,D9,D11)/2</f>
        <v>1145.8532110091744</v>
      </c>
      <c r="E20" s="354" t="s">
        <v>1963</v>
      </c>
      <c r="F20" s="355"/>
      <c r="G20" s="191">
        <f>D20</f>
        <v>1145.8532110091744</v>
      </c>
      <c r="H20" s="126"/>
    </row>
    <row r="21" spans="2:10" ht="18.75" customHeight="1">
      <c r="B21" s="125"/>
      <c r="C21" s="192" t="s">
        <v>1980</v>
      </c>
      <c r="D21" s="193">
        <f>(D20*54.5)/1000</f>
        <v>62.449000000000005</v>
      </c>
      <c r="E21" s="354" t="s">
        <v>1963</v>
      </c>
      <c r="F21" s="355"/>
      <c r="G21" s="193">
        <f>(G20*54.5)/1000</f>
        <v>62.449000000000005</v>
      </c>
      <c r="H21" s="126"/>
    </row>
    <row r="22" spans="2:10" ht="18.75" customHeight="1">
      <c r="B22" s="125"/>
      <c r="C22" s="188" t="s">
        <v>1981</v>
      </c>
      <c r="D22" s="194" t="str">
        <f>VLOOKUP(D14,All!A8:R281,16,FALSE)</f>
        <v>5</v>
      </c>
      <c r="E22" s="354" t="s">
        <v>1982</v>
      </c>
      <c r="F22" s="355"/>
      <c r="G22" s="194" t="str">
        <f>VLOOKUP(G14,All!A8:R281,16,FALSE)</f>
        <v>5</v>
      </c>
      <c r="H22" s="126"/>
    </row>
    <row r="23" spans="2:10" ht="18.75" customHeight="1">
      <c r="B23" s="125"/>
      <c r="C23" s="188" t="s">
        <v>1983</v>
      </c>
      <c r="D23" s="194" t="str">
        <f>VLOOKUP(D14,All!A8:AP281,42,FALSE)</f>
        <v>DDm125-33</v>
      </c>
      <c r="E23" s="354" t="s">
        <v>1984</v>
      </c>
      <c r="F23" s="355"/>
      <c r="G23" s="194" t="str">
        <f>VLOOKUP(G14,All!A8:AP281,42,FALSE)</f>
        <v>DDm125-33</v>
      </c>
      <c r="H23" s="126"/>
      <c r="J23" s="181" t="s">
        <v>1977</v>
      </c>
    </row>
    <row r="24" spans="2:10" ht="18.75" customHeight="1">
      <c r="B24" s="125"/>
      <c r="C24" s="188" t="s">
        <v>1985</v>
      </c>
      <c r="D24" s="195">
        <f>(VLOOKUP(D23,Table7[],15,FALSE)*D22)</f>
        <v>1000</v>
      </c>
      <c r="E24" s="354" t="s">
        <v>1986</v>
      </c>
      <c r="F24" s="355"/>
      <c r="G24" s="195">
        <f>(VLOOKUP(G23,Table7[],15,FALSE)*G22)</f>
        <v>1000</v>
      </c>
      <c r="H24" s="126"/>
    </row>
    <row r="25" spans="2:10" ht="18.75" customHeight="1">
      <c r="B25" s="125"/>
      <c r="C25" s="188" t="s">
        <v>1987</v>
      </c>
      <c r="D25" s="196">
        <f>D20</f>
        <v>1145.8532110091744</v>
      </c>
      <c r="E25" s="354" t="s">
        <v>1963</v>
      </c>
      <c r="F25" s="355"/>
      <c r="G25" s="196">
        <f>G20</f>
        <v>1145.8532110091744</v>
      </c>
      <c r="H25" s="126"/>
    </row>
    <row r="26" spans="2:10" ht="6.75" customHeight="1">
      <c r="B26" s="125"/>
      <c r="C26" s="197"/>
      <c r="D26" s="198"/>
      <c r="E26" s="197"/>
      <c r="F26" s="197"/>
      <c r="G26" s="197"/>
      <c r="H26" s="126"/>
    </row>
    <row r="27" spans="2:10" ht="13.15">
      <c r="B27" s="125"/>
      <c r="C27" s="199"/>
      <c r="D27" s="200" t="s">
        <v>1988</v>
      </c>
      <c r="E27" s="356" t="s">
        <v>1989</v>
      </c>
      <c r="F27" s="357"/>
      <c r="G27" s="200" t="s">
        <v>1988</v>
      </c>
      <c r="H27" s="126"/>
    </row>
    <row r="28" spans="2:10" ht="18.75" customHeight="1">
      <c r="B28" s="125"/>
      <c r="C28" s="201" t="s">
        <v>1990</v>
      </c>
      <c r="D28" s="202">
        <f>((VLOOKUP(D17,Table83[#Data],2,FALSE))*(D18-1))/2</f>
        <v>1207.8</v>
      </c>
      <c r="E28" s="358">
        <f>ROUNDUP((((VLOOKUP(D17,Rectifier_Lookup!A2:C23,2,FALSE))*(D18-1))-(D25+G25))/(VLOOKUP(D17,Rectifier_Lookup!A2:C23,2,FALSE)),0)</f>
        <v>4</v>
      </c>
      <c r="F28" s="358"/>
      <c r="G28" s="203">
        <f>((VLOOKUP(G17,Table83[#Data],2,FALSE))*(G18-1))/2</f>
        <v>1207.8</v>
      </c>
      <c r="H28" s="126"/>
    </row>
    <row r="29" spans="2:10" ht="15.75" customHeight="1">
      <c r="B29" s="125"/>
      <c r="C29" s="201" t="s">
        <v>1991</v>
      </c>
      <c r="D29" s="204">
        <f>(D28*54.5)/1000</f>
        <v>65.825099999999992</v>
      </c>
      <c r="E29" s="358"/>
      <c r="F29" s="358"/>
      <c r="G29" s="205">
        <f>(G28*54.5)/1000</f>
        <v>65.825099999999992</v>
      </c>
      <c r="H29" s="126"/>
    </row>
    <row r="30" spans="2:10" ht="6" customHeight="1">
      <c r="B30" s="125"/>
      <c r="C30" s="197"/>
      <c r="D30" s="197"/>
      <c r="E30" s="197"/>
      <c r="F30" s="197"/>
      <c r="G30" s="197"/>
      <c r="H30" s="126"/>
    </row>
    <row r="31" spans="2:10" ht="19.5" customHeight="1">
      <c r="B31" s="125"/>
      <c r="C31" s="206"/>
      <c r="D31" s="207" t="s">
        <v>1992</v>
      </c>
      <c r="E31" s="359" t="s">
        <v>1993</v>
      </c>
      <c r="F31" s="359"/>
      <c r="G31" s="207" t="s">
        <v>1994</v>
      </c>
      <c r="H31" s="126"/>
    </row>
    <row r="32" spans="2:10" ht="19.5" customHeight="1">
      <c r="B32" s="125"/>
      <c r="C32" s="208" t="s">
        <v>1995</v>
      </c>
      <c r="D32" s="135">
        <f>(D33/D28)</f>
        <v>5.1288946009956579E-2</v>
      </c>
      <c r="E32" s="360" t="s">
        <v>1996</v>
      </c>
      <c r="F32" s="361"/>
      <c r="G32" s="135">
        <f>(G33/G28)</f>
        <v>5.1288946009956579E-2</v>
      </c>
      <c r="H32" s="126"/>
    </row>
    <row r="33" spans="2:8" ht="19.5" customHeight="1">
      <c r="B33" s="125"/>
      <c r="C33" s="201" t="s">
        <v>1990</v>
      </c>
      <c r="D33" s="202">
        <f>D28-D25</f>
        <v>61.946788990825553</v>
      </c>
      <c r="E33" s="362">
        <f>D33+G33</f>
        <v>123.89357798165111</v>
      </c>
      <c r="F33" s="362"/>
      <c r="G33" s="202">
        <f>G28-G25</f>
        <v>61.946788990825553</v>
      </c>
      <c r="H33" s="126"/>
    </row>
    <row r="34" spans="2:8" ht="19.5" customHeight="1">
      <c r="B34" s="125"/>
      <c r="C34" s="201" t="s">
        <v>1991</v>
      </c>
      <c r="D34" s="204">
        <f>(D33*54.5)/1000</f>
        <v>3.3760999999999926</v>
      </c>
      <c r="E34" s="347">
        <f>D34+G34</f>
        <v>6.7521999999999851</v>
      </c>
      <c r="F34" s="347"/>
      <c r="G34" s="204">
        <f>(G33*54.5)/1000</f>
        <v>3.3760999999999926</v>
      </c>
      <c r="H34" s="126"/>
    </row>
    <row r="35" spans="2:8" ht="6" customHeight="1">
      <c r="B35" s="125"/>
      <c r="C35" s="197"/>
      <c r="D35" s="197"/>
      <c r="E35" s="197"/>
      <c r="F35" s="197"/>
      <c r="G35" s="197"/>
      <c r="H35" s="126"/>
    </row>
    <row r="36" spans="2:8" ht="15.75" customHeight="1">
      <c r="B36" s="125"/>
      <c r="C36" s="348" t="s">
        <v>1997</v>
      </c>
      <c r="D36" s="349"/>
      <c r="E36" s="349"/>
      <c r="F36" s="349"/>
      <c r="G36" s="350"/>
      <c r="H36" s="126"/>
    </row>
    <row r="37" spans="2:8" ht="15.75" customHeight="1">
      <c r="B37" s="125"/>
      <c r="C37" s="201" t="s">
        <v>1998</v>
      </c>
      <c r="D37" s="209" t="s">
        <v>1999</v>
      </c>
      <c r="E37" s="209" t="s">
        <v>2000</v>
      </c>
      <c r="F37" s="209" t="s">
        <v>2001</v>
      </c>
      <c r="G37" s="209" t="s">
        <v>2002</v>
      </c>
      <c r="H37" s="126"/>
    </row>
    <row r="38" spans="2:8" ht="21.6" customHeight="1">
      <c r="B38" s="125"/>
      <c r="C38" s="210" t="s">
        <v>2003</v>
      </c>
      <c r="D38" s="211">
        <f>VLOOKUP(D23,Table7[],6,FALSE)*D22</f>
        <v>3824.5871559633024</v>
      </c>
      <c r="E38" s="211">
        <f>VLOOKUP(D23,Table7[],7,FALSE)*D22</f>
        <v>2560.2935779816517</v>
      </c>
      <c r="F38" s="211">
        <f>VLOOKUP(D23,Table7[],8,FALSE)*D22</f>
        <v>1949.9449541284403</v>
      </c>
      <c r="G38" s="211">
        <f>VLOOKUP(D23,Table7[],9,FALSE)*D22</f>
        <v>1605.1376146788991</v>
      </c>
      <c r="H38" s="126"/>
    </row>
    <row r="39" spans="2:8" ht="21.6" customHeight="1">
      <c r="B39" s="125"/>
      <c r="C39" s="210" t="s">
        <v>2004</v>
      </c>
      <c r="D39" s="211">
        <f>VLOOKUP(D23,Table7[],10,FALSE)*D22</f>
        <v>208.44</v>
      </c>
      <c r="E39" s="211">
        <f>VLOOKUP(D23,Table7[],11,FALSE)*D22</f>
        <v>139.536</v>
      </c>
      <c r="F39" s="211">
        <f>VLOOKUP(D23,Table7[],12,FALSE)*D22</f>
        <v>106.27199999999999</v>
      </c>
      <c r="G39" s="211">
        <f>VLOOKUP(D23,Table7[],13,FALSE)*D22</f>
        <v>87.47999999999999</v>
      </c>
      <c r="H39" s="126"/>
    </row>
    <row r="40" spans="2:8" ht="21.6" customHeight="1">
      <c r="B40" s="125"/>
      <c r="C40" s="212" t="s">
        <v>2005</v>
      </c>
      <c r="D40" s="211">
        <f>VLOOKUP(G23,Table7[],6,FALSE)*G22</f>
        <v>3824.5871559633024</v>
      </c>
      <c r="E40" s="211">
        <f>VLOOKUP(G23,Table7[],7,FALSE)*G22</f>
        <v>2560.2935779816517</v>
      </c>
      <c r="F40" s="211">
        <f>VLOOKUP(G23,Table7[],8,FALSE)*G22</f>
        <v>1949.9449541284403</v>
      </c>
      <c r="G40" s="211">
        <f>VLOOKUP(G23,Table7[],9,FALSE)*G22</f>
        <v>1605.1376146788991</v>
      </c>
      <c r="H40" s="126"/>
    </row>
    <row r="41" spans="2:8" ht="21.6" customHeight="1">
      <c r="B41" s="125"/>
      <c r="C41" s="212" t="s">
        <v>2006</v>
      </c>
      <c r="D41" s="211">
        <f>VLOOKUP(G23,Table7[],10,FALSE)*G22</f>
        <v>208.44</v>
      </c>
      <c r="E41" s="211">
        <f>VLOOKUP(G23,Table7[],11,FALSE)*G22</f>
        <v>139.536</v>
      </c>
      <c r="F41" s="211">
        <f>VLOOKUP(G23,Table7[],12,FALSE)*G22</f>
        <v>106.27199999999999</v>
      </c>
      <c r="G41" s="211">
        <f>VLOOKUP(G23,Table7[],13,FALSE)*G22</f>
        <v>87.47999999999999</v>
      </c>
      <c r="H41" s="126"/>
    </row>
    <row r="42" spans="2:8" ht="6" customHeight="1">
      <c r="B42" s="125"/>
      <c r="C42" s="197"/>
      <c r="D42" s="197"/>
      <c r="E42" s="197"/>
      <c r="F42" s="197"/>
      <c r="G42" s="197"/>
      <c r="H42" s="126"/>
    </row>
    <row r="43" spans="2:8" ht="21" customHeight="1">
      <c r="B43" s="125"/>
      <c r="C43" s="351" t="s">
        <v>2007</v>
      </c>
      <c r="D43" s="352"/>
      <c r="E43" s="352"/>
      <c r="F43" s="352"/>
      <c r="G43" s="353"/>
      <c r="H43" s="126"/>
    </row>
    <row r="44" spans="2:8" ht="21" customHeight="1">
      <c r="B44" s="125"/>
      <c r="C44" s="213" t="s">
        <v>1998</v>
      </c>
      <c r="D44" s="214" t="s">
        <v>1999</v>
      </c>
      <c r="E44" s="214" t="s">
        <v>2000</v>
      </c>
      <c r="F44" s="214" t="s">
        <v>2001</v>
      </c>
      <c r="G44" s="214" t="s">
        <v>2002</v>
      </c>
      <c r="H44" s="126"/>
    </row>
    <row r="45" spans="2:8" ht="21" customHeight="1">
      <c r="B45" s="125"/>
      <c r="C45" s="210" t="s">
        <v>2008</v>
      </c>
      <c r="D45" s="211">
        <f>VLOOKUP(D23,Table7[],6,FALSE)*D22</f>
        <v>3824.5871559633024</v>
      </c>
      <c r="E45" s="211">
        <f>VLOOKUP(D23,Table7[],7,FALSE)*D22</f>
        <v>2560.2935779816517</v>
      </c>
      <c r="F45" s="211">
        <f>VLOOKUP(D23,Table7[],8,FALSE)*D22</f>
        <v>1949.9449541284403</v>
      </c>
      <c r="G45" s="211">
        <f>VLOOKUP(D23,Table7[],9,FALSE)*D22</f>
        <v>1605.1376146788991</v>
      </c>
      <c r="H45" s="126"/>
    </row>
    <row r="46" spans="2:8" ht="21" customHeight="1">
      <c r="B46" s="125"/>
      <c r="C46" s="210" t="s">
        <v>2004</v>
      </c>
      <c r="D46" s="211">
        <f>VLOOKUP(D23,Table7[],10,FALSE)*D22</f>
        <v>208.44</v>
      </c>
      <c r="E46" s="211">
        <f>VLOOKUP(D23,Table7[],11,FALSE)*D22</f>
        <v>139.536</v>
      </c>
      <c r="F46" s="211">
        <f>VLOOKUP(D23,Table7[],12,FALSE)*D22</f>
        <v>106.27199999999999</v>
      </c>
      <c r="G46" s="211">
        <f>VLOOKUP(D23,Table7[],13,FALSE)*D22</f>
        <v>87.47999999999999</v>
      </c>
      <c r="H46" s="126"/>
    </row>
    <row r="47" spans="2:8" ht="21" customHeight="1">
      <c r="B47" s="125"/>
      <c r="C47" s="212" t="s">
        <v>2009</v>
      </c>
      <c r="D47" s="211">
        <f>VLOOKUP(G23,Table7[],6,FALSE)*G22</f>
        <v>3824.5871559633024</v>
      </c>
      <c r="E47" s="211">
        <f>VLOOKUP(G23,Table7[],7,FALSE)*G22</f>
        <v>2560.2935779816517</v>
      </c>
      <c r="F47" s="211">
        <f>VLOOKUP(G23,Table7[],8,FALSE)*G22</f>
        <v>1949.9449541284403</v>
      </c>
      <c r="G47" s="211">
        <f>VLOOKUP(G23,Table7[],9,FALSE)*G22</f>
        <v>1605.1376146788991</v>
      </c>
      <c r="H47" s="126"/>
    </row>
    <row r="48" spans="2:8" ht="21" customHeight="1">
      <c r="B48" s="125"/>
      <c r="C48" s="212" t="s">
        <v>2006</v>
      </c>
      <c r="D48" s="211">
        <f>VLOOKUP(G23,Table7[],10,FALSE)*G22</f>
        <v>208.44</v>
      </c>
      <c r="E48" s="211">
        <f>VLOOKUP(G23,Table7[],11,FALSE)*G22</f>
        <v>139.536</v>
      </c>
      <c r="F48" s="211">
        <f>VLOOKUP(G23,Table7[],12,FALSE)*G22</f>
        <v>106.27199999999999</v>
      </c>
      <c r="G48" s="211">
        <f>VLOOKUP(G23,Table7[],13,FALSE)*G22</f>
        <v>87.47999999999999</v>
      </c>
      <c r="H48" s="126"/>
    </row>
    <row r="49" spans="2:8" ht="13.15">
      <c r="B49" s="136"/>
      <c r="H49" s="126"/>
    </row>
    <row r="50" spans="2:8" ht="15.75" customHeight="1" thickBot="1">
      <c r="B50" s="137"/>
      <c r="C50" s="138"/>
      <c r="D50" s="138"/>
      <c r="E50" s="138"/>
      <c r="F50" s="138"/>
      <c r="G50" s="138"/>
      <c r="H50" s="139"/>
    </row>
  </sheetData>
  <sheetProtection algorithmName="SHA-512" hashValue="aZKWc2ALy2+wquXKDfyHUxt5gHV1Rgyz1r2eCvcAmpPOphtsEgYDBGIoHz19aSsU9nVaTJdTtcl0eTBw9VbKDA==" saltValue="zVra9CiZfMDLgnh4V7NUUg==" spinCount="100000" sheet="1" objects="1" scenarios="1"/>
  <mergeCells count="27">
    <mergeCell ref="E10:G10"/>
    <mergeCell ref="C3:G3"/>
    <mergeCell ref="E6:G6"/>
    <mergeCell ref="E7:G7"/>
    <mergeCell ref="E8:G8"/>
    <mergeCell ref="E9:G9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</mergeCells>
  <conditionalFormatting sqref="D18">
    <cfRule type="cellIs" dxfId="116" priority="3" operator="notEqual">
      <formula>$G$18</formula>
    </cfRule>
  </conditionalFormatting>
  <conditionalFormatting sqref="D23">
    <cfRule type="cellIs" dxfId="115" priority="2" operator="notEqual">
      <formula>$G$23</formula>
    </cfRule>
  </conditionalFormatting>
  <conditionalFormatting sqref="D24">
    <cfRule type="cellIs" dxfId="114" priority="16" operator="greaterThan">
      <formula>$D$28</formula>
    </cfRule>
  </conditionalFormatting>
  <conditionalFormatting sqref="D29 G29">
    <cfRule type="cellIs" dxfId="113" priority="31" operator="greaterThanOrEqual">
      <formula>$D$21</formula>
    </cfRule>
    <cfRule type="cellIs" dxfId="112" priority="30" operator="lessThan">
      <formula>$D$21</formula>
    </cfRule>
  </conditionalFormatting>
  <conditionalFormatting sqref="D32 G32">
    <cfRule type="cellIs" dxfId="111" priority="19" operator="greaterThan">
      <formula>25%</formula>
    </cfRule>
    <cfRule type="cellIs" dxfId="110" priority="17" operator="lessThanOrEqual">
      <formula>10%</formula>
    </cfRule>
    <cfRule type="cellIs" dxfId="109" priority="18" operator="between">
      <formula>24.99999%</formula>
      <formula>9.99999999999999%</formula>
    </cfRule>
  </conditionalFormatting>
  <conditionalFormatting sqref="D46">
    <cfRule type="cellIs" dxfId="108" priority="25" operator="greaterThanOrEqual">
      <formula>$D$8</formula>
    </cfRule>
    <cfRule type="cellIs" dxfId="107" priority="24" operator="lessThan">
      <formula>$D$8</formula>
    </cfRule>
  </conditionalFormatting>
  <conditionalFormatting sqref="D48">
    <cfRule type="cellIs" dxfId="106" priority="5" operator="lessThan">
      <formula>$D$8</formula>
    </cfRule>
    <cfRule type="cellIs" dxfId="105" priority="6" operator="greaterThanOrEqual">
      <formula>$D$8</formula>
    </cfRule>
  </conditionalFormatting>
  <conditionalFormatting sqref="D28:E28 G28">
    <cfRule type="cellIs" dxfId="104" priority="37" operator="greaterThanOrEqual">
      <formula>$D$20</formula>
    </cfRule>
    <cfRule type="cellIs" dxfId="103" priority="36" operator="lessThan">
      <formula>$D$20</formula>
    </cfRule>
  </conditionalFormatting>
  <conditionalFormatting sqref="D33:E34 G33:G34">
    <cfRule type="cellIs" dxfId="102" priority="21" operator="greaterThan">
      <formula>0</formula>
    </cfRule>
    <cfRule type="cellIs" dxfId="101" priority="20" operator="lessThanOrEqual">
      <formula>0</formula>
    </cfRule>
  </conditionalFormatting>
  <conditionalFormatting sqref="D38:G38">
    <cfRule type="cellIs" dxfId="100" priority="39" operator="greaterThan">
      <formula>$D$20</formula>
    </cfRule>
    <cfRule type="cellIs" dxfId="99" priority="38" operator="lessThanOrEqual">
      <formula>$D$20</formula>
    </cfRule>
  </conditionalFormatting>
  <conditionalFormatting sqref="D39:G39">
    <cfRule type="cellIs" dxfId="98" priority="41" operator="greaterThanOrEqual">
      <formula>$D$21</formula>
    </cfRule>
    <cfRule type="cellIs" dxfId="97" priority="40" operator="lessThan">
      <formula>$D$21</formula>
    </cfRule>
  </conditionalFormatting>
  <conditionalFormatting sqref="D40:G40">
    <cfRule type="cellIs" dxfId="96" priority="12" operator="greaterThan">
      <formula>$D$20</formula>
    </cfRule>
    <cfRule type="cellIs" dxfId="95" priority="11" operator="lessThanOrEqual">
      <formula>$D$20</formula>
    </cfRule>
  </conditionalFormatting>
  <conditionalFormatting sqref="D41:G41">
    <cfRule type="cellIs" dxfId="94" priority="14" operator="greaterThanOrEqual">
      <formula>$D$21</formula>
    </cfRule>
    <cfRule type="cellIs" dxfId="93" priority="13" operator="lessThan">
      <formula>$D$21</formula>
    </cfRule>
  </conditionalFormatting>
  <conditionalFormatting sqref="D45:G45">
    <cfRule type="cellIs" dxfId="92" priority="26" operator="lessThanOrEqual">
      <formula>$D$20*2</formula>
    </cfRule>
    <cfRule type="cellIs" dxfId="91" priority="27" operator="greaterThan">
      <formula>$D$20*2</formula>
    </cfRule>
  </conditionalFormatting>
  <conditionalFormatting sqref="D47:G47">
    <cfRule type="cellIs" dxfId="90" priority="7" operator="lessThanOrEqual">
      <formula>$G$20*2</formula>
    </cfRule>
    <cfRule type="cellIs" dxfId="89" priority="8" operator="greaterThan">
      <formula>$G$20*2</formula>
    </cfRule>
  </conditionalFormatting>
  <conditionalFormatting sqref="E28">
    <cfRule type="cellIs" dxfId="88" priority="23" operator="greaterThanOrEqual">
      <formula>0</formula>
    </cfRule>
    <cfRule type="cellIs" dxfId="87" priority="22" operator="lessThan">
      <formula>0</formula>
    </cfRule>
  </conditionalFormatting>
  <conditionalFormatting sqref="E46:G46">
    <cfRule type="cellIs" dxfId="86" priority="28" operator="lessThan">
      <formula>$D$21*2</formula>
    </cfRule>
    <cfRule type="cellIs" dxfId="85" priority="29" operator="greaterThanOrEqual">
      <formula>$D$21*2</formula>
    </cfRule>
  </conditionalFormatting>
  <conditionalFormatting sqref="E48:G48">
    <cfRule type="cellIs" dxfId="84" priority="10" operator="greaterThanOrEqual">
      <formula>$G$21*2</formula>
    </cfRule>
    <cfRule type="cellIs" dxfId="83" priority="9" operator="lessThan">
      <formula>$G$21*2</formula>
    </cfRule>
  </conditionalFormatting>
  <conditionalFormatting sqref="G18">
    <cfRule type="cellIs" dxfId="82" priority="4" operator="notEqual">
      <formula>$D$18</formula>
    </cfRule>
  </conditionalFormatting>
  <conditionalFormatting sqref="G23">
    <cfRule type="cellIs" dxfId="81" priority="1" operator="notEqual">
      <formula>$D$23</formula>
    </cfRule>
  </conditionalFormatting>
  <conditionalFormatting sqref="G24">
    <cfRule type="cellIs" dxfId="80" priority="15" operator="greaterThan">
      <formula>$G$28</formula>
    </cfRule>
  </conditionalFormatting>
  <conditionalFormatting sqref="G28">
    <cfRule type="cellIs" dxfId="79" priority="32" operator="lessThan">
      <formula>$D$20</formula>
    </cfRule>
    <cfRule type="cellIs" dxfId="78" priority="33" operator="greaterThanOrEqual">
      <formula>$D$20</formula>
    </cfRule>
  </conditionalFormatting>
  <conditionalFormatting sqref="G28:G29 E28">
    <cfRule type="cellIs" dxfId="77" priority="34" operator="greaterThanOrEqual">
      <formula>0</formula>
    </cfRule>
    <cfRule type="cellIs" dxfId="76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Data!$C$2:$C$32</xm:f>
          </x14:formula1>
          <xm:sqref>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R37"/>
  <sheetViews>
    <sheetView showGridLines="0" tabSelected="1" topLeftCell="A10" zoomScale="90" zoomScaleNormal="90" workbookViewId="0">
      <selection activeCell="D5" sqref="D5"/>
    </sheetView>
  </sheetViews>
  <sheetFormatPr defaultColWidth="14.42578125" defaultRowHeight="15.75" customHeight="1"/>
  <cols>
    <col min="1" max="1" width="4.42578125" style="218" customWidth="1"/>
    <col min="2" max="2" width="5.28515625" style="218" customWidth="1"/>
    <col min="3" max="3" width="49.42578125" style="218" customWidth="1"/>
    <col min="4" max="6" width="33.5703125" style="218" customWidth="1"/>
    <col min="7" max="7" width="36" style="218" customWidth="1"/>
    <col min="8" max="8" width="6.42578125" style="218" customWidth="1"/>
    <col min="9" max="9" width="3.42578125" style="218" customWidth="1"/>
    <col min="10" max="16384" width="14.42578125" style="218"/>
  </cols>
  <sheetData>
    <row r="1" spans="2:9" ht="15.75" customHeight="1" thickBot="1"/>
    <row r="2" spans="2:9" ht="15.75" customHeight="1" thickBot="1">
      <c r="B2" s="219"/>
      <c r="C2" s="220"/>
      <c r="D2" s="220"/>
      <c r="E2" s="220"/>
      <c r="F2" s="220"/>
      <c r="G2" s="220"/>
      <c r="H2" s="221"/>
    </row>
    <row r="3" spans="2:9" ht="24.75" customHeight="1" thickBot="1">
      <c r="B3" s="222"/>
      <c r="C3" s="376" t="s">
        <v>2010</v>
      </c>
      <c r="D3" s="377"/>
      <c r="E3" s="377"/>
      <c r="F3" s="377"/>
      <c r="G3" s="378"/>
      <c r="H3" s="223"/>
    </row>
    <row r="4" spans="2:9" ht="18.75" customHeight="1">
      <c r="B4" s="222"/>
      <c r="C4" s="224"/>
      <c r="D4" s="225"/>
      <c r="E4" s="226"/>
      <c r="F4" s="226"/>
      <c r="G4" s="226"/>
      <c r="H4" s="223"/>
    </row>
    <row r="5" spans="2:9" ht="18.75" customHeight="1">
      <c r="B5" s="222"/>
      <c r="C5" s="247" t="s">
        <v>2011</v>
      </c>
      <c r="D5" s="133" t="s">
        <v>268</v>
      </c>
      <c r="E5" s="370" t="s">
        <v>2012</v>
      </c>
      <c r="F5" s="370"/>
      <c r="G5" s="370"/>
      <c r="H5" s="223"/>
    </row>
    <row r="6" spans="2:9" ht="18.75" customHeight="1">
      <c r="B6" s="222"/>
      <c r="C6" s="247" t="s">
        <v>1975</v>
      </c>
      <c r="D6" s="190" t="str">
        <f>VLOOKUP(D5,All!A8:H266,6,FALSE)</f>
        <v>Power One PMP 25.48 V3.0</v>
      </c>
      <c r="E6" s="370" t="s">
        <v>2012</v>
      </c>
      <c r="F6" s="370"/>
      <c r="G6" s="370"/>
      <c r="H6" s="223"/>
    </row>
    <row r="7" spans="2:9" ht="18.75" customHeight="1">
      <c r="B7" s="222"/>
      <c r="C7" s="247" t="s">
        <v>1976</v>
      </c>
      <c r="D7" s="190">
        <f>VLOOKUP(D5,All!A8:H266,8,FALSE)</f>
        <v>5</v>
      </c>
      <c r="E7" s="370" t="s">
        <v>2013</v>
      </c>
      <c r="F7" s="370"/>
      <c r="G7" s="370"/>
      <c r="H7" s="223"/>
    </row>
    <row r="8" spans="2:9" ht="18.75" customHeight="1">
      <c r="B8" s="222"/>
      <c r="C8" s="247" t="s">
        <v>2014</v>
      </c>
      <c r="D8" s="191">
        <f>VLOOKUP(D5,All!A8:I266,9,FALSE)</f>
        <v>81.8</v>
      </c>
      <c r="E8" s="379" t="s">
        <v>2015</v>
      </c>
      <c r="F8" s="380"/>
      <c r="G8" s="381"/>
      <c r="H8" s="227"/>
    </row>
    <row r="9" spans="2:9" ht="18.75" customHeight="1">
      <c r="B9" s="222"/>
      <c r="C9" s="247" t="s">
        <v>2016</v>
      </c>
      <c r="D9" s="191">
        <f>VLOOKUP(D5,'SYS Allocations'!A8:H267,8,FALSE)</f>
        <v>0</v>
      </c>
      <c r="E9" s="379" t="s">
        <v>2017</v>
      </c>
      <c r="F9" s="380"/>
      <c r="G9" s="381"/>
      <c r="H9" s="223"/>
    </row>
    <row r="10" spans="2:9" ht="18.75" customHeight="1">
      <c r="B10" s="222"/>
      <c r="C10" s="247" t="s">
        <v>2018</v>
      </c>
      <c r="D10" s="245"/>
      <c r="E10" s="382" t="s">
        <v>2019</v>
      </c>
      <c r="F10" s="383"/>
      <c r="G10" s="384"/>
      <c r="H10" s="223"/>
    </row>
    <row r="11" spans="2:9" s="121" customFormat="1" ht="18.75" customHeight="1">
      <c r="B11" s="125"/>
      <c r="C11" s="246" t="s">
        <v>2020</v>
      </c>
      <c r="D11" s="191">
        <f>SUM(D8:D10)</f>
        <v>81.8</v>
      </c>
      <c r="E11" s="370" t="s">
        <v>1963</v>
      </c>
      <c r="F11" s="370"/>
      <c r="G11" s="370"/>
      <c r="H11" s="228"/>
    </row>
    <row r="12" spans="2:9" s="121" customFormat="1" ht="18.75" customHeight="1">
      <c r="B12" s="125"/>
      <c r="C12" s="246" t="s">
        <v>2021</v>
      </c>
      <c r="D12" s="193">
        <f>(D11*54.5)/1000</f>
        <v>4.4580999999999991</v>
      </c>
      <c r="E12" s="370" t="s">
        <v>1963</v>
      </c>
      <c r="F12" s="370"/>
      <c r="G12" s="370"/>
      <c r="H12" s="228"/>
    </row>
    <row r="13" spans="2:9" s="121" customFormat="1" ht="18.75" customHeight="1">
      <c r="B13" s="125"/>
      <c r="C13" s="247" t="s">
        <v>1981</v>
      </c>
      <c r="D13" s="194" t="str">
        <f>VLOOKUP(D5,All!A8:R281,16,FALSE)</f>
        <v>2</v>
      </c>
      <c r="E13" s="370" t="s">
        <v>1982</v>
      </c>
      <c r="F13" s="370"/>
      <c r="G13" s="370"/>
      <c r="H13" s="228"/>
    </row>
    <row r="14" spans="2:9" s="121" customFormat="1" ht="18.75" customHeight="1">
      <c r="B14" s="125"/>
      <c r="C14" s="247" t="s">
        <v>1983</v>
      </c>
      <c r="D14" s="194" t="str">
        <f>VLOOKUP(D5,All!A8:AP281,42,FALSE)</f>
        <v>2DDm85-15</v>
      </c>
      <c r="E14" s="370" t="s">
        <v>1984</v>
      </c>
      <c r="F14" s="370"/>
      <c r="G14" s="370"/>
      <c r="H14" s="228"/>
    </row>
    <row r="15" spans="2:9" ht="18.75" customHeight="1">
      <c r="B15" s="222"/>
      <c r="C15" s="248" t="s">
        <v>1985</v>
      </c>
      <c r="D15" s="249">
        <f>(VLOOKUP(D14,Table7[],15,FALSE)*D13)</f>
        <v>119</v>
      </c>
      <c r="E15" s="370" t="s">
        <v>1963</v>
      </c>
      <c r="F15" s="370"/>
      <c r="G15" s="370"/>
      <c r="H15" s="223"/>
    </row>
    <row r="16" spans="2:9" s="121" customFormat="1" ht="18.75" customHeight="1">
      <c r="B16" s="125"/>
      <c r="C16" s="247" t="s">
        <v>2022</v>
      </c>
      <c r="D16" s="196">
        <f>D11+D15</f>
        <v>200.8</v>
      </c>
      <c r="E16" s="370" t="s">
        <v>1963</v>
      </c>
      <c r="F16" s="370"/>
      <c r="G16" s="370"/>
      <c r="H16" s="228"/>
      <c r="I16" s="229"/>
    </row>
    <row r="17" spans="2:18" s="121" customFormat="1" ht="18.75" customHeight="1">
      <c r="B17" s="125"/>
      <c r="C17" s="197"/>
      <c r="D17" s="198"/>
      <c r="E17" s="197"/>
      <c r="F17" s="197"/>
      <c r="G17" s="197"/>
      <c r="H17" s="228"/>
    </row>
    <row r="18" spans="2:18" s="121" customFormat="1" ht="28.5" customHeight="1">
      <c r="B18" s="125"/>
      <c r="C18" s="199"/>
      <c r="D18" s="250" t="s">
        <v>2023</v>
      </c>
      <c r="E18" s="200" t="s">
        <v>2024</v>
      </c>
      <c r="F18" s="209" t="s">
        <v>1989</v>
      </c>
      <c r="G18" s="200" t="s">
        <v>2025</v>
      </c>
      <c r="H18" s="228"/>
    </row>
    <row r="19" spans="2:18" s="121" customFormat="1" ht="18.75" customHeight="1">
      <c r="B19" s="125"/>
      <c r="C19" s="201" t="s">
        <v>1990</v>
      </c>
      <c r="D19" s="202">
        <f>((VLOOKUP(D6,Table83[],2,FALSE))*(D7-1))-(VLOOKUP(D14,Table7[],15,FALSE)*D13)</f>
        <v>81</v>
      </c>
      <c r="E19" s="251">
        <f>((VLOOKUP(D6,Table83[],2,FALSE))*(D7-1))*0.8</f>
        <v>160</v>
      </c>
      <c r="F19" s="371">
        <f>ROUNDUP((((VLOOKUP(D6,Rectifier_Lookup!A2:B37,2,FALSE))*(D7-1))-D16)/(VLOOKUP(D6,Rectifier_Lookup!A2:C37,2,FALSE)),0)</f>
        <v>-1</v>
      </c>
      <c r="G19" s="371">
        <f>ROUNDUP((D11-E19)/(VLOOKUP(D6,'[2]Rectifier Lookup'!A2:C37,3,FALSE)),0)</f>
        <v>-2</v>
      </c>
      <c r="H19" s="228"/>
    </row>
    <row r="20" spans="2:18" ht="15.75" customHeight="1">
      <c r="B20" s="222"/>
      <c r="C20" s="201" t="s">
        <v>1991</v>
      </c>
      <c r="D20" s="204">
        <f>(D19*54.5)/1000</f>
        <v>4.4145000000000003</v>
      </c>
      <c r="E20" s="204">
        <f>(E19*54.5)/1000</f>
        <v>8.7200000000000006</v>
      </c>
      <c r="F20" s="372"/>
      <c r="G20" s="372"/>
      <c r="H20" s="223"/>
    </row>
    <row r="21" spans="2:18" ht="15.75" customHeight="1">
      <c r="B21" s="222"/>
      <c r="C21" s="226"/>
      <c r="D21" s="226"/>
      <c r="E21" s="226"/>
      <c r="F21" s="226"/>
      <c r="G21" s="226"/>
      <c r="H21" s="223"/>
    </row>
    <row r="22" spans="2:18" ht="15.75" customHeight="1">
      <c r="B22" s="222"/>
      <c r="C22" s="206"/>
      <c r="D22" s="207" t="s">
        <v>2026</v>
      </c>
      <c r="E22" s="207" t="s">
        <v>2027</v>
      </c>
      <c r="F22" s="206"/>
      <c r="G22" s="206"/>
      <c r="H22" s="223"/>
      <c r="R22" s="218" t="s">
        <v>2028</v>
      </c>
    </row>
    <row r="23" spans="2:18" ht="15.75" customHeight="1">
      <c r="B23" s="222"/>
      <c r="C23" s="208" t="s">
        <v>1995</v>
      </c>
      <c r="D23" s="373">
        <f>D24/D19</f>
        <v>-9.8765432098765083E-3</v>
      </c>
      <c r="E23" s="374"/>
      <c r="F23" s="360" t="s">
        <v>2029</v>
      </c>
      <c r="G23" s="361"/>
      <c r="H23" s="223"/>
    </row>
    <row r="24" spans="2:18" ht="15.75" customHeight="1">
      <c r="B24" s="222"/>
      <c r="C24" s="201" t="s">
        <v>1990</v>
      </c>
      <c r="D24" s="202">
        <f>D19-D11</f>
        <v>-0.79999999999999716</v>
      </c>
      <c r="E24" s="251">
        <f>E19-D11</f>
        <v>78.2</v>
      </c>
      <c r="F24" s="206"/>
      <c r="G24" s="206"/>
      <c r="H24" s="223"/>
    </row>
    <row r="25" spans="2:18" ht="15.75" customHeight="1">
      <c r="B25" s="222"/>
      <c r="C25" s="201" t="s">
        <v>1991</v>
      </c>
      <c r="D25" s="204">
        <f>(D24*54.5)/1000</f>
        <v>-4.3599999999999847E-2</v>
      </c>
      <c r="E25" s="204">
        <f>(E24*54.5)/1000</f>
        <v>4.2619000000000007</v>
      </c>
      <c r="F25" s="206"/>
      <c r="G25" s="206"/>
      <c r="H25" s="223"/>
    </row>
    <row r="26" spans="2:18" ht="15.75" customHeight="1">
      <c r="B26" s="222"/>
      <c r="C26" s="226"/>
      <c r="D26" s="226"/>
      <c r="E26" s="226"/>
      <c r="F26" s="226"/>
      <c r="G26" s="226"/>
      <c r="H26" s="223"/>
    </row>
    <row r="27" spans="2:18" ht="15.75" customHeight="1">
      <c r="B27" s="222"/>
      <c r="C27" s="375" t="s">
        <v>2030</v>
      </c>
      <c r="D27" s="375"/>
      <c r="E27" s="375"/>
      <c r="F27" s="375"/>
      <c r="G27" s="375"/>
      <c r="H27" s="223"/>
    </row>
    <row r="28" spans="2:18" ht="15.75" customHeight="1">
      <c r="B28" s="222"/>
      <c r="C28" s="201" t="s">
        <v>1998</v>
      </c>
      <c r="D28" s="209" t="s">
        <v>1999</v>
      </c>
      <c r="E28" s="209" t="s">
        <v>2000</v>
      </c>
      <c r="F28" s="209" t="s">
        <v>2001</v>
      </c>
      <c r="G28" s="209" t="s">
        <v>2002</v>
      </c>
      <c r="H28" s="223"/>
    </row>
    <row r="29" spans="2:18" ht="15.75" customHeight="1">
      <c r="B29" s="222"/>
      <c r="C29" s="201" t="s">
        <v>1990</v>
      </c>
      <c r="D29" s="252">
        <f>VLOOKUP(D14,Table7[],6,FALSE)*D13</f>
        <v>450.23119266055051</v>
      </c>
      <c r="E29" s="252">
        <f>VLOOKUP(D14,Table7[],7,FALSE)*D13</f>
        <v>302.00366972477065</v>
      </c>
      <c r="F29" s="252">
        <f>VLOOKUP(D14,Table7[],8,FALSE)*D13</f>
        <v>229.87155963302752</v>
      </c>
      <c r="G29" s="252">
        <f>VLOOKUP(D14,Table7[],9,FALSE)*D13</f>
        <v>188.65321100917433</v>
      </c>
      <c r="H29" s="223"/>
    </row>
    <row r="30" spans="2:18" ht="15.75" customHeight="1">
      <c r="B30" s="222"/>
      <c r="C30" s="201" t="s">
        <v>1991</v>
      </c>
      <c r="D30" s="252">
        <f>VLOOKUP(D14,Table7[],10,FALSE)*D13</f>
        <v>24.537600000000001</v>
      </c>
      <c r="E30" s="252">
        <f>VLOOKUP(D14,Table7[],11,FALSE)*D13</f>
        <v>16.459199999999999</v>
      </c>
      <c r="F30" s="252">
        <f>VLOOKUP(D14,Table7[],12,FALSE)*D13</f>
        <v>12.528</v>
      </c>
      <c r="G30" s="252">
        <f>VLOOKUP(D14,Table7[],13,FALSE)*D13</f>
        <v>10.281600000000001</v>
      </c>
      <c r="H30" s="223"/>
    </row>
    <row r="31" spans="2:18" ht="21" customHeight="1" thickBot="1">
      <c r="B31" s="230"/>
      <c r="C31" s="253"/>
      <c r="D31" s="253"/>
      <c r="E31" s="253"/>
      <c r="F31" s="253"/>
      <c r="G31" s="253"/>
      <c r="H31" s="231"/>
    </row>
    <row r="32" spans="2:18" ht="13.15">
      <c r="B32" s="232"/>
      <c r="C32" s="220"/>
      <c r="D32" s="220"/>
      <c r="E32" s="220"/>
      <c r="F32" s="220"/>
      <c r="G32" s="254"/>
      <c r="H32" s="233"/>
    </row>
    <row r="33" spans="2:8" ht="15.75" customHeight="1">
      <c r="B33" s="234"/>
      <c r="C33" s="369" t="s">
        <v>2031</v>
      </c>
      <c r="D33" s="369"/>
      <c r="E33" s="369"/>
      <c r="F33" s="369"/>
      <c r="G33" s="369"/>
      <c r="H33" s="235"/>
    </row>
    <row r="34" spans="2:8" ht="15.75" customHeight="1">
      <c r="B34" s="234"/>
      <c r="C34" s="213" t="s">
        <v>1998</v>
      </c>
      <c r="D34" s="214" t="s">
        <v>1999</v>
      </c>
      <c r="E34" s="214" t="s">
        <v>2000</v>
      </c>
      <c r="F34" s="214" t="s">
        <v>2001</v>
      </c>
      <c r="G34" s="214" t="s">
        <v>2002</v>
      </c>
      <c r="H34" s="235"/>
    </row>
    <row r="35" spans="2:8" ht="15.75" customHeight="1">
      <c r="B35" s="234"/>
      <c r="C35" s="213" t="s">
        <v>1990</v>
      </c>
      <c r="D35" s="252">
        <f>VLOOKUP(D14,Table72[],6,FALSE)*D13</f>
        <v>400.20550458715599</v>
      </c>
      <c r="E35" s="252">
        <f>VLOOKUP(D14,Table72[],7,FALSE)*D13</f>
        <v>268.44770642201837</v>
      </c>
      <c r="F35" s="252">
        <f>VLOOKUP(D14,Table72[],8,FALSE)*D13</f>
        <v>204.3302752293578</v>
      </c>
      <c r="G35" s="252">
        <f>VLOOKUP(D14,Table72[],9,FALSE)*D13</f>
        <v>167.69174311926608</v>
      </c>
      <c r="H35" s="235"/>
    </row>
    <row r="36" spans="2:8" ht="15.75" customHeight="1">
      <c r="B36" s="234"/>
      <c r="C36" s="213" t="s">
        <v>1991</v>
      </c>
      <c r="D36" s="252">
        <f>VLOOKUP(D14,Table72[],10,FALSE)*D13</f>
        <v>21.811199999999999</v>
      </c>
      <c r="E36" s="252">
        <f>VLOOKUP(D14,Table72[],11,FALSE)*D13</f>
        <v>14.630400000000002</v>
      </c>
      <c r="F36" s="252">
        <f>VLOOKUP(D14,Table72[],12,FALSE)*D13</f>
        <v>11.135999999999999</v>
      </c>
      <c r="G36" s="252">
        <f>VLOOKUP(D14,Table72[],13,FALSE)*D13</f>
        <v>9.1392000000000007</v>
      </c>
      <c r="H36" s="235"/>
    </row>
    <row r="37" spans="2:8" ht="15.75" customHeight="1" thickBot="1">
      <c r="B37" s="236"/>
      <c r="C37" s="237"/>
      <c r="D37" s="237"/>
      <c r="E37" s="237"/>
      <c r="F37" s="237"/>
      <c r="G37" s="237"/>
      <c r="H37" s="238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C33:G33"/>
    <mergeCell ref="E16:G16"/>
    <mergeCell ref="F19:F20"/>
    <mergeCell ref="G19:G20"/>
    <mergeCell ref="D23:E23"/>
    <mergeCell ref="F23:G23"/>
    <mergeCell ref="C27:G27"/>
  </mergeCells>
  <conditionalFormatting sqref="D23">
    <cfRule type="cellIs" dxfId="75" priority="3" operator="lessThanOrEqual">
      <formula>0.1</formula>
    </cfRule>
  </conditionalFormatting>
  <conditionalFormatting sqref="D19:E19">
    <cfRule type="cellIs" dxfId="74" priority="16" operator="lessThan">
      <formula>$D$11</formula>
    </cfRule>
    <cfRule type="cellIs" dxfId="73" priority="17" operator="greaterThanOrEqual">
      <formula>$D$11</formula>
    </cfRule>
  </conditionalFormatting>
  <conditionalFormatting sqref="D20:E20 D30:G30">
    <cfRule type="cellIs" dxfId="72" priority="22" operator="lessThan">
      <formula>$D$12</formula>
    </cfRule>
    <cfRule type="cellIs" dxfId="71" priority="23" operator="greaterThanOrEqual">
      <formula>$D$12</formula>
    </cfRule>
  </conditionalFormatting>
  <conditionalFormatting sqref="D23:E23">
    <cfRule type="cellIs" dxfId="70" priority="1" operator="greaterThan">
      <formula>0.25</formula>
    </cfRule>
    <cfRule type="cellIs" dxfId="69" priority="2" operator="between">
      <formula>0.249999999999999</formula>
      <formula>0.109999999999999</formula>
    </cfRule>
  </conditionalFormatting>
  <conditionalFormatting sqref="D24:E25">
    <cfRule type="cellIs" dxfId="68" priority="4" operator="lessThanOrEqual">
      <formula>0</formula>
    </cfRule>
    <cfRule type="cellIs" dxfId="67" priority="5" operator="greaterThan">
      <formula>0</formula>
    </cfRule>
  </conditionalFormatting>
  <conditionalFormatting sqref="D29:G29">
    <cfRule type="cellIs" dxfId="66" priority="18" operator="lessThanOrEqual">
      <formula>$D$11</formula>
    </cfRule>
    <cfRule type="cellIs" dxfId="65" priority="19" operator="greaterThan">
      <formula>$D$11</formula>
    </cfRule>
  </conditionalFormatting>
  <conditionalFormatting sqref="D35:G35">
    <cfRule type="cellIs" dxfId="64" priority="6" operator="lessThanOrEqual">
      <formula>$D$11</formula>
    </cfRule>
    <cfRule type="cellIs" dxfId="63" priority="7" operator="greaterThan">
      <formula>$D$11</formula>
    </cfRule>
  </conditionalFormatting>
  <conditionalFormatting sqref="D36:G36">
    <cfRule type="cellIs" dxfId="62" priority="10" operator="lessThan">
      <formula>$D$12</formula>
    </cfRule>
    <cfRule type="cellIs" dxfId="61" priority="11" operator="greaterThanOrEqual">
      <formula>$D$12</formula>
    </cfRule>
  </conditionalFormatting>
  <conditionalFormatting sqref="F19:F20">
    <cfRule type="cellIs" dxfId="60" priority="14" operator="greaterThanOrEqual">
      <formula>0</formula>
    </cfRule>
    <cfRule type="cellIs" dxfId="59" priority="15" operator="lessThan">
      <formula>0</formula>
    </cfRule>
  </conditionalFormatting>
  <conditionalFormatting sqref="G19:G20">
    <cfRule type="cellIs" dxfId="58" priority="12" operator="greaterThan">
      <formula>0</formula>
    </cfRule>
    <cfRule type="cellIs" dxfId="57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Data!$I$2:$I$183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2032</v>
      </c>
      <c r="D1" s="52" t="s">
        <v>2033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All!E13</f>
        <v>ANSTW1</v>
      </c>
      <c r="B7">
        <f>All!Y13</f>
        <v>6</v>
      </c>
      <c r="C7">
        <f>IFERROR(VLOOKUP(A7,'Site check'!A:Q,3,0),0)</f>
        <v>0</v>
      </c>
      <c r="D7">
        <f t="shared" si="0"/>
        <v>6</v>
      </c>
    </row>
    <row r="8" spans="1:4">
      <c r="A8" t="str">
        <f>All!E14</f>
        <v>ASH</v>
      </c>
      <c r="B8">
        <f>All!Y14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All!E15</f>
        <v>ASMN02</v>
      </c>
      <c r="B9">
        <f>All!Y15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All!E16</f>
        <v>AYRN01</v>
      </c>
      <c r="B10">
        <f>All!Y16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All!E17</f>
        <v>AZTCD1</v>
      </c>
      <c r="B11">
        <f>All!Y17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All!E18</f>
        <v>BCT</v>
      </c>
      <c r="B12">
        <f>All!Y18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All!E19</f>
        <v>BDEN02</v>
      </c>
      <c r="B13">
        <f>All!Y19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All!E20</f>
        <v>BDEN06</v>
      </c>
      <c r="B14">
        <f>All!Y20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All!E21</f>
        <v>BDFN02</v>
      </c>
      <c r="B15">
        <f>All!Y21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All!E23</f>
        <v>BFDTB1</v>
      </c>
      <c r="B16">
        <f>All!Y23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All!E24</f>
        <v>BFEC01</v>
      </c>
      <c r="B17">
        <f>All!Y24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All!E25</f>
        <v>BFTN03</v>
      </c>
      <c r="B18">
        <f>All!Y25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All!E26</f>
        <v>BHMN07</v>
      </c>
      <c r="B19">
        <f>All!Y26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All!E27</f>
        <v>BHMN05</v>
      </c>
      <c r="B20">
        <f>All!Y27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All!E28</f>
        <v>BHMN05</v>
      </c>
      <c r="B21">
        <f>All!Y28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All!E31</f>
        <v>BHMTF1</v>
      </c>
      <c r="B22">
        <f>All!Y31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All!E32</f>
        <v>BHMTF1</v>
      </c>
      <c r="B23">
        <f>All!Y32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All!E33</f>
        <v>BHWCN1</v>
      </c>
      <c r="B24">
        <f>All!Y33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All!E34</f>
        <v>BIFTS1</v>
      </c>
      <c r="B25">
        <f>All!Y34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All!E35</f>
        <v>BKBN41</v>
      </c>
      <c r="B26">
        <f>All!Y35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All!E36</f>
        <v>BKLN05</v>
      </c>
      <c r="B28">
        <f>All!Y36</f>
        <v>103</v>
      </c>
      <c r="C28">
        <f>IFERROR(VLOOKUP(A28,'Site check'!A:Q,3,0),0)</f>
        <v>0</v>
      </c>
      <c r="D28">
        <f t="shared" si="0"/>
        <v>103</v>
      </c>
    </row>
    <row r="29" spans="1:4">
      <c r="A29" t="str">
        <f>All!E37</f>
        <v>BKLN05</v>
      </c>
      <c r="B29">
        <f>All!Y37</f>
        <v>103</v>
      </c>
      <c r="C29">
        <f>IFERROR(VLOOKUP(A29,'Site check'!A:Q,3,0),0)</f>
        <v>0</v>
      </c>
      <c r="D29">
        <f t="shared" si="0"/>
        <v>103</v>
      </c>
    </row>
    <row r="30" spans="1:4">
      <c r="A30" t="str">
        <f>All!E39</f>
        <v>BKLN05 Ext</v>
      </c>
      <c r="B30">
        <f>All!Y39</f>
        <v>23</v>
      </c>
      <c r="C30">
        <f>IFERROR(VLOOKUP(A30,'Site check'!A:Q,3,0),0)</f>
        <v>0</v>
      </c>
      <c r="D30">
        <f t="shared" si="0"/>
        <v>23</v>
      </c>
    </row>
    <row r="31" spans="1:4">
      <c r="A31" t="str">
        <f>All!E40</f>
        <v>BMGV03</v>
      </c>
      <c r="B31">
        <f>All!Y40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All!E41</f>
        <v>BMGV03</v>
      </c>
      <c r="B32">
        <f>All!Y41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All!E42</f>
        <v>BMTDN1</v>
      </c>
      <c r="B33">
        <f>All!Y42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All!E43</f>
        <v>BPL</v>
      </c>
      <c r="B34">
        <f>All!Y43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All!E44</f>
        <v>BRETS1</v>
      </c>
      <c r="B35">
        <f>All!Y44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All!E45</f>
        <v>BRRTS1</v>
      </c>
      <c r="B37">
        <f>All!Y45</f>
        <v>2</v>
      </c>
      <c r="C37">
        <f>IFERROR(VLOOKUP(A37,'Site check'!A:Q,3,0),0)</f>
        <v>0</v>
      </c>
      <c r="D37">
        <f t="shared" si="0"/>
        <v>2</v>
      </c>
    </row>
    <row r="38" spans="1:4">
      <c r="A38" t="str">
        <f>All!E46</f>
        <v>BSG</v>
      </c>
      <c r="B38">
        <f>All!Y46</f>
        <v>57</v>
      </c>
      <c r="C38">
        <f>IFERROR(VLOOKUP(A38,'Site check'!A:Q,3,0),0)</f>
        <v>0</v>
      </c>
      <c r="D38">
        <f t="shared" si="0"/>
        <v>57</v>
      </c>
    </row>
    <row r="39" spans="1:4">
      <c r="A39" t="str">
        <f>All!E47</f>
        <v>BSHN07</v>
      </c>
      <c r="B39">
        <f>All!Y47</f>
        <v>33</v>
      </c>
      <c r="C39">
        <f>IFERROR(VLOOKUP(A39,'Site check'!A:Q,3,0),0)</f>
        <v>0</v>
      </c>
      <c r="D39">
        <f t="shared" si="0"/>
        <v>33</v>
      </c>
    </row>
    <row r="40" spans="1:4">
      <c r="A40" t="str">
        <f>All!E48</f>
        <v>BSHN07</v>
      </c>
      <c r="B40">
        <f>All!Y48</f>
        <v>33</v>
      </c>
      <c r="C40">
        <f>IFERROR(VLOOKUP(A40,'Site check'!A:Q,3,0),0)</f>
        <v>0</v>
      </c>
      <c r="D40">
        <f t="shared" si="0"/>
        <v>33</v>
      </c>
    </row>
    <row r="41" spans="1:4">
      <c r="A41" t="str">
        <f>All!E49</f>
        <v>BSHN07</v>
      </c>
      <c r="B41">
        <f>All!Y49</f>
        <v>33</v>
      </c>
      <c r="C41">
        <f>IFERROR(VLOOKUP(A41,'Site check'!A:Q,3,0),0)</f>
        <v>0</v>
      </c>
      <c r="D41">
        <f t="shared" si="0"/>
        <v>33</v>
      </c>
    </row>
    <row r="42" spans="1:4">
      <c r="A42" t="str">
        <f>All!E50</f>
        <v>BSHN03</v>
      </c>
      <c r="B42">
        <f>All!Y50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All!E52</f>
        <v>BTFTB1</v>
      </c>
      <c r="B43">
        <f>All!Y52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All!E53</f>
        <v>BTFTB1</v>
      </c>
      <c r="B44">
        <f>All!Y53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All!E54</f>
        <v>BTLCD1</v>
      </c>
      <c r="B45">
        <f>All!Y54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All!E55</f>
        <v>BTLN08</v>
      </c>
      <c r="B46">
        <f>All!Y55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All!E56</f>
        <v>BTLN09</v>
      </c>
      <c r="B47">
        <f>All!Y56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All!E57</f>
        <v>BTN</v>
      </c>
      <c r="B48">
        <f>All!Y57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All!E58</f>
        <v>BTNW01</v>
      </c>
      <c r="B49">
        <f>All!Y58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All!E59</f>
        <v>BTRTP1</v>
      </c>
      <c r="B50">
        <f>All!Y59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All!E60</f>
        <v>BYR</v>
      </c>
      <c r="B51">
        <f>All!Y60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All!E61</f>
        <v>CAMN02</v>
      </c>
      <c r="B52">
        <f>All!Y61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All!E62</f>
        <v>CAMN41</v>
      </c>
      <c r="B53">
        <f>All!Y62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All!E63</f>
        <v>CBY</v>
      </c>
      <c r="B54">
        <f>All!Y63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All!E64</f>
        <v>CDFN02</v>
      </c>
      <c r="B55">
        <f>All!Y64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All!E65</f>
        <v>CELL01</v>
      </c>
      <c r="B56">
        <f>All!Y65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All!E66</f>
        <v>CFDTN1</v>
      </c>
      <c r="B57">
        <f>All!Y66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All!E67</f>
        <v>CHDCD1</v>
      </c>
      <c r="B58">
        <f>All!Y67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All!E68</f>
        <v>CHMN21</v>
      </c>
      <c r="B59">
        <f>All!Y68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All!E69</f>
        <v>CHTN07</v>
      </c>
      <c r="B60">
        <f>All!Y69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All!E70</f>
        <v>CHTN07</v>
      </c>
      <c r="B61">
        <f>All!Y70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All!E71</f>
        <v>CHTTN3</v>
      </c>
      <c r="B62">
        <f>All!Y71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All!E73</f>
        <v>CKNN03</v>
      </c>
      <c r="B63">
        <f>All!Y73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All!E74</f>
        <v>CKNN03</v>
      </c>
      <c r="B64">
        <f>All!Y74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All!E75</f>
        <v>COV</v>
      </c>
      <c r="B65">
        <f>All!Y75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All!E77</f>
        <v>COWL02</v>
      </c>
      <c r="B66">
        <f>All!Y77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All!E78</f>
        <v>CSLN13</v>
      </c>
      <c r="B67">
        <f>All!Y78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All!E79</f>
        <v>CTNN01</v>
      </c>
      <c r="B68">
        <f>All!Y79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All!E80</f>
        <v>CTNN01</v>
      </c>
      <c r="B69">
        <f>All!Y80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All!E81</f>
        <v>CTRTK1</v>
      </c>
      <c r="B70">
        <f>All!Y81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All!E82</f>
        <v>CTRTS1</v>
      </c>
      <c r="B71">
        <f>All!Y82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All!E83</f>
        <v>CYNTN2(EXT'N)</v>
      </c>
      <c r="B72">
        <f>All!Y83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All!E84</f>
        <v>DBY</v>
      </c>
      <c r="B73">
        <f>All!Y84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All!E85</f>
        <v>DCT</v>
      </c>
      <c r="B74">
        <f>All!Y85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All!E86</f>
        <v>DFSN01</v>
      </c>
      <c r="B75">
        <f>All!Y86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All!E87</f>
        <v>DFSNC1</v>
      </c>
      <c r="B76">
        <f>All!Y87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All!E88</f>
        <v>DGS</v>
      </c>
      <c r="B77">
        <f>All!Y88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All!E89</f>
        <v>DHMNU1</v>
      </c>
      <c r="B78">
        <f>All!Y89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All!E90</f>
        <v>DKTN08</v>
      </c>
      <c r="B79">
        <f>All!Y90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All!E91</f>
        <v>DLD</v>
      </c>
      <c r="B80">
        <f>All!Y91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All!E92</f>
        <v>DLNTC1</v>
      </c>
      <c r="B81">
        <f>All!Y92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All!E93</f>
        <v>DNDN71</v>
      </c>
      <c r="B82">
        <f>All!Y93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All!E94</f>
        <v>DNDTC1</v>
      </c>
      <c r="B83">
        <f>All!Y94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All!E95</f>
        <v>DNFNP1</v>
      </c>
      <c r="B84">
        <f>All!Y95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All!E96</f>
        <v>DONTN1</v>
      </c>
      <c r="B85">
        <f>All!Y96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All!E97</f>
        <v>DVSTB1</v>
      </c>
      <c r="B86">
        <f>All!Y97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All!E98</f>
        <v>DWLTM1</v>
      </c>
      <c r="B87">
        <f>All!Y98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All!E99</f>
        <v>EBCTC1</v>
      </c>
      <c r="B88">
        <f>All!Y99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All!E100</f>
        <v>EDBN07</v>
      </c>
      <c r="B89">
        <f>All!Y100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All!E101</f>
        <v>EDBTG1</v>
      </c>
      <c r="B90">
        <f>All!Y101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All!E102</f>
        <v>EDBTG1</v>
      </c>
      <c r="B91">
        <f>All!Y102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All!E103</f>
        <v>EDBTN1</v>
      </c>
      <c r="B92">
        <f>All!Y103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All!E104</f>
        <v>EDBTN1</v>
      </c>
      <c r="B93">
        <f>All!Y104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All!E105</f>
        <v>EGNTM1</v>
      </c>
      <c r="B94">
        <f>All!Y105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All!E106</f>
        <v>EVMN01</v>
      </c>
      <c r="B95">
        <f>All!Y106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All!E107</f>
        <v>EXR</v>
      </c>
      <c r="B96">
        <f>All!Y107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All!E109</f>
        <v>EXR</v>
      </c>
      <c r="B97">
        <f>All!Y109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All!E110</f>
        <v>FKE</v>
      </c>
      <c r="B98">
        <f>All!Y110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All!E111</f>
        <v>FLNTT1</v>
      </c>
      <c r="B99">
        <f>All!Y111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All!E112</f>
        <v>FMYN31</v>
      </c>
      <c r="B100">
        <f>All!Y112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All!E113</f>
        <v>FRNN03</v>
      </c>
      <c r="B101">
        <f>All!Y113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All!E114</f>
        <v>FRNN03</v>
      </c>
      <c r="B102">
        <f>All!Y114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All!E115</f>
        <v>GCRTB1</v>
      </c>
      <c r="B103">
        <f>All!Y115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All!E116</f>
        <v>GFDCD1</v>
      </c>
      <c r="B104">
        <f>All!Y116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All!E118</f>
        <v>GLWN07</v>
      </c>
      <c r="B105">
        <f>All!Y118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All!E119</f>
        <v>GLWN07</v>
      </c>
      <c r="B106">
        <f>All!Y119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All!E120</f>
        <v>GLWTO1</v>
      </c>
      <c r="B107">
        <f>All!Y120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All!E121</f>
        <v>GLWTW1</v>
      </c>
      <c r="B108">
        <f>All!Y121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All!E122</f>
        <v>GRSTB1</v>
      </c>
      <c r="B109">
        <f>All!Y122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All!E123</f>
        <v>GWK</v>
      </c>
      <c r="B110">
        <f>All!Y123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All!E124</f>
        <v>HHD</v>
      </c>
      <c r="B111">
        <f>All!Y124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All!E125</f>
        <v>HLDA11</v>
      </c>
      <c r="B112">
        <f>All!Y125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All!E126</f>
        <v>HLDA12</v>
      </c>
      <c r="B113">
        <f>All!Y126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All!E127</f>
        <v>HLWN02</v>
      </c>
      <c r="B114">
        <f>All!Y127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All!E128</f>
        <v>HRWN02</v>
      </c>
      <c r="B115">
        <f>All!Y128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All!E129</f>
        <v>HTE</v>
      </c>
      <c r="B116">
        <f>All!Y129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All!E130</f>
        <v>IGNN01</v>
      </c>
      <c r="B117">
        <f>All!Y130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All!E131</f>
        <v>INVN41</v>
      </c>
      <c r="B118">
        <f>All!Y131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All!E132</f>
        <v>INVTL1</v>
      </c>
      <c r="B119">
        <f>All!Y132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All!E133</f>
        <v>IODN01</v>
      </c>
      <c r="B120">
        <f>All!Y133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All!E135</f>
        <v>IPWTN1</v>
      </c>
      <c r="B121">
        <f>All!Y135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All!E136</f>
        <v>IVER02</v>
      </c>
      <c r="B122">
        <f>All!Y136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All!E137</f>
        <v>KLNN01</v>
      </c>
      <c r="B123">
        <f>All!Y137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All!E138</f>
        <v>KNLTS1</v>
      </c>
      <c r="B124">
        <f>All!Y138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All!E139</f>
        <v>LCT</v>
      </c>
      <c r="B125">
        <f>All!Y139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All!E140</f>
        <v>LDMS13</v>
      </c>
      <c r="B126">
        <f>All!Y140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All!E141</f>
        <v>LDMS13</v>
      </c>
      <c r="B127">
        <f>All!Y141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All!E142</f>
        <v>LDSCD2</v>
      </c>
      <c r="B128">
        <f>All!Y142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All!E143</f>
        <v>LDSCD2</v>
      </c>
      <c r="B129">
        <f>All!Y143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All!E144</f>
        <v>LDSN14</v>
      </c>
      <c r="B130">
        <f>All!Y144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All!E145</f>
        <v>LDSTS1</v>
      </c>
      <c r="B131">
        <f>All!Y145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All!E146</f>
        <v>LIVN01</v>
      </c>
      <c r="B132">
        <f>All!Y146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All!E147</f>
        <v>LLDTE1</v>
      </c>
      <c r="B133">
        <f>All!Y147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All!E148</f>
        <v>LMSCN2</v>
      </c>
      <c r="B134">
        <f>All!Y148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All!E149</f>
        <v>LPLTB1</v>
      </c>
      <c r="B135">
        <f>All!Y149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All!E150</f>
        <v>LPLTK1</v>
      </c>
      <c r="B136">
        <f>All!Y150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All!E151</f>
        <v>LSWN01</v>
      </c>
      <c r="B137">
        <f>All!Y151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All!E152</f>
        <v>LTNDN1</v>
      </c>
      <c r="B138">
        <f>All!Y152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All!E153</f>
        <v>MCRCD2</v>
      </c>
      <c r="B139">
        <f>All!Y153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All!E154</f>
        <v>MCRCD2</v>
      </c>
      <c r="B140">
        <f>All!Y154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All!E155</f>
        <v>MCRCD2</v>
      </c>
      <c r="B141">
        <f>All!Y155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All!E156</f>
        <v>MCRN11</v>
      </c>
      <c r="B142">
        <f>All!Y156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All!E157</f>
        <v>MCRN11</v>
      </c>
      <c r="B143">
        <f>All!Y157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All!E158</f>
        <v>MCRN12</v>
      </c>
      <c r="B144">
        <f>All!Y158</f>
        <v>93</v>
      </c>
      <c r="C144">
        <f>IFERROR(VLOOKUP(A144,'Site check'!A:Q,3,0),0)</f>
        <v>0</v>
      </c>
      <c r="D144">
        <f t="shared" si="2"/>
        <v>93</v>
      </c>
    </row>
    <row r="145" spans="1:4">
      <c r="A145" t="str">
        <f>All!E159</f>
        <v>MCRN12</v>
      </c>
      <c r="B145">
        <f>All!Y159</f>
        <v>93</v>
      </c>
      <c r="C145">
        <f>IFERROR(VLOOKUP(A145,'Site check'!A:Q,3,0),0)</f>
        <v>0</v>
      </c>
      <c r="D145">
        <f t="shared" si="2"/>
        <v>93</v>
      </c>
    </row>
    <row r="146" spans="1:4">
      <c r="A146" t="str">
        <f>All!E160</f>
        <v>MDBTD1</v>
      </c>
      <c r="B146">
        <f>All!Y160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All!E161</f>
        <v>MDE</v>
      </c>
      <c r="B147">
        <f>All!Y161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All!E162</f>
        <v>MDFTB1</v>
      </c>
      <c r="B148">
        <f>All!Y162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All!E163</f>
        <v>MKSTN1</v>
      </c>
      <c r="B149">
        <f>All!Y163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All!E164</f>
        <v>NBYCD1</v>
      </c>
      <c r="B150">
        <f>All!Y164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All!E165</f>
        <v>NECCD1</v>
      </c>
      <c r="B151">
        <f>All!Y165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All!E166</f>
        <v>NGM</v>
      </c>
      <c r="B152">
        <f>All!Y166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All!E167</f>
        <v>NGMTL1</v>
      </c>
      <c r="B153">
        <f>All!Y167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All!E168</f>
        <v>NRWN51</v>
      </c>
      <c r="B154">
        <f>All!Y168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All!E169</f>
        <v>NRWTN1</v>
      </c>
      <c r="B155">
        <f>All!Y169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All!E170</f>
        <v>NULTB1</v>
      </c>
      <c r="B156">
        <f>All!Y170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All!E171</f>
        <v>NWCN05</v>
      </c>
      <c r="B157">
        <f>All!Y171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All!E172</f>
        <v>NWCNY1</v>
      </c>
      <c r="B158">
        <f>All!Y172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All!E173</f>
        <v>NWPDN1</v>
      </c>
      <c r="B159">
        <f>All!Y173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All!E174</f>
        <v>OHB</v>
      </c>
      <c r="B160">
        <f>All!Y174</f>
        <v>21</v>
      </c>
      <c r="C160">
        <f>IFERROR(VLOOKUP(A160,'Site check'!A:Q,3,0),0)</f>
        <v>0</v>
      </c>
      <c r="D160">
        <f t="shared" si="2"/>
        <v>21</v>
      </c>
    </row>
    <row r="161" spans="1:4">
      <c r="A161" t="str">
        <f>All!E175</f>
        <v>OHB</v>
      </c>
      <c r="B161">
        <f>All!Y175</f>
        <v>21</v>
      </c>
      <c r="C161">
        <f>IFERROR(VLOOKUP(A161,'Site check'!A:Q,3,0),0)</f>
        <v>0</v>
      </c>
      <c r="D161">
        <f t="shared" si="2"/>
        <v>21</v>
      </c>
    </row>
    <row r="162" spans="1:4">
      <c r="A162" t="str">
        <f>All!E176</f>
        <v>OKNN01</v>
      </c>
      <c r="B162">
        <f>All!Y176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All!E177</f>
        <v>OKNN01</v>
      </c>
      <c r="B163">
        <f>All!Y177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All!E178</f>
        <v>PCOTN1</v>
      </c>
      <c r="B164">
        <f>All!Y178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All!E179</f>
        <v>PCOTN1</v>
      </c>
      <c r="B165">
        <f>All!Y179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All!E180</f>
        <v>PCOTN1</v>
      </c>
      <c r="B166">
        <f>All!Y180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All!E181</f>
        <v>PCOTN1</v>
      </c>
      <c r="B167">
        <f>All!Y181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All!E182</f>
        <v>PLY</v>
      </c>
      <c r="B168">
        <f>All!Y182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All!E183</f>
        <v>PLY</v>
      </c>
      <c r="B169">
        <f>All!Y183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All!E184</f>
        <v>PNRTN1</v>
      </c>
      <c r="B170">
        <f>All!Y184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All!E185</f>
        <v>POLN02</v>
      </c>
      <c r="B171">
        <f>All!Y185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All!E186</f>
        <v>POLN02</v>
      </c>
      <c r="B172">
        <f>All!Y186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All!E187</f>
        <v>PRDTB1</v>
      </c>
      <c r="B173">
        <f>All!Y187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All!E188</f>
        <v>PRLN02</v>
      </c>
      <c r="B174">
        <f>All!Y188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All!E189</f>
        <v>PTBTN1</v>
      </c>
      <c r="B175">
        <f>All!Y189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All!E190</f>
        <v>PTHTL1</v>
      </c>
      <c r="B176">
        <f>All!Y190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All!E191</f>
        <v>PTMDN1</v>
      </c>
      <c r="B177">
        <f>All!Y191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All!E192</f>
        <v>PTMN03</v>
      </c>
      <c r="B178">
        <f>All!Y192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All!E193</f>
        <v>RATE02</v>
      </c>
      <c r="B179">
        <f>All!Y193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All!E194</f>
        <v>RATE02</v>
      </c>
      <c r="B180">
        <f>All!Y194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All!E195</f>
        <v>RCR</v>
      </c>
      <c r="B181">
        <f>All!Y195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All!E197</f>
        <v>RDG</v>
      </c>
      <c r="B182">
        <f>All!Y197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All!E198</f>
        <v>RFDN11</v>
      </c>
      <c r="B183">
        <f>All!Y198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All!E199</f>
        <v>SBHN01</v>
      </c>
      <c r="B184">
        <f>All!Y199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All!E200</f>
        <v>SDN</v>
      </c>
      <c r="B185">
        <f>All!Y200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All!E201</f>
        <v>SDNN06</v>
      </c>
      <c r="B186">
        <f>All!Y201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All!E202</f>
        <v>SDNN06</v>
      </c>
      <c r="B187">
        <f>All!Y202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All!E203</f>
        <v>SDNN06</v>
      </c>
      <c r="B188">
        <f>All!Y203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All!E204</f>
        <v>SDNN13</v>
      </c>
      <c r="B189">
        <f>All!Y204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All!E205</f>
        <v>SHD</v>
      </c>
      <c r="B190">
        <f>All!Y205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All!E206</f>
        <v>SHDTR1</v>
      </c>
      <c r="B191">
        <f>All!Y206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All!E207</f>
        <v>SHTN03</v>
      </c>
      <c r="B192">
        <f>All!Y207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All!E208</f>
        <v>SLO</v>
      </c>
      <c r="B193">
        <f>All!Y208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All!E209</f>
        <v>SMHN02</v>
      </c>
      <c r="B194">
        <f>All!Y209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All!E210</f>
        <v>SNDTM1</v>
      </c>
      <c r="B195">
        <f>All!Y210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All!E211</f>
        <v>SOLN02</v>
      </c>
      <c r="B196">
        <f>All!Y211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All!E212</f>
        <v>SOSTN1</v>
      </c>
      <c r="B197">
        <f>All!Y212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All!E213</f>
        <v>SOT</v>
      </c>
      <c r="B198">
        <f>All!Y213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All!E214</f>
        <v>SQYN01</v>
      </c>
      <c r="B199">
        <f>All!Y214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All!E215</f>
        <v>SQYN01</v>
      </c>
      <c r="B200">
        <f>All!Y215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All!E216</f>
        <v>SQYN01</v>
      </c>
      <c r="B201">
        <f>All!Y216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All!E217</f>
        <v>SQYN02</v>
      </c>
      <c r="B202">
        <f>All!Y217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All!E218</f>
        <v>SQYN02</v>
      </c>
      <c r="B203">
        <f>All!Y218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All!E219</f>
        <v>SQYN02</v>
      </c>
      <c r="B204">
        <f>All!Y219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All!E220</f>
        <v>SQYN02</v>
      </c>
      <c r="B205">
        <f>All!Y220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All!E221</f>
        <v>STEDN1</v>
      </c>
      <c r="B206">
        <f>All!Y221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All!E222</f>
        <v>STGCD1</v>
      </c>
      <c r="B207">
        <f>All!Y222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All!E223</f>
        <v>SWNN03</v>
      </c>
      <c r="B208">
        <f>All!Y223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All!E224</f>
        <v>SWY</v>
      </c>
      <c r="B209">
        <f>All!Y224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All!E225</f>
        <v>TELHS1</v>
      </c>
      <c r="B210">
        <f>All!Y225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All!E226</f>
        <v>TELHS1</v>
      </c>
      <c r="B211">
        <f>All!Y226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All!E227</f>
        <v>TELHS1</v>
      </c>
      <c r="B212">
        <f>All!Y227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All!E228</f>
        <v>TELHS1</v>
      </c>
      <c r="B213">
        <f>All!Y228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All!E229</f>
        <v>TELHS2</v>
      </c>
      <c r="B214">
        <f>All!Y229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All!E230</f>
        <v>TGYN04</v>
      </c>
      <c r="B215">
        <f>All!Y230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All!E231</f>
        <v>TGYN04</v>
      </c>
      <c r="B216">
        <f>All!Y231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All!E233</f>
        <v>TNTTN1</v>
      </c>
      <c r="B217">
        <f>All!Y233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All!E234</f>
        <v>TNTTN1</v>
      </c>
      <c r="B218">
        <f>All!Y234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All!E235</f>
        <v>TRON01</v>
      </c>
      <c r="B219">
        <f>All!Y235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All!E236</f>
        <v>VHXN02</v>
      </c>
      <c r="B220">
        <f>All!Y236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All!E237</f>
        <v>WADN01</v>
      </c>
      <c r="B221">
        <f>All!Y237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All!E238</f>
        <v>WAHP06</v>
      </c>
      <c r="B222">
        <f>All!Y238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All!E240</f>
        <v>WAHP03</v>
      </c>
      <c r="B223">
        <f>All!Y240</f>
        <v>65</v>
      </c>
      <c r="C223">
        <f>IFERROR(VLOOKUP(A223,'Site check'!A:Q,3,0),0)</f>
        <v>0</v>
      </c>
      <c r="D223">
        <f t="shared" si="3"/>
        <v>65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All!E241</f>
        <v>WAHP03</v>
      </c>
      <c r="B225">
        <f>All!Y241</f>
        <v>65</v>
      </c>
      <c r="C225">
        <f>IFERROR(VLOOKUP(A225,'Site check'!A:Q,3,0),0)</f>
        <v>0</v>
      </c>
      <c r="D225">
        <f t="shared" si="3"/>
        <v>65</v>
      </c>
    </row>
    <row r="226" spans="1:4">
      <c r="A226" t="str">
        <f>All!E242</f>
        <v>WAIP06</v>
      </c>
      <c r="B226">
        <f>All!Y242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All!E243</f>
        <v>WCKTR1</v>
      </c>
      <c r="B227">
        <f>All!Y243</f>
        <v>6</v>
      </c>
      <c r="C227">
        <f>IFERROR(VLOOKUP(A227,'Site check'!A:Q,3,0),0)</f>
        <v>0</v>
      </c>
      <c r="D227">
        <f t="shared" si="3"/>
        <v>6</v>
      </c>
    </row>
    <row r="228" spans="1:4">
      <c r="A228" t="str">
        <f>All!E244</f>
        <v>WHD</v>
      </c>
      <c r="B228">
        <f>All!Y244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All!E245</f>
        <v>WHHN03</v>
      </c>
      <c r="B229">
        <f>All!Y245</f>
        <v>107</v>
      </c>
      <c r="C229">
        <f>IFERROR(VLOOKUP(A229,'Site check'!A:Q,3,0),0)</f>
        <v>0</v>
      </c>
      <c r="D229">
        <f t="shared" si="3"/>
        <v>107</v>
      </c>
    </row>
    <row r="230" spans="1:4">
      <c r="A230" t="str">
        <f>All!E246</f>
        <v>WKGN01</v>
      </c>
      <c r="B230">
        <f>All!Y246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All!E247</f>
        <v>WONTL1</v>
      </c>
      <c r="B231">
        <f>All!Y247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All!E248</f>
        <v>WTNTK1</v>
      </c>
      <c r="B233">
        <f>All!Y248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All!E249</f>
        <v>WTT</v>
      </c>
      <c r="B234">
        <f>All!Y249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All!E250</f>
        <v>WVHTF1</v>
      </c>
      <c r="B235">
        <f>All!Y250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All!E251</f>
        <v>YRK</v>
      </c>
      <c r="B236">
        <f>All!Y251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All!E252</f>
        <v>YRKTH1</v>
      </c>
      <c r="B237">
        <f>All!Y252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All!E253</f>
        <v>CYNTN2</v>
      </c>
      <c r="B239">
        <f>All!Y253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All!E254</f>
        <v>VHXINT</v>
      </c>
      <c r="B240">
        <f>All!Y254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All!E255</f>
        <v>BSHN08</v>
      </c>
      <c r="B241">
        <f>All!Y255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All!E256</f>
        <v>LCT EXT (1st Floor)</v>
      </c>
      <c r="B242">
        <f>All!Y256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All!E257</f>
        <v>TGY</v>
      </c>
      <c r="B243">
        <f>All!Y257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All!E258</f>
        <v>TGY</v>
      </c>
      <c r="B244">
        <f>All!Y258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All!E259</f>
        <v>TGYN03</v>
      </c>
      <c r="B245">
        <f>All!Y259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All!E260</f>
        <v>LDSN15</v>
      </c>
      <c r="B246">
        <f>All!Y260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All!E261</f>
        <v>BYR[cabin]</v>
      </c>
      <c r="B247">
        <f>All!Y261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All!E262</f>
        <v>0</v>
      </c>
      <c r="B248">
        <f>All!Y262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All!E263</f>
        <v>FTATA1</v>
      </c>
      <c r="B249">
        <f>All!Y263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All!E264</f>
        <v>EDBCD1</v>
      </c>
      <c r="B250">
        <f>All!Y264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All!E265</f>
        <v xml:space="preserve">FKKB21 </v>
      </c>
      <c r="B251">
        <f>All!Y265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All!E266</f>
        <v>AZTCD2</v>
      </c>
      <c r="B252">
        <f>All!Y266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All!E267</f>
        <v>SDNN11</v>
      </c>
      <c r="B256">
        <f>All!Y267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All!E268</f>
        <v>0</v>
      </c>
      <c r="B257">
        <f>All!Y268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All!E269</f>
        <v>0</v>
      </c>
      <c r="B258">
        <f>All!Y269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All!E270</f>
        <v>0</v>
      </c>
      <c r="B259">
        <f>All!Y270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All!E271</f>
        <v>0</v>
      </c>
      <c r="B260">
        <f>All!Y271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All!E272</f>
        <v>0</v>
      </c>
      <c r="B261">
        <f>All!Y272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All!E273</f>
        <v>0</v>
      </c>
      <c r="B262">
        <f>All!Y273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All!E274</f>
        <v>0</v>
      </c>
      <c r="B263">
        <f>All!Y274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All!E275</f>
        <v>0</v>
      </c>
      <c r="B264">
        <f>All!Y275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All!E276</f>
        <v>0</v>
      </c>
      <c r="B265">
        <f>All!Y276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All!E277</f>
        <v>0</v>
      </c>
      <c r="B266">
        <f>All!Y277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All!E278</f>
        <v>0</v>
      </c>
      <c r="B267">
        <f>All!Y278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All!E279</f>
        <v>0</v>
      </c>
      <c r="B268">
        <f>All!Y279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All!E280</f>
        <v>0</v>
      </c>
      <c r="B269">
        <f>All!Y280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All!E281</f>
        <v>0</v>
      </c>
      <c r="B270">
        <f>All!Y281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All!E282</f>
        <v>0</v>
      </c>
      <c r="B271">
        <f>All!Y282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9" t="s">
        <v>269</v>
      </c>
      <c r="B1" s="240" t="s">
        <v>2034</v>
      </c>
      <c r="C1" s="240" t="s">
        <v>2035</v>
      </c>
      <c r="D1" s="241" t="s">
        <v>2036</v>
      </c>
    </row>
    <row r="2" spans="1:4">
      <c r="A2" s="242"/>
      <c r="B2" s="58"/>
      <c r="C2" s="58"/>
      <c r="D2" s="243"/>
    </row>
    <row r="3" spans="1:4">
      <c r="A3" s="242"/>
      <c r="B3" s="58"/>
      <c r="C3" s="58"/>
      <c r="D3" s="243"/>
    </row>
    <row r="4" spans="1:4">
      <c r="A4" s="242"/>
      <c r="B4" s="58"/>
      <c r="C4" s="58"/>
      <c r="D4" s="243"/>
    </row>
    <row r="5" spans="1:4">
      <c r="A5" s="242"/>
      <c r="B5" s="58"/>
      <c r="C5" s="58"/>
      <c r="D5" s="243"/>
    </row>
    <row r="6" spans="1:4">
      <c r="A6" s="242"/>
      <c r="B6" s="58"/>
      <c r="C6" s="58"/>
      <c r="D6" s="243"/>
    </row>
    <row r="7" spans="1:4">
      <c r="A7" s="242"/>
      <c r="B7" s="58"/>
      <c r="C7" s="58"/>
      <c r="D7" s="243"/>
    </row>
    <row r="8" spans="1:4">
      <c r="A8" s="242"/>
      <c r="B8" s="58"/>
      <c r="C8" s="58"/>
      <c r="D8" s="243"/>
    </row>
    <row r="9" spans="1:4">
      <c r="A9" s="242"/>
      <c r="B9" s="58"/>
      <c r="C9" s="58"/>
      <c r="D9" s="243"/>
    </row>
    <row r="10" spans="1:4">
      <c r="A10" s="242"/>
      <c r="B10" s="58"/>
      <c r="C10" s="58"/>
      <c r="D10" s="243"/>
    </row>
    <row r="11" spans="1:4">
      <c r="A11" s="242"/>
      <c r="B11" s="58"/>
      <c r="C11" s="58"/>
      <c r="D11" s="243"/>
    </row>
    <row r="12" spans="1:4">
      <c r="A12" s="242"/>
      <c r="B12" s="58"/>
      <c r="C12" s="58"/>
      <c r="D12" s="243"/>
    </row>
    <row r="13" spans="1:4">
      <c r="A13" s="242"/>
      <c r="B13" s="58"/>
      <c r="C13" s="58"/>
      <c r="D13" s="243"/>
    </row>
    <row r="14" spans="1:4">
      <c r="A14" s="178"/>
      <c r="B14" s="244"/>
      <c r="C14" s="244"/>
      <c r="D14" s="177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7"/>
  <sheetViews>
    <sheetView topLeftCell="A7" workbookViewId="0">
      <selection activeCell="E20" sqref="E20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269</v>
      </c>
      <c r="C1" s="52" t="s">
        <v>2037</v>
      </c>
      <c r="D1" s="52" t="s">
        <v>2038</v>
      </c>
      <c r="E1" s="52" t="s">
        <v>2039</v>
      </c>
      <c r="I1" s="52" t="s">
        <v>2040</v>
      </c>
    </row>
    <row r="2" spans="1:9">
      <c r="A2" t="str" cm="1">
        <f t="array" ref="A2:A207">_xlfn.UNIQUE(All!E8:E265)</f>
        <v>ABH</v>
      </c>
      <c r="C2" s="52" t="s">
        <v>1183</v>
      </c>
      <c r="D2" s="52" t="s">
        <v>37</v>
      </c>
      <c r="E2" s="52" t="s">
        <v>38</v>
      </c>
      <c r="I2" t="s">
        <v>24</v>
      </c>
    </row>
    <row r="3" spans="1:9">
      <c r="A3" t="str">
        <v>ABN</v>
      </c>
      <c r="C3" s="52" t="s">
        <v>965</v>
      </c>
      <c r="D3" s="52" t="s">
        <v>43</v>
      </c>
      <c r="E3" s="52" t="s">
        <v>44</v>
      </c>
      <c r="I3" t="s">
        <v>25</v>
      </c>
    </row>
    <row r="4" spans="1:9">
      <c r="A4" t="str">
        <v>ABNTB1</v>
      </c>
      <c r="C4" s="52" t="s">
        <v>971</v>
      </c>
      <c r="D4" s="52" t="s">
        <v>45</v>
      </c>
      <c r="E4" s="52" t="s">
        <v>46</v>
      </c>
      <c r="I4" t="s">
        <v>26</v>
      </c>
    </row>
    <row r="5" spans="1:9">
      <c r="A5" t="str">
        <v>ABNTD1</v>
      </c>
      <c r="C5" s="52" t="s">
        <v>946</v>
      </c>
      <c r="D5" s="52" t="s">
        <v>47</v>
      </c>
      <c r="E5" s="52" t="s">
        <v>48</v>
      </c>
      <c r="I5" t="s">
        <v>27</v>
      </c>
    </row>
    <row r="6" spans="1:9">
      <c r="A6" t="str">
        <v>ACTN01</v>
      </c>
      <c r="C6" s="52" t="s">
        <v>1433</v>
      </c>
      <c r="D6" s="52" t="s">
        <v>55</v>
      </c>
      <c r="E6" s="52" t="s">
        <v>54</v>
      </c>
      <c r="I6" t="s">
        <v>28</v>
      </c>
    </row>
    <row r="7" spans="1:9">
      <c r="A7" t="str">
        <v>ANSTW1</v>
      </c>
      <c r="C7" s="52" t="s">
        <v>957</v>
      </c>
      <c r="D7" s="52" t="s">
        <v>56</v>
      </c>
      <c r="E7" s="52" t="s">
        <v>57</v>
      </c>
      <c r="I7" t="s">
        <v>29</v>
      </c>
    </row>
    <row r="8" spans="1:9">
      <c r="A8" t="str">
        <v>ASH</v>
      </c>
      <c r="C8" s="52" t="s">
        <v>831</v>
      </c>
      <c r="D8" s="52" t="s">
        <v>87</v>
      </c>
      <c r="E8" s="52" t="s">
        <v>88</v>
      </c>
      <c r="I8" t="s">
        <v>30</v>
      </c>
    </row>
    <row r="9" spans="1:9">
      <c r="A9" t="str">
        <v>ASMN02</v>
      </c>
      <c r="C9" s="52" t="s">
        <v>1346</v>
      </c>
      <c r="D9" s="52" t="s">
        <v>89</v>
      </c>
      <c r="E9" s="52" t="s">
        <v>90</v>
      </c>
      <c r="I9" t="s">
        <v>31</v>
      </c>
    </row>
    <row r="10" spans="1:9">
      <c r="A10" t="str">
        <v>AYRN01</v>
      </c>
      <c r="C10" s="52" t="s">
        <v>984</v>
      </c>
      <c r="D10" s="52" t="s">
        <v>91</v>
      </c>
      <c r="E10" s="52" t="s">
        <v>92</v>
      </c>
      <c r="I10" t="s">
        <v>32</v>
      </c>
    </row>
    <row r="11" spans="1:9">
      <c r="A11" t="str">
        <v>AZTCD1</v>
      </c>
      <c r="C11" s="52" t="s">
        <v>2041</v>
      </c>
      <c r="D11" s="52" t="s">
        <v>95</v>
      </c>
      <c r="E11" s="52" t="s">
        <v>96</v>
      </c>
      <c r="I11" t="s">
        <v>33</v>
      </c>
    </row>
    <row r="12" spans="1:9">
      <c r="A12" t="str">
        <v>BCT</v>
      </c>
      <c r="C12" s="52" t="s">
        <v>1228</v>
      </c>
      <c r="D12" t="s">
        <v>117</v>
      </c>
      <c r="E12" s="52" t="s">
        <v>118</v>
      </c>
      <c r="I12" t="s">
        <v>34</v>
      </c>
    </row>
    <row r="13" spans="1:9">
      <c r="A13" t="str">
        <v>BDEN02</v>
      </c>
      <c r="C13" s="52" t="s">
        <v>1234</v>
      </c>
      <c r="D13" s="52" t="s">
        <v>119</v>
      </c>
      <c r="E13" s="52" t="s">
        <v>120</v>
      </c>
      <c r="I13" t="s">
        <v>35</v>
      </c>
    </row>
    <row r="14" spans="1:9">
      <c r="A14" t="str">
        <v>BDEN06</v>
      </c>
      <c r="C14" s="52" t="s">
        <v>1354</v>
      </c>
      <c r="D14" s="52" t="s">
        <v>124</v>
      </c>
      <c r="E14" s="52" t="s">
        <v>125</v>
      </c>
      <c r="I14" t="s">
        <v>36</v>
      </c>
    </row>
    <row r="15" spans="1:9">
      <c r="A15" t="str">
        <v>BDFN02</v>
      </c>
      <c r="C15" s="52" t="s">
        <v>1356</v>
      </c>
      <c r="D15" s="52" t="s">
        <v>129</v>
      </c>
      <c r="E15" s="52" t="s">
        <v>130</v>
      </c>
      <c r="I15" t="s">
        <v>39</v>
      </c>
    </row>
    <row r="16" spans="1:9">
      <c r="A16" t="str">
        <v>BFDTB1</v>
      </c>
      <c r="C16" s="52" t="s">
        <v>1415</v>
      </c>
      <c r="D16" s="52" t="s">
        <v>132</v>
      </c>
      <c r="E16" s="52" t="s">
        <v>133</v>
      </c>
      <c r="I16" t="s">
        <v>40</v>
      </c>
    </row>
    <row r="17" spans="1:9">
      <c r="A17" t="str">
        <v>BFEC01</v>
      </c>
      <c r="C17" s="52" t="s">
        <v>1241</v>
      </c>
      <c r="D17" s="52" t="s">
        <v>134</v>
      </c>
      <c r="E17" s="52" t="s">
        <v>549</v>
      </c>
      <c r="I17" t="s">
        <v>41</v>
      </c>
    </row>
    <row r="18" spans="1:9">
      <c r="A18" t="str">
        <v>BFTN03</v>
      </c>
      <c r="C18" s="52" t="s">
        <v>1048</v>
      </c>
      <c r="D18" s="52" t="s">
        <v>156</v>
      </c>
      <c r="E18" s="52" t="s">
        <v>157</v>
      </c>
      <c r="I18" t="s">
        <v>42</v>
      </c>
    </row>
    <row r="19" spans="1:9">
      <c r="A19" t="str">
        <v>BHMN07</v>
      </c>
      <c r="C19" s="52" t="s">
        <v>1056</v>
      </c>
      <c r="D19" s="52" t="s">
        <v>158</v>
      </c>
      <c r="E19" s="52" t="s">
        <v>159</v>
      </c>
      <c r="I19" t="s">
        <v>49</v>
      </c>
    </row>
    <row r="20" spans="1:9">
      <c r="A20" t="str">
        <v>BHMN05</v>
      </c>
      <c r="C20" s="52" t="s">
        <v>1145</v>
      </c>
      <c r="D20" s="52" t="s">
        <v>172</v>
      </c>
      <c r="E20" s="52" t="s">
        <v>173</v>
      </c>
      <c r="I20" t="s">
        <v>50</v>
      </c>
    </row>
    <row r="21" spans="1:9">
      <c r="A21" t="str">
        <v>BHMN08</v>
      </c>
      <c r="C21" s="52" t="s">
        <v>1153</v>
      </c>
      <c r="D21" s="52" t="s">
        <v>174</v>
      </c>
      <c r="E21" s="52" t="s">
        <v>175</v>
      </c>
      <c r="I21" t="s">
        <v>51</v>
      </c>
    </row>
    <row r="22" spans="1:9">
      <c r="A22" t="str">
        <v>BHMTF1</v>
      </c>
      <c r="C22" s="52" t="s">
        <v>1361</v>
      </c>
      <c r="D22" s="52" t="s">
        <v>192</v>
      </c>
      <c r="E22" s="52" t="s">
        <v>193</v>
      </c>
      <c r="I22" t="s">
        <v>52</v>
      </c>
    </row>
    <row r="23" spans="1:9">
      <c r="A23" t="str">
        <v>BHWCN1</v>
      </c>
      <c r="C23" s="52" t="s">
        <v>2042</v>
      </c>
      <c r="D23" s="52" t="s">
        <v>194</v>
      </c>
      <c r="E23" s="52" t="s">
        <v>196</v>
      </c>
      <c r="I23" t="s">
        <v>53</v>
      </c>
    </row>
    <row r="24" spans="1:9">
      <c r="A24" t="str">
        <v>BIFTS1</v>
      </c>
      <c r="C24" s="52" t="s">
        <v>2043</v>
      </c>
      <c r="D24" s="52" t="s">
        <v>195</v>
      </c>
      <c r="E24" s="52" t="s">
        <v>197</v>
      </c>
      <c r="I24" t="s">
        <v>58</v>
      </c>
    </row>
    <row r="25" spans="1:9">
      <c r="A25" t="str">
        <v>BKBN41</v>
      </c>
      <c r="C25" s="52" t="s">
        <v>1365</v>
      </c>
      <c r="D25" s="52" t="s">
        <v>198</v>
      </c>
      <c r="E25" s="52" t="s">
        <v>199</v>
      </c>
      <c r="I25" t="s">
        <v>59</v>
      </c>
    </row>
    <row r="26" spans="1:9">
      <c r="A26" t="str">
        <v>BKLN05</v>
      </c>
      <c r="C26" s="52" t="s">
        <v>1468</v>
      </c>
      <c r="D26" s="52" t="s">
        <v>201</v>
      </c>
      <c r="E26" s="52" t="s">
        <v>202</v>
      </c>
      <c r="I26" t="s">
        <v>60</v>
      </c>
    </row>
    <row r="27" spans="1:9">
      <c r="A27" t="str">
        <v>BKLN05 Ext</v>
      </c>
      <c r="C27" s="52" t="s">
        <v>1874</v>
      </c>
      <c r="D27" s="52" t="s">
        <v>209</v>
      </c>
      <c r="E27" s="52" t="s">
        <v>210</v>
      </c>
      <c r="I27" t="s">
        <v>2044</v>
      </c>
    </row>
    <row r="28" spans="1:9">
      <c r="A28" t="str">
        <v>BMGV03</v>
      </c>
      <c r="C28" s="52" t="s">
        <v>892</v>
      </c>
      <c r="D28" s="52" t="s">
        <v>233</v>
      </c>
      <c r="E28" s="52" t="s">
        <v>234</v>
      </c>
      <c r="I28" t="s">
        <v>61</v>
      </c>
    </row>
    <row r="29" spans="1:9">
      <c r="A29" t="str">
        <v>BMTDN1</v>
      </c>
      <c r="C29" s="52" t="s">
        <v>1945</v>
      </c>
      <c r="D29" t="s">
        <v>246</v>
      </c>
      <c r="E29" s="52" t="s">
        <v>247</v>
      </c>
      <c r="I29" t="s">
        <v>62</v>
      </c>
    </row>
    <row r="30" spans="1:9">
      <c r="A30" t="str">
        <v>BPL</v>
      </c>
      <c r="C30" s="52" t="s">
        <v>1404</v>
      </c>
      <c r="D30" s="52" t="s">
        <v>249</v>
      </c>
      <c r="E30" s="52" t="s">
        <v>250</v>
      </c>
      <c r="I30" t="s">
        <v>63</v>
      </c>
    </row>
    <row r="31" spans="1:9">
      <c r="A31" t="str">
        <v>BRETS1</v>
      </c>
      <c r="C31" s="52" t="s">
        <v>928</v>
      </c>
      <c r="D31" s="52" t="s">
        <v>254</v>
      </c>
      <c r="E31" s="52" t="s">
        <v>255</v>
      </c>
      <c r="I31" t="s">
        <v>64</v>
      </c>
    </row>
    <row r="32" spans="1:9">
      <c r="A32" t="str">
        <v>BRRTS1</v>
      </c>
      <c r="C32" s="52" t="s">
        <v>916</v>
      </c>
      <c r="D32" s="52" t="s">
        <v>256</v>
      </c>
      <c r="E32" s="52" t="s">
        <v>257</v>
      </c>
      <c r="I32" t="s">
        <v>65</v>
      </c>
    </row>
    <row r="33" spans="1:9">
      <c r="A33" t="str">
        <v>BSG</v>
      </c>
      <c r="I33" t="s">
        <v>66</v>
      </c>
    </row>
    <row r="34" spans="1:9">
      <c r="A34" t="str">
        <v>BSHN07</v>
      </c>
      <c r="I34" t="s">
        <v>67</v>
      </c>
    </row>
    <row r="35" spans="1:9">
      <c r="A35" t="str">
        <v>BSHN03</v>
      </c>
      <c r="I35" t="s">
        <v>68</v>
      </c>
    </row>
    <row r="36" spans="1:9">
      <c r="A36" t="str">
        <v>BTFTB1</v>
      </c>
      <c r="I36" t="s">
        <v>69</v>
      </c>
    </row>
    <row r="37" spans="1:9">
      <c r="A37" t="str">
        <v>BTLCD1</v>
      </c>
      <c r="I37" t="s">
        <v>70</v>
      </c>
    </row>
    <row r="38" spans="1:9">
      <c r="A38" t="str">
        <v>BTLN08</v>
      </c>
      <c r="I38" t="s">
        <v>71</v>
      </c>
    </row>
    <row r="39" spans="1:9">
      <c r="A39" t="str">
        <v>BTLN09</v>
      </c>
      <c r="I39" t="s">
        <v>72</v>
      </c>
    </row>
    <row r="40" spans="1:9">
      <c r="A40" t="str">
        <v>BTN</v>
      </c>
      <c r="I40" t="s">
        <v>73</v>
      </c>
    </row>
    <row r="41" spans="1:9">
      <c r="A41" t="str">
        <v>BTNW01</v>
      </c>
      <c r="I41" t="s">
        <v>74</v>
      </c>
    </row>
    <row r="42" spans="1:9">
      <c r="A42" t="str">
        <v>BTRTP1</v>
      </c>
      <c r="I42" t="s">
        <v>75</v>
      </c>
    </row>
    <row r="43" spans="1:9">
      <c r="A43" t="str">
        <v>BYR</v>
      </c>
      <c r="I43" t="s">
        <v>76</v>
      </c>
    </row>
    <row r="44" spans="1:9">
      <c r="A44" t="str">
        <v>CAMN02</v>
      </c>
      <c r="I44" t="s">
        <v>77</v>
      </c>
    </row>
    <row r="45" spans="1:9">
      <c r="A45" t="str">
        <v>CAMN41</v>
      </c>
      <c r="I45" t="s">
        <v>78</v>
      </c>
    </row>
    <row r="46" spans="1:9">
      <c r="A46" t="str">
        <v>CBY</v>
      </c>
      <c r="I46" t="s">
        <v>79</v>
      </c>
    </row>
    <row r="47" spans="1:9">
      <c r="A47" t="str">
        <v>CDFN02</v>
      </c>
      <c r="I47" t="s">
        <v>80</v>
      </c>
    </row>
    <row r="48" spans="1:9">
      <c r="A48" t="str">
        <v>CELL01</v>
      </c>
      <c r="I48" t="s">
        <v>81</v>
      </c>
    </row>
    <row r="49" spans="1:9">
      <c r="A49" t="str">
        <v>CFDTN1</v>
      </c>
      <c r="I49" t="s">
        <v>82</v>
      </c>
    </row>
    <row r="50" spans="1:9">
      <c r="A50" t="str">
        <v>CHDCD1</v>
      </c>
      <c r="I50" t="s">
        <v>83</v>
      </c>
    </row>
    <row r="51" spans="1:9">
      <c r="A51" t="str">
        <v>CHMN21</v>
      </c>
      <c r="I51" t="s">
        <v>84</v>
      </c>
    </row>
    <row r="52" spans="1:9">
      <c r="A52" t="str">
        <v>CHTN07</v>
      </c>
      <c r="I52" t="s">
        <v>85</v>
      </c>
    </row>
    <row r="53" spans="1:9">
      <c r="A53" t="str">
        <v>CHTTN3</v>
      </c>
      <c r="I53" t="s">
        <v>86</v>
      </c>
    </row>
    <row r="54" spans="1:9">
      <c r="A54" t="str">
        <v>CKNN03</v>
      </c>
      <c r="I54" t="s">
        <v>93</v>
      </c>
    </row>
    <row r="55" spans="1:9">
      <c r="A55" t="str">
        <v>COV</v>
      </c>
      <c r="I55" t="s">
        <v>94</v>
      </c>
    </row>
    <row r="56" spans="1:9">
      <c r="A56" t="str">
        <v>COWL02</v>
      </c>
      <c r="I56" t="s">
        <v>97</v>
      </c>
    </row>
    <row r="57" spans="1:9">
      <c r="A57" t="str">
        <v>CSLN13</v>
      </c>
      <c r="I57" t="s">
        <v>98</v>
      </c>
    </row>
    <row r="58" spans="1:9">
      <c r="A58" t="str">
        <v>CTNN01</v>
      </c>
      <c r="I58" t="s">
        <v>99</v>
      </c>
    </row>
    <row r="59" spans="1:9">
      <c r="A59" t="str">
        <v>CTRTK1</v>
      </c>
      <c r="I59" t="s">
        <v>100</v>
      </c>
    </row>
    <row r="60" spans="1:9">
      <c r="A60" t="str">
        <v>CTRTS1</v>
      </c>
      <c r="I60" t="s">
        <v>101</v>
      </c>
    </row>
    <row r="61" spans="1:9">
      <c r="A61" t="str">
        <v>CYNTN2(EXT'N)</v>
      </c>
      <c r="I61" t="s">
        <v>102</v>
      </c>
    </row>
    <row r="62" spans="1:9">
      <c r="A62" t="str">
        <v>DBY</v>
      </c>
      <c r="I62" t="s">
        <v>103</v>
      </c>
    </row>
    <row r="63" spans="1:9">
      <c r="A63" t="str">
        <v>DCT</v>
      </c>
      <c r="I63" t="s">
        <v>104</v>
      </c>
    </row>
    <row r="64" spans="1:9">
      <c r="A64" t="str">
        <v>DFSN01</v>
      </c>
      <c r="I64" t="s">
        <v>105</v>
      </c>
    </row>
    <row r="65" spans="1:9">
      <c r="A65" t="str">
        <v>DFSNC1</v>
      </c>
      <c r="I65" t="s">
        <v>106</v>
      </c>
    </row>
    <row r="66" spans="1:9">
      <c r="A66" t="str">
        <v>DGS</v>
      </c>
      <c r="I66" t="s">
        <v>107</v>
      </c>
    </row>
    <row r="67" spans="1:9">
      <c r="A67" t="str">
        <v>DHMNU1</v>
      </c>
      <c r="I67" t="s">
        <v>108</v>
      </c>
    </row>
    <row r="68" spans="1:9">
      <c r="A68" t="str">
        <v>DKTN08</v>
      </c>
      <c r="I68" t="s">
        <v>109</v>
      </c>
    </row>
    <row r="69" spans="1:9">
      <c r="A69" t="str">
        <v>DLD</v>
      </c>
      <c r="I69" t="s">
        <v>110</v>
      </c>
    </row>
    <row r="70" spans="1:9">
      <c r="A70" t="str">
        <v>DLNTC1</v>
      </c>
      <c r="I70" t="s">
        <v>111</v>
      </c>
    </row>
    <row r="71" spans="1:9">
      <c r="A71" t="str">
        <v>DNDN71</v>
      </c>
      <c r="I71" t="s">
        <v>112</v>
      </c>
    </row>
    <row r="72" spans="1:9">
      <c r="A72" t="str">
        <v>DNDTC1</v>
      </c>
      <c r="I72" t="s">
        <v>113</v>
      </c>
    </row>
    <row r="73" spans="1:9">
      <c r="A73" t="str">
        <v>DNFNP1</v>
      </c>
      <c r="I73" t="s">
        <v>114</v>
      </c>
    </row>
    <row r="74" spans="1:9">
      <c r="A74" t="str">
        <v>DONTN1</v>
      </c>
      <c r="I74" t="s">
        <v>115</v>
      </c>
    </row>
    <row r="75" spans="1:9">
      <c r="A75" t="str">
        <v>DVSTB1</v>
      </c>
      <c r="I75" t="s">
        <v>116</v>
      </c>
    </row>
    <row r="76" spans="1:9">
      <c r="A76" t="str">
        <v>DWLTM1</v>
      </c>
      <c r="I76" t="s">
        <v>121</v>
      </c>
    </row>
    <row r="77" spans="1:9">
      <c r="A77" t="str">
        <v>EBCTC1</v>
      </c>
      <c r="I77" t="s">
        <v>122</v>
      </c>
    </row>
    <row r="78" spans="1:9">
      <c r="A78" t="str">
        <v>EDBN07</v>
      </c>
      <c r="I78" t="s">
        <v>123</v>
      </c>
    </row>
    <row r="79" spans="1:9">
      <c r="A79" t="str">
        <v>EDBTG1</v>
      </c>
      <c r="I79" t="s">
        <v>126</v>
      </c>
    </row>
    <row r="80" spans="1:9">
      <c r="A80" t="str">
        <v>EDBTN1</v>
      </c>
      <c r="I80" t="s">
        <v>127</v>
      </c>
    </row>
    <row r="81" spans="1:9">
      <c r="A81" t="str">
        <v>EGNTM1</v>
      </c>
      <c r="I81" t="s">
        <v>128</v>
      </c>
    </row>
    <row r="82" spans="1:9">
      <c r="A82" t="str">
        <v>EVMN01</v>
      </c>
      <c r="I82" t="s">
        <v>131</v>
      </c>
    </row>
    <row r="83" spans="1:9">
      <c r="A83" t="str">
        <v>EXR</v>
      </c>
      <c r="I83" t="s">
        <v>136</v>
      </c>
    </row>
    <row r="84" spans="1:9">
      <c r="A84" t="str">
        <v>FKE</v>
      </c>
      <c r="I84" t="s">
        <v>137</v>
      </c>
    </row>
    <row r="85" spans="1:9">
      <c r="A85" t="str">
        <v>FLNTT1</v>
      </c>
      <c r="I85" t="s">
        <v>138</v>
      </c>
    </row>
    <row r="86" spans="1:9">
      <c r="A86" t="str">
        <v>FMYN31</v>
      </c>
      <c r="I86" t="s">
        <v>139</v>
      </c>
    </row>
    <row r="87" spans="1:9">
      <c r="A87" t="str">
        <v>FRNN03</v>
      </c>
      <c r="I87" t="s">
        <v>140</v>
      </c>
    </row>
    <row r="88" spans="1:9">
      <c r="A88" t="str">
        <v>GCRTB1</v>
      </c>
      <c r="I88" t="s">
        <v>141</v>
      </c>
    </row>
    <row r="89" spans="1:9">
      <c r="A89" t="str">
        <v>GFDCD1</v>
      </c>
      <c r="I89" t="s">
        <v>142</v>
      </c>
    </row>
    <row r="90" spans="1:9">
      <c r="A90" t="str">
        <v>GLWN07</v>
      </c>
      <c r="I90" t="s">
        <v>143</v>
      </c>
    </row>
    <row r="91" spans="1:9">
      <c r="A91" t="str">
        <v>GLWTO1</v>
      </c>
      <c r="I91" t="s">
        <v>144</v>
      </c>
    </row>
    <row r="92" spans="1:9">
      <c r="A92" t="str">
        <v>GLWTW1</v>
      </c>
      <c r="I92" t="s">
        <v>145</v>
      </c>
    </row>
    <row r="93" spans="1:9">
      <c r="A93" t="str">
        <v>GRSTB1</v>
      </c>
      <c r="I93" t="s">
        <v>146</v>
      </c>
    </row>
    <row r="94" spans="1:9">
      <c r="A94" t="str">
        <v>GWK</v>
      </c>
      <c r="I94" t="s">
        <v>147</v>
      </c>
    </row>
    <row r="95" spans="1:9">
      <c r="A95" t="str">
        <v>HHD</v>
      </c>
      <c r="I95" t="s">
        <v>148</v>
      </c>
    </row>
    <row r="96" spans="1:9">
      <c r="A96" t="str">
        <v>HLDA11</v>
      </c>
      <c r="I96" t="s">
        <v>149</v>
      </c>
    </row>
    <row r="97" spans="1:9">
      <c r="A97" t="str">
        <v>HLDA12</v>
      </c>
      <c r="I97" t="s">
        <v>151</v>
      </c>
    </row>
    <row r="98" spans="1:9">
      <c r="A98" t="str">
        <v>HLWN02</v>
      </c>
      <c r="I98" t="s">
        <v>152</v>
      </c>
    </row>
    <row r="99" spans="1:9">
      <c r="A99" t="str">
        <v>HRWN02</v>
      </c>
      <c r="I99" t="s">
        <v>153</v>
      </c>
    </row>
    <row r="100" spans="1:9">
      <c r="A100" t="str">
        <v>HTE</v>
      </c>
      <c r="I100" t="s">
        <v>154</v>
      </c>
    </row>
    <row r="101" spans="1:9">
      <c r="A101" t="str">
        <v>IGNN01</v>
      </c>
      <c r="I101" t="s">
        <v>155</v>
      </c>
    </row>
    <row r="102" spans="1:9">
      <c r="A102" t="str">
        <v>INVN41</v>
      </c>
      <c r="I102" t="s">
        <v>160</v>
      </c>
    </row>
    <row r="103" spans="1:9">
      <c r="A103" t="str">
        <v>INVTL1</v>
      </c>
      <c r="I103" t="s">
        <v>161</v>
      </c>
    </row>
    <row r="104" spans="1:9">
      <c r="A104" t="str">
        <v>IODN01</v>
      </c>
      <c r="I104" t="s">
        <v>162</v>
      </c>
    </row>
    <row r="105" spans="1:9">
      <c r="A105" t="str">
        <v>IODTA1</v>
      </c>
      <c r="I105" t="s">
        <v>163</v>
      </c>
    </row>
    <row r="106" spans="1:9">
      <c r="A106" t="str">
        <v>IPWTN1</v>
      </c>
      <c r="I106" t="s">
        <v>164</v>
      </c>
    </row>
    <row r="107" spans="1:9">
      <c r="A107" t="str">
        <v>IVER02</v>
      </c>
      <c r="I107" t="s">
        <v>165</v>
      </c>
    </row>
    <row r="108" spans="1:9">
      <c r="A108" t="str">
        <v>KLNN01</v>
      </c>
      <c r="I108" t="s">
        <v>166</v>
      </c>
    </row>
    <row r="109" spans="1:9">
      <c r="A109" t="str">
        <v>KNLTS1</v>
      </c>
      <c r="I109" t="s">
        <v>167</v>
      </c>
    </row>
    <row r="110" spans="1:9">
      <c r="A110" t="str">
        <v>LCT</v>
      </c>
      <c r="I110" t="s">
        <v>168</v>
      </c>
    </row>
    <row r="111" spans="1:9">
      <c r="A111" t="str">
        <v>LDMS13</v>
      </c>
      <c r="I111" t="s">
        <v>169</v>
      </c>
    </row>
    <row r="112" spans="1:9">
      <c r="A112" t="str">
        <v>LDSCD2</v>
      </c>
      <c r="I112" t="s">
        <v>170</v>
      </c>
    </row>
    <row r="113" spans="1:9">
      <c r="A113" t="str">
        <v>LDSN14</v>
      </c>
      <c r="I113" t="s">
        <v>2045</v>
      </c>
    </row>
    <row r="114" spans="1:9">
      <c r="A114" t="str">
        <v>LDSTS1</v>
      </c>
      <c r="I114" t="s">
        <v>176</v>
      </c>
    </row>
    <row r="115" spans="1:9">
      <c r="A115" t="str">
        <v>LIVN01</v>
      </c>
      <c r="I115" t="s">
        <v>177</v>
      </c>
    </row>
    <row r="116" spans="1:9">
      <c r="A116" t="str">
        <v>LLDTE1</v>
      </c>
      <c r="I116" t="s">
        <v>178</v>
      </c>
    </row>
    <row r="117" spans="1:9">
      <c r="A117" t="str">
        <v>LMSCN2</v>
      </c>
      <c r="I117" t="s">
        <v>179</v>
      </c>
    </row>
    <row r="118" spans="1:9">
      <c r="A118" t="str">
        <v>LPLTB1</v>
      </c>
      <c r="I118" t="s">
        <v>180</v>
      </c>
    </row>
    <row r="119" spans="1:9">
      <c r="A119" t="str">
        <v>LPLTK1</v>
      </c>
      <c r="I119" t="s">
        <v>181</v>
      </c>
    </row>
    <row r="120" spans="1:9">
      <c r="A120" t="str">
        <v>LSWN01</v>
      </c>
      <c r="I120" t="s">
        <v>182</v>
      </c>
    </row>
    <row r="121" spans="1:9">
      <c r="A121" t="str">
        <v>LTNDN1</v>
      </c>
      <c r="I121" t="s">
        <v>183</v>
      </c>
    </row>
    <row r="122" spans="1:9">
      <c r="A122" t="str">
        <v>MCRCD2</v>
      </c>
      <c r="I122" t="s">
        <v>184</v>
      </c>
    </row>
    <row r="123" spans="1:9">
      <c r="A123" t="str">
        <v>MCRN11</v>
      </c>
      <c r="I123" t="s">
        <v>185</v>
      </c>
    </row>
    <row r="124" spans="1:9">
      <c r="A124" t="str">
        <v>MCRN12</v>
      </c>
      <c r="I124" t="s">
        <v>186</v>
      </c>
    </row>
    <row r="125" spans="1:9">
      <c r="A125" t="str">
        <v>MDBTD1</v>
      </c>
      <c r="I125" t="s">
        <v>187</v>
      </c>
    </row>
    <row r="126" spans="1:9">
      <c r="A126" t="str">
        <v>MDE</v>
      </c>
      <c r="I126" t="s">
        <v>188</v>
      </c>
    </row>
    <row r="127" spans="1:9">
      <c r="A127" t="str">
        <v>MDFTB1</v>
      </c>
      <c r="I127" t="s">
        <v>189</v>
      </c>
    </row>
    <row r="128" spans="1:9">
      <c r="A128" t="str">
        <v>MKSTN1</v>
      </c>
      <c r="I128" t="s">
        <v>190</v>
      </c>
    </row>
    <row r="129" spans="1:9">
      <c r="A129" t="str">
        <v>NBYCD1</v>
      </c>
      <c r="I129" t="s">
        <v>191</v>
      </c>
    </row>
    <row r="130" spans="1:9">
      <c r="A130" t="str">
        <v>NECCD1</v>
      </c>
      <c r="I130" t="s">
        <v>200</v>
      </c>
    </row>
    <row r="131" spans="1:9">
      <c r="A131" t="str">
        <v>NGM</v>
      </c>
      <c r="I131" t="s">
        <v>203</v>
      </c>
    </row>
    <row r="132" spans="1:9">
      <c r="A132" t="str">
        <v>NGMTL1</v>
      </c>
      <c r="I132" t="s">
        <v>204</v>
      </c>
    </row>
    <row r="133" spans="1:9">
      <c r="A133" t="str">
        <v>NRWN51</v>
      </c>
      <c r="I133" t="s">
        <v>205</v>
      </c>
    </row>
    <row r="134" spans="1:9">
      <c r="A134" t="str">
        <v>NRWTN1</v>
      </c>
      <c r="I134" t="s">
        <v>206</v>
      </c>
    </row>
    <row r="135" spans="1:9">
      <c r="A135" t="str">
        <v>NULTB1</v>
      </c>
      <c r="I135" t="s">
        <v>207</v>
      </c>
    </row>
    <row r="136" spans="1:9">
      <c r="A136" t="str">
        <v>NWCN05</v>
      </c>
      <c r="I136" t="s">
        <v>208</v>
      </c>
    </row>
    <row r="137" spans="1:9">
      <c r="A137" t="str">
        <v>NWCNY1</v>
      </c>
      <c r="I137" t="s">
        <v>211</v>
      </c>
    </row>
    <row r="138" spans="1:9">
      <c r="A138" t="str">
        <v>NWPDN1</v>
      </c>
      <c r="I138" t="s">
        <v>213</v>
      </c>
    </row>
    <row r="139" spans="1:9">
      <c r="A139" t="str">
        <v>OHB</v>
      </c>
      <c r="I139" t="s">
        <v>214</v>
      </c>
    </row>
    <row r="140" spans="1:9">
      <c r="A140" t="str">
        <v>OKNN01</v>
      </c>
      <c r="I140" t="s">
        <v>215</v>
      </c>
    </row>
    <row r="141" spans="1:9">
      <c r="A141" t="str">
        <v>PCOTN1</v>
      </c>
      <c r="I141" t="s">
        <v>216</v>
      </c>
    </row>
    <row r="142" spans="1:9">
      <c r="A142" t="str">
        <v>PLY</v>
      </c>
      <c r="I142" t="s">
        <v>217</v>
      </c>
    </row>
    <row r="143" spans="1:9">
      <c r="A143" t="str">
        <v>PNRTN1</v>
      </c>
      <c r="I143" t="s">
        <v>218</v>
      </c>
    </row>
    <row r="144" spans="1:9">
      <c r="A144" t="str">
        <v>POLN02</v>
      </c>
      <c r="I144" t="s">
        <v>219</v>
      </c>
    </row>
    <row r="145" spans="1:9">
      <c r="A145" t="str">
        <v>PRDTB1</v>
      </c>
      <c r="I145" t="s">
        <v>220</v>
      </c>
    </row>
    <row r="146" spans="1:9">
      <c r="A146" t="str">
        <v>PRLN02</v>
      </c>
      <c r="I146" t="s">
        <v>221</v>
      </c>
    </row>
    <row r="147" spans="1:9">
      <c r="A147" t="str">
        <v>PTBTN1</v>
      </c>
      <c r="I147" t="s">
        <v>222</v>
      </c>
    </row>
    <row r="148" spans="1:9">
      <c r="A148" t="str">
        <v>PTHTL1</v>
      </c>
      <c r="I148" t="s">
        <v>223</v>
      </c>
    </row>
    <row r="149" spans="1:9">
      <c r="A149" t="str">
        <v>PTMDN1</v>
      </c>
      <c r="I149" t="s">
        <v>224</v>
      </c>
    </row>
    <row r="150" spans="1:9">
      <c r="A150" t="str">
        <v>PTMN03</v>
      </c>
      <c r="I150" t="s">
        <v>225</v>
      </c>
    </row>
    <row r="151" spans="1:9">
      <c r="A151" t="str">
        <v>RATE02</v>
      </c>
      <c r="I151" t="s">
        <v>226</v>
      </c>
    </row>
    <row r="152" spans="1:9">
      <c r="A152" t="str">
        <v>RCR</v>
      </c>
      <c r="I152" t="s">
        <v>227</v>
      </c>
    </row>
    <row r="153" spans="1:9">
      <c r="A153" t="str">
        <v>RDGCD2</v>
      </c>
      <c r="I153" t="s">
        <v>228</v>
      </c>
    </row>
    <row r="154" spans="1:9">
      <c r="A154" t="str">
        <v>RDG</v>
      </c>
      <c r="I154" t="s">
        <v>229</v>
      </c>
    </row>
    <row r="155" spans="1:9">
      <c r="A155" t="str">
        <v>RFDN11</v>
      </c>
      <c r="I155" t="s">
        <v>230</v>
      </c>
    </row>
    <row r="156" spans="1:9">
      <c r="A156" t="str">
        <v>SBHN01</v>
      </c>
      <c r="I156" t="s">
        <v>231</v>
      </c>
    </row>
    <row r="157" spans="1:9">
      <c r="A157" t="str">
        <v>SDN</v>
      </c>
      <c r="I157" t="s">
        <v>232</v>
      </c>
    </row>
    <row r="158" spans="1:9">
      <c r="A158" t="str">
        <v>SDNN06</v>
      </c>
      <c r="I158" t="s">
        <v>235</v>
      </c>
    </row>
    <row r="159" spans="1:9">
      <c r="A159" t="str">
        <v>SDNN13</v>
      </c>
      <c r="I159" t="s">
        <v>236</v>
      </c>
    </row>
    <row r="160" spans="1:9">
      <c r="A160" t="str">
        <v>SHD</v>
      </c>
      <c r="I160" t="s">
        <v>237</v>
      </c>
    </row>
    <row r="161" spans="1:9">
      <c r="A161" t="str">
        <v>SHDTR1</v>
      </c>
      <c r="I161" t="s">
        <v>238</v>
      </c>
    </row>
    <row r="162" spans="1:9">
      <c r="A162" t="str">
        <v>SHTN03</v>
      </c>
      <c r="I162" t="s">
        <v>239</v>
      </c>
    </row>
    <row r="163" spans="1:9">
      <c r="A163" t="str">
        <v>SLO</v>
      </c>
      <c r="I163" t="s">
        <v>240</v>
      </c>
    </row>
    <row r="164" spans="1:9">
      <c r="A164" t="str">
        <v>SMHN02</v>
      </c>
      <c r="I164" t="s">
        <v>241</v>
      </c>
    </row>
    <row r="165" spans="1:9">
      <c r="A165" t="str">
        <v>SNDTM1</v>
      </c>
      <c r="I165" t="s">
        <v>242</v>
      </c>
    </row>
    <row r="166" spans="1:9">
      <c r="A166" t="str">
        <v>SOLN02</v>
      </c>
      <c r="I166" t="s">
        <v>243</v>
      </c>
    </row>
    <row r="167" spans="1:9">
      <c r="A167" t="str">
        <v>SOSTN1</v>
      </c>
      <c r="I167" t="s">
        <v>244</v>
      </c>
    </row>
    <row r="168" spans="1:9">
      <c r="A168" t="str">
        <v>SOT</v>
      </c>
      <c r="I168" t="s">
        <v>245</v>
      </c>
    </row>
    <row r="169" spans="1:9">
      <c r="A169" t="str">
        <v>SQYN01</v>
      </c>
      <c r="I169" t="s">
        <v>248</v>
      </c>
    </row>
    <row r="170" spans="1:9">
      <c r="A170" t="str">
        <v>SQYN02</v>
      </c>
      <c r="I170" t="s">
        <v>251</v>
      </c>
    </row>
    <row r="171" spans="1:9">
      <c r="A171" t="str">
        <v>STEDN1</v>
      </c>
      <c r="I171" t="s">
        <v>252</v>
      </c>
    </row>
    <row r="172" spans="1:9">
      <c r="A172" t="str">
        <v>STGCD1</v>
      </c>
      <c r="I172" t="s">
        <v>253</v>
      </c>
    </row>
    <row r="173" spans="1:9">
      <c r="A173" t="str">
        <v>SWNN03</v>
      </c>
      <c r="I173" t="s">
        <v>258</v>
      </c>
    </row>
    <row r="174" spans="1:9">
      <c r="A174" t="str">
        <v>SWY</v>
      </c>
      <c r="I174" t="s">
        <v>259</v>
      </c>
    </row>
    <row r="175" spans="1:9">
      <c r="A175" t="str">
        <v>TELHS1</v>
      </c>
      <c r="I175" t="s">
        <v>260</v>
      </c>
    </row>
    <row r="176" spans="1:9">
      <c r="A176" t="str">
        <v>TELHS2</v>
      </c>
      <c r="I176" t="s">
        <v>261</v>
      </c>
    </row>
    <row r="177" spans="1:9">
      <c r="A177" t="str">
        <v>TGYN04</v>
      </c>
      <c r="I177" t="s">
        <v>262</v>
      </c>
    </row>
    <row r="178" spans="1:9">
      <c r="A178" t="str">
        <v>THOTC1</v>
      </c>
      <c r="I178" t="s">
        <v>263</v>
      </c>
    </row>
    <row r="179" spans="1:9">
      <c r="A179" t="str">
        <v>TNTTN1</v>
      </c>
      <c r="I179" t="s">
        <v>264</v>
      </c>
    </row>
    <row r="180" spans="1:9">
      <c r="A180" t="str">
        <v>TRON01</v>
      </c>
      <c r="I180" t="s">
        <v>265</v>
      </c>
    </row>
    <row r="181" spans="1:9">
      <c r="A181" t="str">
        <v>VHXN02</v>
      </c>
      <c r="I181" t="s">
        <v>266</v>
      </c>
    </row>
    <row r="182" spans="1:9">
      <c r="A182" t="str">
        <v>WADN01</v>
      </c>
      <c r="I182" t="s">
        <v>267</v>
      </c>
    </row>
    <row r="183" spans="1:9">
      <c r="A183" t="str">
        <v>WAHP06</v>
      </c>
      <c r="I183" t="s">
        <v>268</v>
      </c>
    </row>
    <row r="184" spans="1:9">
      <c r="A184" t="str">
        <v>WAHP03</v>
      </c>
    </row>
    <row r="185" spans="1:9">
      <c r="A185" t="str">
        <v>WAIP06</v>
      </c>
    </row>
    <row r="186" spans="1:9">
      <c r="A186" t="str">
        <v>WCKTR1</v>
      </c>
    </row>
    <row r="187" spans="1:9">
      <c r="A187" t="str">
        <v>WHD</v>
      </c>
    </row>
    <row r="188" spans="1:9">
      <c r="A188" t="str">
        <v>WHHN03</v>
      </c>
    </row>
    <row r="189" spans="1:9">
      <c r="A189" t="str">
        <v>WKGN01</v>
      </c>
    </row>
    <row r="190" spans="1:9">
      <c r="A190" t="str">
        <v>WONTL1</v>
      </c>
    </row>
    <row r="191" spans="1:9">
      <c r="A191" t="str">
        <v>WTNTK1</v>
      </c>
    </row>
    <row r="192" spans="1:9">
      <c r="A192" t="str">
        <v>WTT</v>
      </c>
    </row>
    <row r="193" spans="1:1">
      <c r="A193" t="str">
        <v>WVHTF1</v>
      </c>
    </row>
    <row r="194" spans="1:1">
      <c r="A194" t="str">
        <v>YRK</v>
      </c>
    </row>
    <row r="195" spans="1:1">
      <c r="A195" t="str">
        <v>YRKTH1</v>
      </c>
    </row>
    <row r="196" spans="1:1">
      <c r="A196" t="str">
        <v>CYNTN2</v>
      </c>
    </row>
    <row r="197" spans="1:1">
      <c r="A197" t="str">
        <v>VHXINT</v>
      </c>
    </row>
    <row r="198" spans="1:1">
      <c r="A198" t="str">
        <v>BSHN08</v>
      </c>
    </row>
    <row r="199" spans="1:1">
      <c r="A199" t="str">
        <v>LCT EXT (1st Floor)</v>
      </c>
    </row>
    <row r="200" spans="1:1">
      <c r="A200" t="str">
        <v>TGY</v>
      </c>
    </row>
    <row r="201" spans="1:1">
      <c r="A201" t="str">
        <v>TGYN03</v>
      </c>
    </row>
    <row r="202" spans="1:1">
      <c r="A202" t="str">
        <v>LDSN15</v>
      </c>
    </row>
    <row r="203" spans="1:1">
      <c r="A203" t="str">
        <v>BYR[cabin]</v>
      </c>
  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</v>
      </c>
    </row>
    <row r="207" spans="1:1">
      <c r="A207" t="str">
        <v xml:space="preserve">FKKB21 </v>
      </c>
    </row>
  </sheetData>
  <sheetProtection algorithmName="SHA-512" hashValue="3YCZn0lboJTwAMAqJWCS2r84S3Qhs1qZwU3XBgMPsa6BrJTVDel08NNcatlmCp5p5B9nzGvebfhSV6zdT1IMpg==" saltValue="ypfoscVKhUv6PCn3CTn9/g==" spinCount="100000" sheet="1" objects="1" scenarios="1"/>
  <autoFilter ref="A1:A209" xr:uid="{00000000-0009-0000-0000-000009000000}"/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4" bestFit="1" customWidth="1"/>
    <col min="2" max="2" width="17.5703125" style="144" customWidth="1"/>
    <col min="3" max="3" width="14" style="144" customWidth="1"/>
    <col min="4" max="16384" width="8.7109375" style="144"/>
  </cols>
  <sheetData>
    <row r="1" spans="1:3" ht="14.45">
      <c r="A1" s="141" t="s">
        <v>2046</v>
      </c>
      <c r="B1" s="142" t="s">
        <v>2047</v>
      </c>
      <c r="C1" s="143" t="s">
        <v>2048</v>
      </c>
    </row>
    <row r="2" spans="1:3">
      <c r="A2" s="145" t="s">
        <v>1875</v>
      </c>
      <c r="B2" s="146">
        <v>50</v>
      </c>
      <c r="C2" s="146">
        <f>Table83[[#This Row],[Output (Amps)]]*0.8</f>
        <v>40</v>
      </c>
    </row>
    <row r="3" spans="1:3">
      <c r="A3" s="145" t="s">
        <v>2049</v>
      </c>
      <c r="B3" s="146">
        <v>31.3</v>
      </c>
      <c r="C3" s="146">
        <f>Table83[[#This Row],[Output (Amps)]]*0.8</f>
        <v>25.040000000000003</v>
      </c>
    </row>
    <row r="4" spans="1:3">
      <c r="A4" s="145" t="s">
        <v>2050</v>
      </c>
      <c r="B4" s="146">
        <v>43.8</v>
      </c>
      <c r="C4" s="146">
        <f>Table83[[#This Row],[Output (Amps)]]*0.8</f>
        <v>35.04</v>
      </c>
    </row>
    <row r="5" spans="1:3">
      <c r="A5" s="145" t="s">
        <v>1907</v>
      </c>
      <c r="B5" s="146">
        <v>50</v>
      </c>
      <c r="C5" s="146">
        <f>Table83[[#This Row],[Output (Amps)]]*0.8</f>
        <v>40</v>
      </c>
    </row>
    <row r="6" spans="1:3">
      <c r="A6" s="145" t="s">
        <v>1580</v>
      </c>
      <c r="B6" s="146">
        <v>75</v>
      </c>
      <c r="C6" s="146">
        <f>Table83[[#This Row],[Output (Amps)]]*0.8</f>
        <v>60</v>
      </c>
    </row>
    <row r="7" spans="1:3">
      <c r="A7" s="145" t="s">
        <v>2051</v>
      </c>
      <c r="B7" s="146">
        <v>30</v>
      </c>
      <c r="C7" s="146">
        <f>Table83[[#This Row],[Output (Amps)]]*0.8</f>
        <v>24</v>
      </c>
    </row>
    <row r="8" spans="1:3">
      <c r="A8" s="145" t="s">
        <v>2052</v>
      </c>
      <c r="B8" s="146">
        <v>37.5</v>
      </c>
      <c r="C8" s="146">
        <f>Table83[[#This Row],[Output (Amps)]]*0.8</f>
        <v>30</v>
      </c>
    </row>
    <row r="9" spans="1:3">
      <c r="A9" s="145" t="s">
        <v>1570</v>
      </c>
      <c r="B9" s="146">
        <v>36.6</v>
      </c>
      <c r="C9" s="146">
        <f>Table83[[#This Row],[Output (Amps)]]*0.8</f>
        <v>29.28</v>
      </c>
    </row>
    <row r="10" spans="1:3">
      <c r="A10" s="145" t="s">
        <v>1625</v>
      </c>
      <c r="B10" s="146">
        <v>55</v>
      </c>
      <c r="C10" s="146">
        <f>Table83[[#This Row],[Output (Amps)]]*0.8</f>
        <v>44</v>
      </c>
    </row>
    <row r="11" spans="1:3">
      <c r="A11" s="145" t="s">
        <v>2053</v>
      </c>
      <c r="B11" s="146">
        <v>60</v>
      </c>
      <c r="C11" s="146">
        <f>Table83[[#This Row],[Output (Amps)]]*0.8</f>
        <v>48</v>
      </c>
    </row>
    <row r="12" spans="1:3">
      <c r="A12" s="145" t="s">
        <v>2054</v>
      </c>
      <c r="B12" s="146">
        <v>29.1</v>
      </c>
      <c r="C12" s="146">
        <f>Table83[[#This Row],[Output (Amps)]]*0.8</f>
        <v>23.28</v>
      </c>
    </row>
    <row r="13" spans="1:3">
      <c r="A13" s="145" t="s">
        <v>2055</v>
      </c>
      <c r="B13" s="146">
        <v>37.5</v>
      </c>
      <c r="C13" s="146">
        <f>Table83[[#This Row],[Output (Amps)]]*0.8</f>
        <v>30</v>
      </c>
    </row>
    <row r="14" spans="1:3">
      <c r="A14" s="145" t="s">
        <v>1598</v>
      </c>
      <c r="B14" s="146">
        <v>22</v>
      </c>
      <c r="C14" s="146">
        <f>Table83[[#This Row],[Output (Amps)]]*0.8</f>
        <v>17.600000000000001</v>
      </c>
    </row>
    <row r="15" spans="1:3">
      <c r="A15" s="145" t="s">
        <v>1614</v>
      </c>
      <c r="B15" s="146">
        <v>23</v>
      </c>
      <c r="C15" s="146">
        <f>Table83[[#This Row],[Output (Amps)]]*0.8</f>
        <v>18.400000000000002</v>
      </c>
    </row>
    <row r="16" spans="1:3">
      <c r="A16" s="145" t="s">
        <v>2056</v>
      </c>
      <c r="B16" s="146">
        <v>28</v>
      </c>
      <c r="C16" s="146">
        <f>Table83[[#This Row],[Output (Amps)]]*0.8</f>
        <v>22.400000000000002</v>
      </c>
    </row>
    <row r="17" spans="1:3">
      <c r="A17" s="145" t="s">
        <v>2057</v>
      </c>
      <c r="B17" s="146">
        <v>32</v>
      </c>
      <c r="C17" s="146">
        <f>Table83[[#This Row],[Output (Amps)]]*0.8</f>
        <v>25.6</v>
      </c>
    </row>
    <row r="18" spans="1:3">
      <c r="A18" s="145" t="s">
        <v>1834</v>
      </c>
      <c r="B18" s="146">
        <v>45</v>
      </c>
      <c r="C18" s="146">
        <f>Table83[[#This Row],[Output (Amps)]]*0.8</f>
        <v>36</v>
      </c>
    </row>
    <row r="19" spans="1:3">
      <c r="A19" s="145" t="s">
        <v>1639</v>
      </c>
      <c r="B19" s="146">
        <v>50</v>
      </c>
      <c r="C19" s="146">
        <f>Table83[[#This Row],[Output (Amps)]]*0.8</f>
        <v>40</v>
      </c>
    </row>
    <row r="20" spans="1:3">
      <c r="A20" s="145" t="s">
        <v>2058</v>
      </c>
      <c r="B20" s="146">
        <v>25</v>
      </c>
      <c r="C20" s="146">
        <f>Table83[[#This Row],[Output (Amps)]]*0.8</f>
        <v>20</v>
      </c>
    </row>
    <row r="21" spans="1:3">
      <c r="A21" s="145" t="s">
        <v>2059</v>
      </c>
      <c r="B21" s="146">
        <v>50</v>
      </c>
      <c r="C21" s="146">
        <f>Table83[[#This Row],[Output (Amps)]]*0.8</f>
        <v>40</v>
      </c>
    </row>
    <row r="22" spans="1:3">
      <c r="A22" s="147" t="s">
        <v>2060</v>
      </c>
      <c r="B22" s="146">
        <v>225</v>
      </c>
      <c r="C22" s="146">
        <f>Table83[[#This Row],[Output (Amps)]]*0.8</f>
        <v>180</v>
      </c>
    </row>
    <row r="23" spans="1:3">
      <c r="A23" s="147" t="s">
        <v>2061</v>
      </c>
      <c r="B23" s="146">
        <v>100</v>
      </c>
      <c r="C23" s="146">
        <f>Table83[[#This Row],[Output (Amps)]]*0.8</f>
        <v>80</v>
      </c>
    </row>
    <row r="24" spans="1:3">
      <c r="A24" s="147" t="s">
        <v>1665</v>
      </c>
      <c r="B24" s="280">
        <v>55</v>
      </c>
      <c r="C24" s="280">
        <f>Table83[[#This Row],[Output (Amps)]]*0.8</f>
        <v>44</v>
      </c>
    </row>
  </sheetData>
  <sheetProtection algorithmName="SHA-512" hashValue="b2UUGV1+62RveGxa1w+ZD4yBrlOIqSpFm6Pu3T5ITtCyJ2IE8SoVSP6RQYKqXEm4nTLy5VmTSmY3KCYE3ervLg==" saltValue="ZIluu7dwTeHNnBRgUah8o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A8" sqref="A8:XFD8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6" customWidth="1"/>
    <col min="2" max="5" width="9.28515625" style="149" customWidth="1"/>
    <col min="6" max="6" width="9.5703125" style="149" customWidth="1"/>
    <col min="7" max="9" width="9.7109375" style="149" customWidth="1"/>
    <col min="10" max="10" width="9.28515625" style="149" customWidth="1"/>
    <col min="11" max="13" width="9.7109375" style="149" customWidth="1"/>
    <col min="14" max="15" width="13.7109375" style="149" customWidth="1"/>
    <col min="16" max="16" width="9.28515625" style="149" customWidth="1"/>
    <col min="17" max="16384" width="9.28515625" style="149"/>
  </cols>
  <sheetData>
    <row r="1" spans="1:16">
      <c r="A1" s="148">
        <v>1</v>
      </c>
      <c r="B1" s="148">
        <v>2</v>
      </c>
      <c r="C1" s="148">
        <v>3</v>
      </c>
      <c r="D1" s="148">
        <v>4</v>
      </c>
      <c r="E1" s="148">
        <v>5</v>
      </c>
      <c r="F1" s="148">
        <v>6</v>
      </c>
      <c r="G1" s="148">
        <v>7</v>
      </c>
      <c r="H1" s="148">
        <v>8</v>
      </c>
      <c r="I1" s="148">
        <v>9</v>
      </c>
      <c r="J1" s="148">
        <v>10</v>
      </c>
      <c r="K1" s="148">
        <v>11</v>
      </c>
      <c r="L1" s="148">
        <v>12</v>
      </c>
      <c r="M1" s="148">
        <v>13</v>
      </c>
      <c r="N1" s="148">
        <v>14</v>
      </c>
      <c r="O1" s="148">
        <v>15</v>
      </c>
      <c r="P1" s="148">
        <v>16</v>
      </c>
    </row>
    <row r="2" spans="1:16" ht="15.6">
      <c r="A2" s="150" t="s">
        <v>2062</v>
      </c>
      <c r="B2" s="385" t="s">
        <v>2063</v>
      </c>
      <c r="C2" s="386"/>
      <c r="D2" s="386"/>
      <c r="E2" s="387"/>
      <c r="F2" s="388" t="s">
        <v>2064</v>
      </c>
      <c r="G2" s="389"/>
      <c r="H2" s="389"/>
      <c r="I2" s="390"/>
      <c r="J2" s="391" t="s">
        <v>2065</v>
      </c>
      <c r="K2" s="392"/>
      <c r="L2" s="392"/>
      <c r="M2" s="393"/>
      <c r="N2" s="151"/>
      <c r="O2" s="151"/>
    </row>
    <row r="3" spans="1:16" s="158" customFormat="1" ht="15.6">
      <c r="A3" s="152" t="s">
        <v>2066</v>
      </c>
      <c r="B3" s="153" t="s">
        <v>1999</v>
      </c>
      <c r="C3" s="153" t="s">
        <v>2000</v>
      </c>
      <c r="D3" s="153" t="s">
        <v>2001</v>
      </c>
      <c r="E3" s="153" t="s">
        <v>2002</v>
      </c>
      <c r="F3" s="154" t="s">
        <v>2067</v>
      </c>
      <c r="G3" s="154" t="s">
        <v>2068</v>
      </c>
      <c r="H3" s="154" t="s">
        <v>2069</v>
      </c>
      <c r="I3" s="154" t="s">
        <v>2070</v>
      </c>
      <c r="J3" s="155" t="s">
        <v>2071</v>
      </c>
      <c r="K3" s="155" t="s">
        <v>2072</v>
      </c>
      <c r="L3" s="155" t="s">
        <v>2073</v>
      </c>
      <c r="M3" s="155" t="s">
        <v>2074</v>
      </c>
      <c r="N3" s="156" t="s">
        <v>2075</v>
      </c>
      <c r="O3" s="156" t="s">
        <v>2076</v>
      </c>
      <c r="P3" s="157" t="s">
        <v>2077</v>
      </c>
    </row>
    <row r="4" spans="1:16">
      <c r="A4" s="159" t="s">
        <v>2078</v>
      </c>
      <c r="B4" s="160">
        <v>208</v>
      </c>
      <c r="C4" s="160">
        <v>134</v>
      </c>
      <c r="D4" s="160">
        <v>100</v>
      </c>
      <c r="E4" s="160">
        <v>82</v>
      </c>
      <c r="F4" s="161">
        <f t="shared" ref="F4:F35" si="0">((B4*24)/54.5)*0.9</f>
        <v>82.436697247706434</v>
      </c>
      <c r="G4" s="161">
        <f t="shared" ref="G4:I19" si="1">((C4*24)/54.5)*0.9</f>
        <v>53.108256880733947</v>
      </c>
      <c r="H4" s="161">
        <f t="shared" si="1"/>
        <v>39.633027522935777</v>
      </c>
      <c r="I4" s="161">
        <f t="shared" si="1"/>
        <v>32.499082568807339</v>
      </c>
      <c r="J4" s="161">
        <f>(F4*54.5)/1000</f>
        <v>4.4928000000000008</v>
      </c>
      <c r="K4" s="161">
        <f t="shared" ref="K4:M19" si="2">(G4*54.5)/1000</f>
        <v>2.8944000000000001</v>
      </c>
      <c r="L4" s="161">
        <f t="shared" si="2"/>
        <v>2.16</v>
      </c>
      <c r="M4" s="161">
        <f t="shared" si="2"/>
        <v>1.7712000000000001</v>
      </c>
      <c r="N4" s="162">
        <v>200</v>
      </c>
      <c r="O4" s="162">
        <f>Table7[[#This Row],[Ah Rating]]/10</f>
        <v>20</v>
      </c>
      <c r="P4" s="163">
        <v>25</v>
      </c>
    </row>
    <row r="5" spans="1:16">
      <c r="A5" s="159" t="s">
        <v>1640</v>
      </c>
      <c r="B5" s="160">
        <v>312</v>
      </c>
      <c r="C5" s="160">
        <v>201</v>
      </c>
      <c r="D5" s="160">
        <v>151</v>
      </c>
      <c r="E5" s="160">
        <v>123</v>
      </c>
      <c r="F5" s="161">
        <f t="shared" si="0"/>
        <v>123.65504587155964</v>
      </c>
      <c r="G5" s="161">
        <f t="shared" si="1"/>
        <v>79.662385321100913</v>
      </c>
      <c r="H5" s="161">
        <f t="shared" si="1"/>
        <v>59.845871559633025</v>
      </c>
      <c r="I5" s="161">
        <f t="shared" si="1"/>
        <v>48.748623853211008</v>
      </c>
      <c r="J5" s="161">
        <f t="shared" ref="J5:M36" si="3">(F5*54.5)/1000</f>
        <v>6.7391999999999994</v>
      </c>
      <c r="K5" s="161">
        <f t="shared" si="2"/>
        <v>4.3415999999999997</v>
      </c>
      <c r="L5" s="161">
        <f t="shared" si="2"/>
        <v>3.2616000000000001</v>
      </c>
      <c r="M5" s="161">
        <f t="shared" si="2"/>
        <v>2.6567999999999996</v>
      </c>
      <c r="N5" s="162">
        <v>300</v>
      </c>
      <c r="O5" s="162">
        <f>Table7[[#This Row],[Ah Rating]]/10</f>
        <v>30</v>
      </c>
      <c r="P5" s="163">
        <v>25</v>
      </c>
    </row>
    <row r="6" spans="1:16">
      <c r="A6" s="159" t="s">
        <v>2079</v>
      </c>
      <c r="B6" s="160">
        <v>417</v>
      </c>
      <c r="C6" s="160">
        <v>268</v>
      </c>
      <c r="D6" s="160">
        <v>201</v>
      </c>
      <c r="E6" s="160">
        <v>164</v>
      </c>
      <c r="F6" s="161">
        <f t="shared" si="0"/>
        <v>165.2697247706422</v>
      </c>
      <c r="G6" s="161">
        <f t="shared" si="1"/>
        <v>106.21651376146789</v>
      </c>
      <c r="H6" s="161">
        <f t="shared" si="1"/>
        <v>79.662385321100913</v>
      </c>
      <c r="I6" s="161">
        <f t="shared" si="1"/>
        <v>64.998165137614677</v>
      </c>
      <c r="J6" s="161">
        <f t="shared" si="3"/>
        <v>9.007200000000001</v>
      </c>
      <c r="K6" s="161">
        <f t="shared" si="2"/>
        <v>5.7888000000000002</v>
      </c>
      <c r="L6" s="161">
        <f t="shared" si="2"/>
        <v>4.3415999999999997</v>
      </c>
      <c r="M6" s="161">
        <f t="shared" si="2"/>
        <v>3.5424000000000002</v>
      </c>
      <c r="N6" s="162">
        <v>400</v>
      </c>
      <c r="O6" s="162">
        <f>Table7[[#This Row],[Ah Rating]]/10</f>
        <v>40</v>
      </c>
      <c r="P6" s="163">
        <v>25</v>
      </c>
    </row>
    <row r="7" spans="1:16">
      <c r="A7" s="159" t="s">
        <v>1704</v>
      </c>
      <c r="B7" s="160">
        <v>487</v>
      </c>
      <c r="C7" s="160">
        <v>327</v>
      </c>
      <c r="D7" s="160">
        <v>248</v>
      </c>
      <c r="E7" s="160">
        <v>204</v>
      </c>
      <c r="F7" s="161">
        <f t="shared" si="0"/>
        <v>193.01284403669726</v>
      </c>
      <c r="G7" s="161">
        <f t="shared" si="1"/>
        <v>129.6</v>
      </c>
      <c r="H7" s="161">
        <f t="shared" si="1"/>
        <v>98.289908256880736</v>
      </c>
      <c r="I7" s="161">
        <f t="shared" si="1"/>
        <v>80.851376146788994</v>
      </c>
      <c r="J7" s="161">
        <f t="shared" si="3"/>
        <v>10.519200000000001</v>
      </c>
      <c r="K7" s="161">
        <f t="shared" si="2"/>
        <v>7.0632000000000001</v>
      </c>
      <c r="L7" s="161">
        <f t="shared" si="2"/>
        <v>5.3567999999999998</v>
      </c>
      <c r="M7" s="161">
        <f t="shared" si="2"/>
        <v>4.4064000000000005</v>
      </c>
      <c r="N7" s="162">
        <v>510</v>
      </c>
      <c r="O7" s="162">
        <f>Table7[[#This Row],[Ah Rating]]/10</f>
        <v>51</v>
      </c>
      <c r="P7" s="163">
        <v>25</v>
      </c>
    </row>
    <row r="8" spans="1:16">
      <c r="A8" s="159" t="s">
        <v>1609</v>
      </c>
      <c r="B8" s="160">
        <v>568</v>
      </c>
      <c r="C8" s="160">
        <v>381</v>
      </c>
      <c r="D8" s="160">
        <v>290</v>
      </c>
      <c r="E8" s="160">
        <v>238</v>
      </c>
      <c r="F8" s="161">
        <f t="shared" si="0"/>
        <v>225.11559633027525</v>
      </c>
      <c r="G8" s="161">
        <f t="shared" si="1"/>
        <v>151.00183486238532</v>
      </c>
      <c r="H8" s="161">
        <f t="shared" si="1"/>
        <v>114.93577981651376</v>
      </c>
      <c r="I8" s="161">
        <f t="shared" si="1"/>
        <v>94.326605504587164</v>
      </c>
      <c r="J8" s="161">
        <f t="shared" si="3"/>
        <v>12.268800000000001</v>
      </c>
      <c r="K8" s="161">
        <f t="shared" si="2"/>
        <v>8.2295999999999996</v>
      </c>
      <c r="L8" s="161">
        <f t="shared" si="2"/>
        <v>6.2640000000000002</v>
      </c>
      <c r="M8" s="161">
        <f t="shared" si="2"/>
        <v>5.1408000000000005</v>
      </c>
      <c r="N8" s="162">
        <v>595</v>
      </c>
      <c r="O8" s="162">
        <f>Table7[[#This Row],[Ah Rating]]/10</f>
        <v>59.5</v>
      </c>
      <c r="P8" s="163">
        <v>25</v>
      </c>
    </row>
    <row r="9" spans="1:16">
      <c r="A9" s="159" t="s">
        <v>1763</v>
      </c>
      <c r="B9" s="160">
        <v>812</v>
      </c>
      <c r="C9" s="160">
        <v>545</v>
      </c>
      <c r="D9" s="160">
        <v>414</v>
      </c>
      <c r="E9" s="160">
        <v>340</v>
      </c>
      <c r="F9" s="161">
        <f t="shared" si="0"/>
        <v>321.82018348623853</v>
      </c>
      <c r="G9" s="161">
        <f t="shared" si="1"/>
        <v>216</v>
      </c>
      <c r="H9" s="161">
        <f t="shared" si="1"/>
        <v>164.08073394495415</v>
      </c>
      <c r="I9" s="161">
        <f t="shared" si="1"/>
        <v>134.75229357798165</v>
      </c>
      <c r="J9" s="161">
        <f t="shared" si="3"/>
        <v>17.539200000000001</v>
      </c>
      <c r="K9" s="161">
        <f t="shared" si="2"/>
        <v>11.772</v>
      </c>
      <c r="L9" s="161">
        <f t="shared" si="2"/>
        <v>8.942400000000001</v>
      </c>
      <c r="M9" s="161">
        <f t="shared" si="2"/>
        <v>7.3440000000000003</v>
      </c>
      <c r="N9" s="162">
        <v>850</v>
      </c>
      <c r="O9" s="162">
        <f>Table7[[#This Row],[Ah Rating]]/10</f>
        <v>85</v>
      </c>
      <c r="P9" s="163">
        <v>25</v>
      </c>
    </row>
    <row r="10" spans="1:16">
      <c r="A10" s="159" t="s">
        <v>1582</v>
      </c>
      <c r="B10" s="160">
        <v>974</v>
      </c>
      <c r="C10" s="160">
        <v>654</v>
      </c>
      <c r="D10" s="160">
        <v>496</v>
      </c>
      <c r="E10" s="160">
        <v>408</v>
      </c>
      <c r="F10" s="161">
        <f t="shared" si="0"/>
        <v>386.02568807339452</v>
      </c>
      <c r="G10" s="161">
        <f t="shared" si="1"/>
        <v>259.2</v>
      </c>
      <c r="H10" s="161">
        <f t="shared" si="1"/>
        <v>196.57981651376147</v>
      </c>
      <c r="I10" s="161">
        <f t="shared" si="1"/>
        <v>161.70275229357799</v>
      </c>
      <c r="J10" s="161">
        <f t="shared" si="3"/>
        <v>21.038400000000003</v>
      </c>
      <c r="K10" s="161">
        <f t="shared" si="2"/>
        <v>14.1264</v>
      </c>
      <c r="L10" s="161">
        <f t="shared" si="2"/>
        <v>10.7136</v>
      </c>
      <c r="M10" s="161">
        <f t="shared" si="2"/>
        <v>8.8128000000000011</v>
      </c>
      <c r="N10" s="162">
        <v>1020</v>
      </c>
      <c r="O10" s="162">
        <f>Table7[[#This Row],[Ah Rating]]/10</f>
        <v>102</v>
      </c>
      <c r="P10" s="163">
        <v>25</v>
      </c>
    </row>
    <row r="11" spans="1:16">
      <c r="A11" s="159" t="s">
        <v>1789</v>
      </c>
      <c r="B11" s="160">
        <v>1055</v>
      </c>
      <c r="C11" s="160">
        <v>708</v>
      </c>
      <c r="D11" s="160">
        <v>538</v>
      </c>
      <c r="E11" s="160">
        <v>442</v>
      </c>
      <c r="F11" s="161">
        <f t="shared" si="0"/>
        <v>418.12844036697248</v>
      </c>
      <c r="G11" s="161">
        <f t="shared" si="1"/>
        <v>280.60183486238537</v>
      </c>
      <c r="H11" s="161">
        <f t="shared" si="1"/>
        <v>213.22568807339451</v>
      </c>
      <c r="I11" s="161">
        <f t="shared" si="1"/>
        <v>175.17798165137614</v>
      </c>
      <c r="J11" s="161">
        <f t="shared" si="3"/>
        <v>22.788</v>
      </c>
      <c r="K11" s="161">
        <f t="shared" si="2"/>
        <v>15.292800000000003</v>
      </c>
      <c r="L11" s="161">
        <f t="shared" si="2"/>
        <v>11.620800000000001</v>
      </c>
      <c r="M11" s="161">
        <f t="shared" si="2"/>
        <v>9.5471999999999984</v>
      </c>
      <c r="N11" s="162">
        <v>1105</v>
      </c>
      <c r="O11" s="162">
        <f>Table7[[#This Row],[Ah Rating]]/10</f>
        <v>110.5</v>
      </c>
      <c r="P11" s="163">
        <v>25</v>
      </c>
    </row>
    <row r="12" spans="1:16">
      <c r="A12" s="159" t="s">
        <v>1694</v>
      </c>
      <c r="B12" s="160">
        <v>1299</v>
      </c>
      <c r="C12" s="160">
        <v>871</v>
      </c>
      <c r="D12" s="160">
        <v>662</v>
      </c>
      <c r="E12" s="160">
        <v>544</v>
      </c>
      <c r="F12" s="161">
        <f t="shared" si="0"/>
        <v>514.83302752293582</v>
      </c>
      <c r="G12" s="161">
        <f t="shared" si="1"/>
        <v>345.20366972477063</v>
      </c>
      <c r="H12" s="161">
        <f t="shared" si="1"/>
        <v>262.37064220183487</v>
      </c>
      <c r="I12" s="161">
        <f t="shared" si="1"/>
        <v>215.60366972477067</v>
      </c>
      <c r="J12" s="161">
        <f t="shared" si="3"/>
        <v>28.058400000000002</v>
      </c>
      <c r="K12" s="161">
        <f t="shared" si="2"/>
        <v>18.813599999999997</v>
      </c>
      <c r="L12" s="161">
        <f t="shared" si="2"/>
        <v>14.299200000000001</v>
      </c>
      <c r="M12" s="161">
        <f t="shared" si="2"/>
        <v>11.750400000000001</v>
      </c>
      <c r="N12" s="162">
        <v>1360</v>
      </c>
      <c r="O12" s="162">
        <f>Table7[[#This Row],[Ah Rating]]/10</f>
        <v>136</v>
      </c>
      <c r="P12" s="163">
        <v>25</v>
      </c>
    </row>
    <row r="13" spans="1:16">
      <c r="A13" s="159" t="s">
        <v>2080</v>
      </c>
      <c r="B13" s="160">
        <v>947</v>
      </c>
      <c r="C13" s="160">
        <v>640</v>
      </c>
      <c r="D13" s="160">
        <v>485</v>
      </c>
      <c r="E13" s="160">
        <v>397</v>
      </c>
      <c r="F13" s="161">
        <f t="shared" si="0"/>
        <v>375.32477064220183</v>
      </c>
      <c r="G13" s="161">
        <f t="shared" si="1"/>
        <v>253.651376146789</v>
      </c>
      <c r="H13" s="161">
        <f t="shared" si="1"/>
        <v>192.22018348623854</v>
      </c>
      <c r="I13" s="161">
        <f t="shared" si="1"/>
        <v>157.34311926605506</v>
      </c>
      <c r="J13" s="161">
        <f t="shared" si="3"/>
        <v>20.455200000000001</v>
      </c>
      <c r="K13" s="161">
        <f t="shared" si="2"/>
        <v>13.824</v>
      </c>
      <c r="L13" s="161">
        <f t="shared" si="2"/>
        <v>10.476000000000001</v>
      </c>
      <c r="M13" s="161">
        <f t="shared" si="2"/>
        <v>8.5752000000000006</v>
      </c>
      <c r="N13" s="162">
        <v>1000</v>
      </c>
      <c r="O13" s="162">
        <f>Table7[[#This Row],[Ah Rating]]/10</f>
        <v>100</v>
      </c>
      <c r="P13" s="163">
        <v>25</v>
      </c>
    </row>
    <row r="14" spans="1:16">
      <c r="A14" s="159" t="s">
        <v>1585</v>
      </c>
      <c r="B14" s="160">
        <v>1136</v>
      </c>
      <c r="C14" s="160">
        <v>768</v>
      </c>
      <c r="D14" s="160">
        <v>582</v>
      </c>
      <c r="E14" s="160">
        <v>476</v>
      </c>
      <c r="F14" s="161">
        <f t="shared" si="0"/>
        <v>450.23119266055051</v>
      </c>
      <c r="G14" s="161">
        <f t="shared" si="1"/>
        <v>304.38165137614681</v>
      </c>
      <c r="H14" s="161">
        <f t="shared" si="1"/>
        <v>230.66422018348624</v>
      </c>
      <c r="I14" s="161">
        <f t="shared" si="1"/>
        <v>188.65321100917433</v>
      </c>
      <c r="J14" s="161">
        <f t="shared" si="3"/>
        <v>24.537600000000001</v>
      </c>
      <c r="K14" s="161">
        <f t="shared" si="2"/>
        <v>16.588799999999999</v>
      </c>
      <c r="L14" s="161">
        <f t="shared" si="2"/>
        <v>12.571200000000001</v>
      </c>
      <c r="M14" s="161">
        <f t="shared" si="2"/>
        <v>10.281600000000001</v>
      </c>
      <c r="N14" s="162">
        <v>1200</v>
      </c>
      <c r="O14" s="162">
        <f>Table7[[#This Row],[Ah Rating]]/10</f>
        <v>120</v>
      </c>
      <c r="P14" s="163">
        <v>25</v>
      </c>
    </row>
    <row r="15" spans="1:16">
      <c r="A15" s="159" t="s">
        <v>1588</v>
      </c>
      <c r="B15" s="160">
        <v>1231</v>
      </c>
      <c r="C15" s="160">
        <v>832</v>
      </c>
      <c r="D15" s="160">
        <v>631</v>
      </c>
      <c r="E15" s="160">
        <v>516</v>
      </c>
      <c r="F15" s="161">
        <f t="shared" si="0"/>
        <v>487.88256880733951</v>
      </c>
      <c r="G15" s="161">
        <f t="shared" si="1"/>
        <v>329.74678899082573</v>
      </c>
      <c r="H15" s="161">
        <f t="shared" si="1"/>
        <v>250.08440366972476</v>
      </c>
      <c r="I15" s="161">
        <f t="shared" si="1"/>
        <v>204.50642201834862</v>
      </c>
      <c r="J15" s="161">
        <f t="shared" si="3"/>
        <v>26.589600000000001</v>
      </c>
      <c r="K15" s="161">
        <f t="shared" si="2"/>
        <v>17.971200000000003</v>
      </c>
      <c r="L15" s="161">
        <f t="shared" si="2"/>
        <v>13.6296</v>
      </c>
      <c r="M15" s="161">
        <f t="shared" si="2"/>
        <v>11.1456</v>
      </c>
      <c r="N15" s="162">
        <v>1300</v>
      </c>
      <c r="O15" s="162">
        <f>Table7[[#This Row],[Ah Rating]]/10</f>
        <v>130</v>
      </c>
      <c r="P15" s="163">
        <v>25</v>
      </c>
    </row>
    <row r="16" spans="1:16">
      <c r="A16" s="159" t="s">
        <v>1644</v>
      </c>
      <c r="B16" s="160">
        <v>1514</v>
      </c>
      <c r="C16" s="160">
        <v>1024</v>
      </c>
      <c r="D16" s="160">
        <v>777</v>
      </c>
      <c r="E16" s="160">
        <v>635</v>
      </c>
      <c r="F16" s="161">
        <f t="shared" si="0"/>
        <v>600.04403669724775</v>
      </c>
      <c r="G16" s="161">
        <f t="shared" si="1"/>
        <v>405.84220183486241</v>
      </c>
      <c r="H16" s="161">
        <f t="shared" si="1"/>
        <v>307.94862385321102</v>
      </c>
      <c r="I16" s="161">
        <f t="shared" si="1"/>
        <v>251.6697247706422</v>
      </c>
      <c r="J16" s="161">
        <f t="shared" si="3"/>
        <v>32.702400000000004</v>
      </c>
      <c r="K16" s="161">
        <f t="shared" si="2"/>
        <v>22.118400000000001</v>
      </c>
      <c r="L16" s="161">
        <f t="shared" si="2"/>
        <v>16.783200000000001</v>
      </c>
      <c r="M16" s="161">
        <f t="shared" si="2"/>
        <v>13.715999999999999</v>
      </c>
      <c r="N16" s="162">
        <v>1600</v>
      </c>
      <c r="O16" s="162">
        <f>Table7[[#This Row],[Ah Rating]]/10</f>
        <v>160</v>
      </c>
      <c r="P16" s="163">
        <v>25</v>
      </c>
    </row>
    <row r="17" spans="1:22">
      <c r="A17" s="159" t="s">
        <v>1773</v>
      </c>
      <c r="B17" s="160">
        <v>1448</v>
      </c>
      <c r="C17" s="160">
        <v>969</v>
      </c>
      <c r="D17" s="160">
        <v>738</v>
      </c>
      <c r="E17" s="160">
        <v>607</v>
      </c>
      <c r="F17" s="161">
        <f t="shared" si="0"/>
        <v>573.88623853211004</v>
      </c>
      <c r="G17" s="161">
        <f t="shared" si="1"/>
        <v>384.04403669724769</v>
      </c>
      <c r="H17" s="161">
        <f t="shared" si="1"/>
        <v>292.49174311926606</v>
      </c>
      <c r="I17" s="161">
        <f t="shared" si="1"/>
        <v>240.57247706422021</v>
      </c>
      <c r="J17" s="161">
        <f t="shared" si="3"/>
        <v>31.276799999999994</v>
      </c>
      <c r="K17" s="161">
        <f t="shared" si="2"/>
        <v>20.930399999999999</v>
      </c>
      <c r="L17" s="161">
        <f t="shared" si="2"/>
        <v>15.940800000000001</v>
      </c>
      <c r="M17" s="161">
        <f t="shared" si="2"/>
        <v>13.1112</v>
      </c>
      <c r="N17" s="162">
        <v>1500</v>
      </c>
      <c r="O17" s="162">
        <f>Table7[[#This Row],[Ah Rating]]/10</f>
        <v>150</v>
      </c>
      <c r="P17" s="163">
        <v>25</v>
      </c>
    </row>
    <row r="18" spans="1:22">
      <c r="A18" s="159" t="s">
        <v>1764</v>
      </c>
      <c r="B18" s="160">
        <v>1568</v>
      </c>
      <c r="C18" s="160">
        <v>1050</v>
      </c>
      <c r="D18" s="160">
        <v>799</v>
      </c>
      <c r="E18" s="160">
        <v>658</v>
      </c>
      <c r="F18" s="161">
        <f t="shared" si="0"/>
        <v>621.44587155963302</v>
      </c>
      <c r="G18" s="161">
        <f t="shared" si="1"/>
        <v>416.14678899082571</v>
      </c>
      <c r="H18" s="161">
        <f t="shared" si="1"/>
        <v>316.66788990825688</v>
      </c>
      <c r="I18" s="161">
        <f t="shared" si="1"/>
        <v>260.78532110091743</v>
      </c>
      <c r="J18" s="161">
        <f t="shared" si="3"/>
        <v>33.8688</v>
      </c>
      <c r="K18" s="161">
        <f t="shared" si="2"/>
        <v>22.68</v>
      </c>
      <c r="L18" s="161">
        <f t="shared" si="2"/>
        <v>17.258400000000002</v>
      </c>
      <c r="M18" s="161">
        <f t="shared" si="2"/>
        <v>14.2128</v>
      </c>
      <c r="N18" s="162">
        <v>1625</v>
      </c>
      <c r="O18" s="162">
        <f>Table7[[#This Row],[Ah Rating]]/10</f>
        <v>162.5</v>
      </c>
      <c r="P18" s="163">
        <v>25</v>
      </c>
    </row>
    <row r="19" spans="1:22">
      <c r="A19" s="159" t="s">
        <v>1592</v>
      </c>
      <c r="B19" s="160">
        <v>1930</v>
      </c>
      <c r="C19" s="160">
        <v>1292</v>
      </c>
      <c r="D19" s="160">
        <v>984</v>
      </c>
      <c r="E19" s="160">
        <v>810</v>
      </c>
      <c r="F19" s="161">
        <f t="shared" si="0"/>
        <v>764.9174311926605</v>
      </c>
      <c r="G19" s="161">
        <f t="shared" si="1"/>
        <v>512.05871559633033</v>
      </c>
      <c r="H19" s="161">
        <f t="shared" si="1"/>
        <v>389.98899082568806</v>
      </c>
      <c r="I19" s="161">
        <f>((E19*24)/54.5)*0.9</f>
        <v>321.02752293577981</v>
      </c>
      <c r="J19" s="161">
        <f t="shared" si="3"/>
        <v>41.688000000000002</v>
      </c>
      <c r="K19" s="161">
        <f t="shared" si="2"/>
        <v>27.907200000000003</v>
      </c>
      <c r="L19" s="161">
        <f t="shared" si="2"/>
        <v>21.254399999999997</v>
      </c>
      <c r="M19" s="161">
        <f t="shared" si="2"/>
        <v>17.495999999999999</v>
      </c>
      <c r="N19" s="162">
        <v>2000</v>
      </c>
      <c r="O19" s="162">
        <f>Table7[[#This Row],[Ah Rating]]/10</f>
        <v>200</v>
      </c>
      <c r="P19" s="163">
        <v>25</v>
      </c>
      <c r="R19" s="149">
        <f>SUM(Table7[[#This Row],[1 hr2]]*0.98)</f>
        <v>749.61908256880724</v>
      </c>
      <c r="S19" s="149">
        <f>SUM(R19*0.98)</f>
        <v>734.62670091743109</v>
      </c>
      <c r="T19" s="149">
        <f t="shared" ref="T19:V19" si="4">SUM(S19*0.98)</f>
        <v>719.93416689908247</v>
      </c>
      <c r="U19" s="149">
        <f t="shared" si="4"/>
        <v>705.53548356110082</v>
      </c>
      <c r="V19" s="149">
        <f t="shared" si="4"/>
        <v>691.42477388987879</v>
      </c>
    </row>
    <row r="20" spans="1:22">
      <c r="A20" s="164" t="s">
        <v>1605</v>
      </c>
      <c r="B20" s="160">
        <v>195.7</v>
      </c>
      <c r="C20" s="160">
        <v>115</v>
      </c>
      <c r="D20" s="160">
        <v>82.5</v>
      </c>
      <c r="E20" s="160">
        <v>65</v>
      </c>
      <c r="F20" s="161">
        <f t="shared" si="0"/>
        <v>77.561834862385311</v>
      </c>
      <c r="G20" s="161">
        <f t="shared" ref="G20:I48" si="5">((C20*24)/54.5)*0.9</f>
        <v>45.577981651376149</v>
      </c>
      <c r="H20" s="161">
        <f t="shared" si="5"/>
        <v>32.697247706422019</v>
      </c>
      <c r="I20" s="161">
        <f t="shared" si="5"/>
        <v>25.761467889908257</v>
      </c>
      <c r="J20" s="161">
        <f t="shared" si="3"/>
        <v>4.2271200000000002</v>
      </c>
      <c r="K20" s="161">
        <f t="shared" si="3"/>
        <v>2.484</v>
      </c>
      <c r="L20" s="161">
        <f t="shared" si="3"/>
        <v>1.782</v>
      </c>
      <c r="M20" s="161">
        <f t="shared" si="3"/>
        <v>1.4039999999999999</v>
      </c>
      <c r="N20" s="162">
        <v>150</v>
      </c>
      <c r="O20" s="162">
        <f>Table7[[#This Row],[Ah Rating]]/10</f>
        <v>15</v>
      </c>
      <c r="P20" s="163">
        <v>20</v>
      </c>
    </row>
    <row r="21" spans="1:22">
      <c r="A21" s="164" t="s">
        <v>2081</v>
      </c>
      <c r="B21" s="160">
        <v>126.8</v>
      </c>
      <c r="C21" s="160">
        <v>71.099999999999994</v>
      </c>
      <c r="D21" s="160">
        <v>51.9</v>
      </c>
      <c r="E21" s="160">
        <v>41.5</v>
      </c>
      <c r="F21" s="161">
        <f t="shared" si="0"/>
        <v>50.25467889908257</v>
      </c>
      <c r="G21" s="161">
        <f t="shared" si="5"/>
        <v>28.179082568807335</v>
      </c>
      <c r="H21" s="161">
        <f t="shared" si="5"/>
        <v>20.56954128440367</v>
      </c>
      <c r="I21" s="161">
        <f t="shared" si="5"/>
        <v>16.447706422018349</v>
      </c>
      <c r="J21" s="161">
        <f t="shared" si="3"/>
        <v>2.73888</v>
      </c>
      <c r="K21" s="161">
        <f t="shared" si="3"/>
        <v>1.5357599999999998</v>
      </c>
      <c r="L21" s="161">
        <f t="shared" si="3"/>
        <v>1.12104</v>
      </c>
      <c r="M21" s="161">
        <f t="shared" si="3"/>
        <v>0.89640000000000009</v>
      </c>
      <c r="N21" s="162">
        <v>100</v>
      </c>
      <c r="O21" s="162">
        <f>Table7[[#This Row],[Ah Rating]]/10</f>
        <v>10</v>
      </c>
      <c r="P21" s="163">
        <v>20</v>
      </c>
    </row>
    <row r="22" spans="1:22">
      <c r="A22" s="164" t="s">
        <v>1753</v>
      </c>
      <c r="B22" s="160">
        <v>263.60000000000002</v>
      </c>
      <c r="C22" s="160">
        <v>154.6</v>
      </c>
      <c r="D22" s="160">
        <v>110.5</v>
      </c>
      <c r="E22" s="160">
        <v>86.3</v>
      </c>
      <c r="F22" s="161">
        <f t="shared" si="0"/>
        <v>104.47266055045873</v>
      </c>
      <c r="G22" s="161">
        <f t="shared" si="5"/>
        <v>61.27266055045871</v>
      </c>
      <c r="H22" s="161">
        <f t="shared" si="5"/>
        <v>43.794495412844036</v>
      </c>
      <c r="I22" s="161">
        <f t="shared" si="5"/>
        <v>34.203302752293574</v>
      </c>
      <c r="J22" s="161">
        <f t="shared" si="3"/>
        <v>5.6937600000000002</v>
      </c>
      <c r="K22" s="161">
        <f t="shared" si="3"/>
        <v>3.3393599999999997</v>
      </c>
      <c r="L22" s="161">
        <f t="shared" si="3"/>
        <v>2.3867999999999996</v>
      </c>
      <c r="M22" s="161">
        <f t="shared" si="3"/>
        <v>1.8640799999999997</v>
      </c>
      <c r="N22" s="162">
        <v>190</v>
      </c>
      <c r="O22" s="162">
        <f>Table7[[#This Row],[Ah Rating]]/10</f>
        <v>19</v>
      </c>
      <c r="P22" s="163">
        <v>20</v>
      </c>
    </row>
    <row r="23" spans="1:22">
      <c r="A23" s="164" t="s">
        <v>1679</v>
      </c>
      <c r="B23" s="160">
        <v>131</v>
      </c>
      <c r="C23" s="160">
        <v>79</v>
      </c>
      <c r="D23" s="160">
        <v>57</v>
      </c>
      <c r="E23" s="160">
        <v>45</v>
      </c>
      <c r="F23" s="161">
        <f t="shared" si="0"/>
        <v>51.919266055045874</v>
      </c>
      <c r="G23" s="161">
        <f t="shared" si="5"/>
        <v>31.310091743119269</v>
      </c>
      <c r="H23" s="161">
        <f t="shared" si="5"/>
        <v>22.590825688073394</v>
      </c>
      <c r="I23" s="161">
        <f t="shared" si="5"/>
        <v>17.834862385321099</v>
      </c>
      <c r="J23" s="161">
        <f t="shared" si="3"/>
        <v>2.8296000000000001</v>
      </c>
      <c r="K23" s="161">
        <f t="shared" si="3"/>
        <v>1.7064000000000001</v>
      </c>
      <c r="L23" s="161">
        <f t="shared" si="3"/>
        <v>1.2312000000000001</v>
      </c>
      <c r="M23" s="161">
        <f t="shared" si="3"/>
        <v>0.97199999999999986</v>
      </c>
      <c r="N23" s="162">
        <v>100</v>
      </c>
      <c r="O23" s="162">
        <f>Table7[[#This Row],[Ah Rating]]/10</f>
        <v>10</v>
      </c>
      <c r="P23" s="163">
        <v>20</v>
      </c>
    </row>
    <row r="24" spans="1:22">
      <c r="A24" s="164" t="s">
        <v>1721</v>
      </c>
      <c r="B24" s="160">
        <v>130</v>
      </c>
      <c r="C24" s="160">
        <v>78</v>
      </c>
      <c r="D24" s="160">
        <v>56</v>
      </c>
      <c r="E24" s="160">
        <v>45</v>
      </c>
      <c r="F24" s="161">
        <f t="shared" si="0"/>
        <v>51.522935779816514</v>
      </c>
      <c r="G24" s="161">
        <f t="shared" si="5"/>
        <v>30.913761467889909</v>
      </c>
      <c r="H24" s="161">
        <f t="shared" si="5"/>
        <v>22.194495412844038</v>
      </c>
      <c r="I24" s="161">
        <f t="shared" si="5"/>
        <v>17.834862385321099</v>
      </c>
      <c r="J24" s="161">
        <f t="shared" si="3"/>
        <v>2.8079999999999998</v>
      </c>
      <c r="K24" s="161">
        <f t="shared" si="3"/>
        <v>1.6847999999999999</v>
      </c>
      <c r="L24" s="161">
        <f t="shared" si="3"/>
        <v>1.2096000000000002</v>
      </c>
      <c r="M24" s="161">
        <f t="shared" si="3"/>
        <v>0.97199999999999986</v>
      </c>
      <c r="N24" s="162">
        <v>105</v>
      </c>
      <c r="O24" s="162">
        <f>Table7[[#This Row],[Ah Rating]]/10</f>
        <v>10.5</v>
      </c>
      <c r="P24" s="163">
        <v>20</v>
      </c>
    </row>
    <row r="25" spans="1:22">
      <c r="A25" s="164" t="s">
        <v>1921</v>
      </c>
      <c r="B25" s="160">
        <v>145</v>
      </c>
      <c r="C25" s="165">
        <v>88</v>
      </c>
      <c r="D25" s="160">
        <v>65</v>
      </c>
      <c r="E25" s="165">
        <v>52</v>
      </c>
      <c r="F25" s="161">
        <f t="shared" si="0"/>
        <v>57.467889908256879</v>
      </c>
      <c r="G25" s="161">
        <f t="shared" si="5"/>
        <v>34.877064220183492</v>
      </c>
      <c r="H25" s="161">
        <f t="shared" si="5"/>
        <v>25.761467889908257</v>
      </c>
      <c r="I25" s="161">
        <f t="shared" si="5"/>
        <v>20.609174311926608</v>
      </c>
      <c r="J25" s="161">
        <f t="shared" si="3"/>
        <v>3.1320000000000001</v>
      </c>
      <c r="K25" s="161">
        <f t="shared" si="3"/>
        <v>1.9008000000000005</v>
      </c>
      <c r="L25" s="161">
        <f t="shared" si="3"/>
        <v>1.4039999999999999</v>
      </c>
      <c r="M25" s="161">
        <f t="shared" si="3"/>
        <v>1.1232000000000002</v>
      </c>
      <c r="N25" s="162">
        <v>125</v>
      </c>
      <c r="O25" s="162">
        <f>Table7[[#This Row],[Ah Rating]]/10</f>
        <v>12.5</v>
      </c>
      <c r="P25" s="163">
        <v>20</v>
      </c>
    </row>
    <row r="26" spans="1:22">
      <c r="A26" s="164" t="s">
        <v>1865</v>
      </c>
      <c r="B26" s="160">
        <v>120</v>
      </c>
      <c r="C26" s="165">
        <v>70</v>
      </c>
      <c r="D26" s="160">
        <v>50</v>
      </c>
      <c r="E26" s="160">
        <v>39</v>
      </c>
      <c r="F26" s="161">
        <f t="shared" si="0"/>
        <v>47.559633027522942</v>
      </c>
      <c r="G26" s="161">
        <f t="shared" si="5"/>
        <v>27.743119266055047</v>
      </c>
      <c r="H26" s="161">
        <f t="shared" si="5"/>
        <v>19.816513761467888</v>
      </c>
      <c r="I26" s="161">
        <f t="shared" si="5"/>
        <v>15.456880733944955</v>
      </c>
      <c r="J26" s="161">
        <f t="shared" si="3"/>
        <v>2.5920000000000005</v>
      </c>
      <c r="K26" s="161">
        <f t="shared" si="3"/>
        <v>1.512</v>
      </c>
      <c r="L26" s="161">
        <f t="shared" si="3"/>
        <v>1.08</v>
      </c>
      <c r="M26" s="161">
        <f t="shared" si="3"/>
        <v>0.84239999999999993</v>
      </c>
      <c r="N26" s="162">
        <v>92</v>
      </c>
      <c r="O26" s="162">
        <f>Table7[[#This Row],[Ah Rating]]/10</f>
        <v>9.1999999999999993</v>
      </c>
      <c r="P26" s="163">
        <v>20</v>
      </c>
    </row>
    <row r="27" spans="1:22">
      <c r="A27" s="164" t="s">
        <v>2082</v>
      </c>
      <c r="B27" s="160">
        <v>632</v>
      </c>
      <c r="C27" s="160">
        <v>361</v>
      </c>
      <c r="D27" s="160">
        <v>269</v>
      </c>
      <c r="E27" s="165">
        <v>214</v>
      </c>
      <c r="F27" s="161">
        <f t="shared" si="0"/>
        <v>250.48073394495415</v>
      </c>
      <c r="G27" s="161">
        <f t="shared" si="5"/>
        <v>143.07522935779818</v>
      </c>
      <c r="H27" s="161">
        <f t="shared" si="5"/>
        <v>106.61284403669725</v>
      </c>
      <c r="I27" s="161">
        <f t="shared" si="5"/>
        <v>84.814678899082566</v>
      </c>
      <c r="J27" s="161">
        <f t="shared" si="3"/>
        <v>13.651200000000001</v>
      </c>
      <c r="K27" s="161">
        <f t="shared" si="3"/>
        <v>7.7976000000000001</v>
      </c>
      <c r="L27" s="161">
        <f t="shared" si="3"/>
        <v>5.8104000000000005</v>
      </c>
      <c r="M27" s="161">
        <f t="shared" si="3"/>
        <v>4.6223999999999998</v>
      </c>
      <c r="N27" s="162">
        <v>516</v>
      </c>
      <c r="O27" s="162">
        <f>Table7[[#This Row],[Ah Rating]]/10</f>
        <v>51.6</v>
      </c>
      <c r="P27" s="163">
        <v>20</v>
      </c>
    </row>
    <row r="28" spans="1:22">
      <c r="A28" s="164" t="s">
        <v>1738</v>
      </c>
      <c r="B28" s="160">
        <v>138</v>
      </c>
      <c r="C28" s="160">
        <v>81</v>
      </c>
      <c r="D28" s="160">
        <v>58</v>
      </c>
      <c r="E28" s="165">
        <v>45</v>
      </c>
      <c r="F28" s="161">
        <f t="shared" si="0"/>
        <v>54.693577981651373</v>
      </c>
      <c r="G28" s="161">
        <f t="shared" si="5"/>
        <v>32.102752293577986</v>
      </c>
      <c r="H28" s="161">
        <f t="shared" si="5"/>
        <v>22.987155963302751</v>
      </c>
      <c r="I28" s="161">
        <f t="shared" si="5"/>
        <v>17.834862385321099</v>
      </c>
      <c r="J28" s="161">
        <f t="shared" si="3"/>
        <v>2.9807999999999999</v>
      </c>
      <c r="K28" s="161">
        <f t="shared" si="3"/>
        <v>1.7496</v>
      </c>
      <c r="L28" s="161">
        <f t="shared" si="3"/>
        <v>1.2527999999999999</v>
      </c>
      <c r="M28" s="161">
        <f t="shared" si="3"/>
        <v>0.97199999999999986</v>
      </c>
      <c r="N28" s="162">
        <v>100</v>
      </c>
      <c r="O28" s="162">
        <f>Table7[[#This Row],[Ah Rating]]/10</f>
        <v>10</v>
      </c>
      <c r="P28" s="163">
        <v>20</v>
      </c>
    </row>
    <row r="29" spans="1:22">
      <c r="A29" s="164" t="s">
        <v>2083</v>
      </c>
      <c r="B29" s="160">
        <v>650.6</v>
      </c>
      <c r="C29" s="160">
        <v>452.8</v>
      </c>
      <c r="D29" s="160">
        <v>347.2</v>
      </c>
      <c r="E29" s="165">
        <v>282.5</v>
      </c>
      <c r="F29" s="161">
        <f t="shared" si="0"/>
        <v>257.85247706422018</v>
      </c>
      <c r="G29" s="161">
        <f t="shared" si="5"/>
        <v>179.45834862385323</v>
      </c>
      <c r="H29" s="161">
        <f t="shared" si="5"/>
        <v>137.60587155963302</v>
      </c>
      <c r="I29" s="161">
        <f t="shared" si="5"/>
        <v>111.96330275229357</v>
      </c>
      <c r="J29" s="161">
        <f t="shared" si="3"/>
        <v>14.052959999999999</v>
      </c>
      <c r="K29" s="161">
        <f t="shared" si="3"/>
        <v>9.7804800000000007</v>
      </c>
      <c r="L29" s="161">
        <f t="shared" si="3"/>
        <v>7.4995199999999995</v>
      </c>
      <c r="M29" s="161">
        <f t="shared" si="3"/>
        <v>6.1020000000000003</v>
      </c>
      <c r="N29" s="162">
        <v>680</v>
      </c>
      <c r="O29" s="162">
        <f>Table7[[#This Row],[Ah Rating]]/10</f>
        <v>68</v>
      </c>
      <c r="P29" s="163">
        <v>20</v>
      </c>
    </row>
    <row r="30" spans="1:22">
      <c r="A30" s="164" t="s">
        <v>2084</v>
      </c>
      <c r="B30" s="160">
        <v>459.2</v>
      </c>
      <c r="C30" s="160">
        <v>319.60000000000002</v>
      </c>
      <c r="D30" s="160">
        <v>245.1</v>
      </c>
      <c r="E30" s="165">
        <v>199.4</v>
      </c>
      <c r="F30" s="161">
        <f t="shared" si="0"/>
        <v>181.99486238532108</v>
      </c>
      <c r="G30" s="161">
        <f t="shared" si="5"/>
        <v>126.66715596330276</v>
      </c>
      <c r="H30" s="161">
        <f t="shared" si="5"/>
        <v>97.140550458715595</v>
      </c>
      <c r="I30" s="161">
        <f t="shared" si="5"/>
        <v>79.028256880733949</v>
      </c>
      <c r="J30" s="161">
        <f t="shared" si="3"/>
        <v>9.9187199999999986</v>
      </c>
      <c r="K30" s="161">
        <f t="shared" si="3"/>
        <v>6.9033600000000002</v>
      </c>
      <c r="L30" s="161">
        <f t="shared" si="3"/>
        <v>5.2941599999999998</v>
      </c>
      <c r="M30" s="161">
        <f t="shared" si="3"/>
        <v>4.3070399999999998</v>
      </c>
      <c r="N30" s="162">
        <v>480</v>
      </c>
      <c r="O30" s="162">
        <f>Table7[[#This Row],[Ah Rating]]/10</f>
        <v>48</v>
      </c>
      <c r="P30" s="163">
        <v>20</v>
      </c>
    </row>
    <row r="31" spans="1:22">
      <c r="A31" s="164" t="s">
        <v>2085</v>
      </c>
      <c r="B31" s="160">
        <v>177</v>
      </c>
      <c r="C31" s="160">
        <v>107</v>
      </c>
      <c r="D31" s="160">
        <v>79</v>
      </c>
      <c r="E31" s="165">
        <v>63</v>
      </c>
      <c r="F31" s="161">
        <f t="shared" si="0"/>
        <v>70.150458715596343</v>
      </c>
      <c r="G31" s="161">
        <f t="shared" si="5"/>
        <v>42.407339449541283</v>
      </c>
      <c r="H31" s="161">
        <f t="shared" si="5"/>
        <v>31.310091743119269</v>
      </c>
      <c r="I31" s="161">
        <f t="shared" si="5"/>
        <v>24.968807339449544</v>
      </c>
      <c r="J31" s="161">
        <f t="shared" si="3"/>
        <v>3.8232000000000008</v>
      </c>
      <c r="K31" s="161">
        <f t="shared" si="3"/>
        <v>2.3111999999999999</v>
      </c>
      <c r="L31" s="161">
        <f t="shared" si="3"/>
        <v>1.7064000000000001</v>
      </c>
      <c r="M31" s="161">
        <f t="shared" si="3"/>
        <v>1.3608000000000002</v>
      </c>
      <c r="N31" s="162">
        <v>150</v>
      </c>
      <c r="O31" s="162">
        <f>Table7[[#This Row],[Ah Rating]]/10</f>
        <v>15</v>
      </c>
      <c r="P31" s="163">
        <v>20</v>
      </c>
    </row>
    <row r="32" spans="1:22">
      <c r="A32" s="164" t="s">
        <v>1803</v>
      </c>
      <c r="B32" s="160">
        <v>1889</v>
      </c>
      <c r="C32" s="160">
        <v>1258</v>
      </c>
      <c r="D32" s="160">
        <v>938</v>
      </c>
      <c r="E32" s="165">
        <v>760</v>
      </c>
      <c r="F32" s="161">
        <f t="shared" si="0"/>
        <v>748.66788990825683</v>
      </c>
      <c r="G32" s="161">
        <f t="shared" si="5"/>
        <v>498.58348623853215</v>
      </c>
      <c r="H32" s="161">
        <f t="shared" si="5"/>
        <v>371.75779816513761</v>
      </c>
      <c r="I32" s="161">
        <f t="shared" si="5"/>
        <v>301.21100917431193</v>
      </c>
      <c r="J32" s="161">
        <f t="shared" si="3"/>
        <v>40.802399999999992</v>
      </c>
      <c r="K32" s="161">
        <f t="shared" si="3"/>
        <v>27.172800000000002</v>
      </c>
      <c r="L32" s="161">
        <f t="shared" si="3"/>
        <v>20.2608</v>
      </c>
      <c r="M32" s="161">
        <f t="shared" si="3"/>
        <v>16.416</v>
      </c>
      <c r="N32" s="162">
        <v>1870</v>
      </c>
      <c r="O32" s="162">
        <f>Table7[[#This Row],[Ah Rating]]/10</f>
        <v>187</v>
      </c>
      <c r="P32" s="163">
        <v>20</v>
      </c>
    </row>
    <row r="33" spans="1:16">
      <c r="A33" s="164" t="s">
        <v>2086</v>
      </c>
      <c r="B33" s="160">
        <v>202</v>
      </c>
      <c r="C33" s="160">
        <v>122</v>
      </c>
      <c r="D33" s="160">
        <v>89.4</v>
      </c>
      <c r="E33" s="165">
        <v>71.3</v>
      </c>
      <c r="F33" s="161">
        <f t="shared" si="0"/>
        <v>80.058715596330273</v>
      </c>
      <c r="G33" s="161">
        <f t="shared" si="5"/>
        <v>48.352293577981648</v>
      </c>
      <c r="H33" s="161">
        <f t="shared" si="5"/>
        <v>35.431926605504593</v>
      </c>
      <c r="I33" s="161">
        <f t="shared" si="5"/>
        <v>28.258348623853209</v>
      </c>
      <c r="J33" s="161">
        <f t="shared" si="3"/>
        <v>4.3632</v>
      </c>
      <c r="K33" s="161">
        <f t="shared" si="3"/>
        <v>2.6351999999999998</v>
      </c>
      <c r="L33" s="161">
        <f t="shared" si="3"/>
        <v>1.9310400000000003</v>
      </c>
      <c r="M33" s="161">
        <f t="shared" si="3"/>
        <v>1.5400799999999999</v>
      </c>
      <c r="N33" s="162">
        <v>170</v>
      </c>
      <c r="O33" s="162">
        <f>Table7[[#This Row],[Ah Rating]]/10</f>
        <v>17</v>
      </c>
      <c r="P33" s="163">
        <v>20</v>
      </c>
    </row>
    <row r="34" spans="1:16">
      <c r="A34" s="164" t="s">
        <v>2087</v>
      </c>
      <c r="B34" s="160">
        <v>2727</v>
      </c>
      <c r="C34" s="160">
        <v>1816</v>
      </c>
      <c r="D34" s="160">
        <v>1355</v>
      </c>
      <c r="E34" s="165">
        <v>1097</v>
      </c>
      <c r="F34" s="161">
        <f t="shared" si="0"/>
        <v>1080.7926605504588</v>
      </c>
      <c r="G34" s="161">
        <f t="shared" si="5"/>
        <v>719.73577981651374</v>
      </c>
      <c r="H34" s="161">
        <f t="shared" si="5"/>
        <v>537.02752293577976</v>
      </c>
      <c r="I34" s="161">
        <f t="shared" si="5"/>
        <v>434.77431192660549</v>
      </c>
      <c r="J34" s="161">
        <f t="shared" si="3"/>
        <v>58.903200000000005</v>
      </c>
      <c r="K34" s="161">
        <f t="shared" si="3"/>
        <v>39.2256</v>
      </c>
      <c r="L34" s="161">
        <f t="shared" si="3"/>
        <v>29.267999999999997</v>
      </c>
      <c r="M34" s="161">
        <f t="shared" si="3"/>
        <v>23.6952</v>
      </c>
      <c r="N34" s="162">
        <v>2700</v>
      </c>
      <c r="O34" s="162">
        <f>Table7[[#This Row],[Ah Rating]]/10</f>
        <v>270</v>
      </c>
      <c r="P34" s="163">
        <v>20</v>
      </c>
    </row>
    <row r="35" spans="1:16">
      <c r="A35" s="164" t="s">
        <v>2088</v>
      </c>
      <c r="B35" s="160">
        <v>210</v>
      </c>
      <c r="C35" s="160">
        <v>120</v>
      </c>
      <c r="D35" s="160">
        <v>90</v>
      </c>
      <c r="E35" s="165">
        <v>71</v>
      </c>
      <c r="F35" s="161">
        <f t="shared" si="0"/>
        <v>83.22935779816514</v>
      </c>
      <c r="G35" s="161">
        <f t="shared" si="5"/>
        <v>47.559633027522942</v>
      </c>
      <c r="H35" s="161">
        <f t="shared" si="5"/>
        <v>35.669724770642198</v>
      </c>
      <c r="I35" s="161">
        <f t="shared" si="5"/>
        <v>28.139449541284407</v>
      </c>
      <c r="J35" s="161">
        <f t="shared" si="3"/>
        <v>4.5359999999999996</v>
      </c>
      <c r="K35" s="161">
        <f t="shared" si="3"/>
        <v>2.5920000000000005</v>
      </c>
      <c r="L35" s="161">
        <f t="shared" si="3"/>
        <v>1.9439999999999997</v>
      </c>
      <c r="M35" s="161">
        <f t="shared" si="3"/>
        <v>1.5336000000000001</v>
      </c>
      <c r="N35" s="162">
        <v>165</v>
      </c>
      <c r="O35" s="162">
        <f>Table7[[#This Row],[Ah Rating]]/10</f>
        <v>16.5</v>
      </c>
      <c r="P35" s="163">
        <v>20</v>
      </c>
    </row>
    <row r="36" spans="1:16">
      <c r="A36" s="166" t="s">
        <v>1600</v>
      </c>
      <c r="B36" s="167">
        <v>121</v>
      </c>
      <c r="C36" s="167">
        <v>71</v>
      </c>
      <c r="D36" s="167">
        <v>50</v>
      </c>
      <c r="E36" s="168">
        <v>40</v>
      </c>
      <c r="F36" s="161">
        <f t="shared" ref="F36:F52" si="6">((B36*24)/54.5)*0.9</f>
        <v>47.955963302752295</v>
      </c>
      <c r="G36" s="161">
        <f t="shared" si="5"/>
        <v>28.139449541284407</v>
      </c>
      <c r="H36" s="161">
        <f t="shared" si="5"/>
        <v>19.816513761467888</v>
      </c>
      <c r="I36" s="161">
        <f t="shared" si="5"/>
        <v>15.853211009174313</v>
      </c>
      <c r="J36" s="169">
        <f t="shared" si="3"/>
        <v>2.6135999999999999</v>
      </c>
      <c r="K36" s="169">
        <f t="shared" si="3"/>
        <v>1.5336000000000001</v>
      </c>
      <c r="L36" s="169">
        <f t="shared" si="3"/>
        <v>1.08</v>
      </c>
      <c r="M36" s="169">
        <f t="shared" si="3"/>
        <v>0.86399999999999999</v>
      </c>
      <c r="N36" s="170">
        <v>92</v>
      </c>
      <c r="O36" s="170">
        <f>Table7[[#This Row],[Ah Rating]]/10</f>
        <v>9.1999999999999993</v>
      </c>
      <c r="P36" s="171">
        <v>20</v>
      </c>
    </row>
    <row r="37" spans="1:16">
      <c r="A37" s="166" t="s">
        <v>2089</v>
      </c>
      <c r="B37" s="167">
        <v>194</v>
      </c>
      <c r="C37" s="167">
        <v>112</v>
      </c>
      <c r="D37" s="167">
        <v>81.900000000000006</v>
      </c>
      <c r="E37" s="168">
        <v>65.599999999999994</v>
      </c>
      <c r="F37" s="161">
        <f t="shared" si="6"/>
        <v>76.888073394495422</v>
      </c>
      <c r="G37" s="161">
        <f t="shared" si="5"/>
        <v>44.388990825688076</v>
      </c>
      <c r="H37" s="161">
        <f t="shared" si="5"/>
        <v>32.459449541284407</v>
      </c>
      <c r="I37" s="161">
        <f t="shared" si="5"/>
        <v>25.999266055045869</v>
      </c>
      <c r="J37" s="169">
        <f t="shared" ref="J37:M42" si="7">(F37*54.5)/1000</f>
        <v>4.1904000000000003</v>
      </c>
      <c r="K37" s="169">
        <f t="shared" si="7"/>
        <v>2.4192000000000005</v>
      </c>
      <c r="L37" s="169">
        <f t="shared" si="7"/>
        <v>1.7690400000000002</v>
      </c>
      <c r="M37" s="169">
        <f t="shared" si="7"/>
        <v>1.4169599999999998</v>
      </c>
      <c r="N37" s="170">
        <v>160</v>
      </c>
      <c r="O37" s="172">
        <f>Table7[[#This Row],[Ah Rating]]/10</f>
        <v>16</v>
      </c>
      <c r="P37" s="173">
        <v>20</v>
      </c>
    </row>
    <row r="38" spans="1:16">
      <c r="A38" s="166" t="s">
        <v>2090</v>
      </c>
      <c r="B38" s="167">
        <v>890</v>
      </c>
      <c r="C38" s="167">
        <v>566</v>
      </c>
      <c r="D38" s="167">
        <v>426</v>
      </c>
      <c r="E38" s="168">
        <v>343</v>
      </c>
      <c r="F38" s="161">
        <f t="shared" si="6"/>
        <v>352.73394495412845</v>
      </c>
      <c r="G38" s="161">
        <f t="shared" si="5"/>
        <v>224.32293577981653</v>
      </c>
      <c r="H38" s="161">
        <f t="shared" si="5"/>
        <v>168.83669724770641</v>
      </c>
      <c r="I38" s="161">
        <f t="shared" si="5"/>
        <v>135.94128440366973</v>
      </c>
      <c r="J38" s="169">
        <f t="shared" si="7"/>
        <v>19.224</v>
      </c>
      <c r="K38" s="169">
        <f t="shared" si="7"/>
        <v>12.2256</v>
      </c>
      <c r="L38" s="169">
        <f t="shared" si="7"/>
        <v>9.2015999999999991</v>
      </c>
      <c r="M38" s="169">
        <f t="shared" si="7"/>
        <v>7.4088000000000003</v>
      </c>
      <c r="N38" s="170">
        <v>800</v>
      </c>
      <c r="O38" s="172">
        <f>Table7[[#This Row],[Ah Rating]]/10</f>
        <v>80</v>
      </c>
      <c r="P38" s="173">
        <v>20</v>
      </c>
    </row>
    <row r="39" spans="1:16">
      <c r="A39" s="166" t="s">
        <v>1627</v>
      </c>
      <c r="B39" s="167">
        <v>1112</v>
      </c>
      <c r="C39" s="167">
        <v>707</v>
      </c>
      <c r="D39" s="167">
        <v>532</v>
      </c>
      <c r="E39" s="168">
        <v>429</v>
      </c>
      <c r="F39" s="161">
        <f t="shared" si="6"/>
        <v>440.71926605504586</v>
      </c>
      <c r="G39" s="161">
        <f t="shared" si="5"/>
        <v>280.20550458715599</v>
      </c>
      <c r="H39" s="161">
        <f t="shared" si="5"/>
        <v>210.84770642201835</v>
      </c>
      <c r="I39" s="161">
        <f t="shared" si="5"/>
        <v>170.02568807339452</v>
      </c>
      <c r="J39" s="169">
        <f t="shared" si="7"/>
        <v>24.019200000000001</v>
      </c>
      <c r="K39" s="169">
        <f t="shared" si="7"/>
        <v>15.2712</v>
      </c>
      <c r="L39" s="169">
        <f t="shared" si="7"/>
        <v>11.491200000000001</v>
      </c>
      <c r="M39" s="169">
        <f t="shared" si="7"/>
        <v>9.2664000000000009</v>
      </c>
      <c r="N39" s="170">
        <v>1000</v>
      </c>
      <c r="O39" s="170">
        <f>Table7[[#This Row],[Ah Rating]]/10</f>
        <v>100</v>
      </c>
      <c r="P39" s="174">
        <v>20</v>
      </c>
    </row>
    <row r="40" spans="1:16">
      <c r="A40" s="166" t="s">
        <v>1632</v>
      </c>
      <c r="B40" s="167">
        <v>1372</v>
      </c>
      <c r="C40" s="167">
        <v>930</v>
      </c>
      <c r="D40" s="167">
        <v>708</v>
      </c>
      <c r="E40" s="168">
        <v>579</v>
      </c>
      <c r="F40" s="169">
        <f t="shared" si="6"/>
        <v>543.76513761467891</v>
      </c>
      <c r="G40" s="169">
        <f t="shared" si="5"/>
        <v>368.58715596330279</v>
      </c>
      <c r="H40" s="169">
        <f t="shared" si="5"/>
        <v>280.60183486238537</v>
      </c>
      <c r="I40" s="169">
        <f t="shared" si="5"/>
        <v>229.47522935779818</v>
      </c>
      <c r="J40" s="169">
        <f t="shared" si="7"/>
        <v>29.635200000000001</v>
      </c>
      <c r="K40" s="169">
        <f t="shared" si="7"/>
        <v>20.088000000000005</v>
      </c>
      <c r="L40" s="169">
        <f t="shared" si="7"/>
        <v>15.292800000000003</v>
      </c>
      <c r="M40" s="169">
        <f t="shared" si="7"/>
        <v>12.506400000000001</v>
      </c>
      <c r="N40" s="170">
        <v>1500</v>
      </c>
      <c r="O40" s="170">
        <f>Table7[[#This Row],[Ah Rating]]/10</f>
        <v>150</v>
      </c>
      <c r="P40" s="174">
        <v>20</v>
      </c>
    </row>
    <row r="41" spans="1:16">
      <c r="A41" s="166" t="s">
        <v>1905</v>
      </c>
      <c r="B41" s="167">
        <v>1830</v>
      </c>
      <c r="C41" s="167">
        <v>1239</v>
      </c>
      <c r="D41" s="167">
        <v>944</v>
      </c>
      <c r="E41" s="168">
        <v>773</v>
      </c>
      <c r="F41" s="169">
        <f t="shared" si="6"/>
        <v>725.28440366972484</v>
      </c>
      <c r="G41" s="169">
        <f t="shared" si="5"/>
        <v>491.05321100917433</v>
      </c>
      <c r="H41" s="169">
        <f t="shared" si="5"/>
        <v>374.13577981651378</v>
      </c>
      <c r="I41" s="169">
        <f t="shared" si="5"/>
        <v>306.36330275229358</v>
      </c>
      <c r="J41" s="169">
        <f t="shared" si="7"/>
        <v>39.528000000000006</v>
      </c>
      <c r="K41" s="169">
        <f t="shared" si="7"/>
        <v>26.762400000000003</v>
      </c>
      <c r="L41" s="169">
        <f t="shared" si="7"/>
        <v>20.390400000000003</v>
      </c>
      <c r="M41" s="169">
        <f t="shared" si="7"/>
        <v>16.6968</v>
      </c>
      <c r="N41" s="170">
        <v>2000</v>
      </c>
      <c r="O41" s="170">
        <f>Table7[[#This Row],[Ah Rating]]/10</f>
        <v>200</v>
      </c>
      <c r="P41" s="174">
        <v>20</v>
      </c>
    </row>
    <row r="42" spans="1:16">
      <c r="A42" s="166" t="s">
        <v>2091</v>
      </c>
      <c r="B42" s="167">
        <v>1183</v>
      </c>
      <c r="C42" s="167">
        <v>721</v>
      </c>
      <c r="D42" s="167">
        <v>526</v>
      </c>
      <c r="E42" s="168">
        <v>418</v>
      </c>
      <c r="F42" s="169">
        <f t="shared" si="6"/>
        <v>468.85871559633028</v>
      </c>
      <c r="G42" s="169">
        <f t="shared" si="5"/>
        <v>285.75412844036697</v>
      </c>
      <c r="H42" s="169">
        <f t="shared" si="5"/>
        <v>208.46972477064222</v>
      </c>
      <c r="I42" s="169">
        <f t="shared" si="5"/>
        <v>165.66605504587159</v>
      </c>
      <c r="J42" s="169">
        <f t="shared" si="7"/>
        <v>25.552799999999998</v>
      </c>
      <c r="K42" s="169">
        <f t="shared" si="7"/>
        <v>15.573600000000001</v>
      </c>
      <c r="L42" s="169">
        <f t="shared" si="7"/>
        <v>11.361600000000001</v>
      </c>
      <c r="M42" s="169">
        <f t="shared" si="7"/>
        <v>9.0288000000000004</v>
      </c>
      <c r="N42" s="170">
        <v>1000</v>
      </c>
      <c r="O42" s="170">
        <f>Table7[[#This Row],[Ah Rating]]/10</f>
        <v>100</v>
      </c>
      <c r="P42" s="174">
        <v>20</v>
      </c>
    </row>
    <row r="43" spans="1:16">
      <c r="A43" s="166" t="s">
        <v>1842</v>
      </c>
      <c r="B43" s="167">
        <v>1602</v>
      </c>
      <c r="C43" s="167">
        <v>1009</v>
      </c>
      <c r="D43" s="167">
        <v>736</v>
      </c>
      <c r="E43" s="168">
        <v>585</v>
      </c>
      <c r="F43" s="169">
        <f t="shared" si="6"/>
        <v>634.9211009174312</v>
      </c>
      <c r="G43" s="169">
        <f t="shared" si="5"/>
        <v>399.89724770642204</v>
      </c>
      <c r="H43" s="169">
        <f t="shared" si="5"/>
        <v>291.69908256880734</v>
      </c>
      <c r="I43" s="169">
        <f t="shared" si="5"/>
        <v>231.85321100917429</v>
      </c>
      <c r="J43" s="169">
        <f>(F43*54.5)/1000</f>
        <v>34.603199999999994</v>
      </c>
      <c r="K43" s="169">
        <f>(G43*54.5)/1000</f>
        <v>21.794400000000003</v>
      </c>
      <c r="L43" s="169">
        <f>(H43*54.5)/1000</f>
        <v>15.897600000000001</v>
      </c>
      <c r="M43" s="169">
        <f>(I43*54.5)/1000</f>
        <v>12.635999999999997</v>
      </c>
      <c r="N43" s="170">
        <v>14000</v>
      </c>
      <c r="O43" s="170">
        <f>Table7[[#This Row],[Ah Rating]]/10</f>
        <v>1400</v>
      </c>
      <c r="P43" s="174">
        <v>25</v>
      </c>
    </row>
    <row r="44" spans="1:16">
      <c r="A44" s="164" t="s">
        <v>1651</v>
      </c>
      <c r="B44" s="160">
        <v>2022.5</v>
      </c>
      <c r="C44" s="160">
        <v>1268.4000000000001</v>
      </c>
      <c r="D44" s="160">
        <v>933</v>
      </c>
      <c r="E44" s="165">
        <v>741.8</v>
      </c>
      <c r="F44" s="161">
        <f t="shared" si="6"/>
        <v>801.57798165137615</v>
      </c>
      <c r="G44" s="161">
        <f t="shared" si="5"/>
        <v>502.70532110091744</v>
      </c>
      <c r="H44" s="161">
        <f t="shared" si="5"/>
        <v>369.77614678899084</v>
      </c>
      <c r="I44" s="161">
        <f t="shared" si="5"/>
        <v>293.99779816513757</v>
      </c>
      <c r="J44" s="161">
        <f t="shared" ref="J44:M52" si="8">(F44*54.5)/1000</f>
        <v>43.686</v>
      </c>
      <c r="K44" s="161">
        <f t="shared" si="8"/>
        <v>27.397440000000003</v>
      </c>
      <c r="L44" s="161">
        <f t="shared" si="8"/>
        <v>20.152799999999999</v>
      </c>
      <c r="M44" s="161">
        <f t="shared" si="8"/>
        <v>16.022879999999997</v>
      </c>
      <c r="N44" s="162">
        <v>2000</v>
      </c>
      <c r="O44" s="162">
        <f>Table7[[#This Row],[Ah Rating]]/10</f>
        <v>200</v>
      </c>
      <c r="P44" s="175"/>
    </row>
    <row r="45" spans="1:16">
      <c r="A45" s="164" t="s">
        <v>2092</v>
      </c>
      <c r="B45" s="160">
        <v>1854</v>
      </c>
      <c r="C45" s="160">
        <v>1173</v>
      </c>
      <c r="D45" s="160">
        <v>853</v>
      </c>
      <c r="E45" s="165">
        <v>671</v>
      </c>
      <c r="F45" s="161">
        <f t="shared" si="6"/>
        <v>734.79633027522937</v>
      </c>
      <c r="G45" s="161">
        <f t="shared" si="5"/>
        <v>464.89541284403668</v>
      </c>
      <c r="H45" s="161">
        <f t="shared" si="5"/>
        <v>338.06972477064221</v>
      </c>
      <c r="I45" s="161">
        <f t="shared" si="5"/>
        <v>265.93761467889908</v>
      </c>
      <c r="J45" s="161">
        <f t="shared" si="8"/>
        <v>40.046399999999998</v>
      </c>
      <c r="K45" s="161">
        <f t="shared" si="8"/>
        <v>25.3368</v>
      </c>
      <c r="L45" s="161">
        <f t="shared" si="8"/>
        <v>18.424799999999998</v>
      </c>
      <c r="M45" s="161">
        <f t="shared" si="8"/>
        <v>14.493600000000001</v>
      </c>
      <c r="N45" s="162">
        <v>1600</v>
      </c>
      <c r="O45" s="162">
        <f>Table7[[#This Row],[Ah Rating]]/10</f>
        <v>160</v>
      </c>
      <c r="P45" s="175"/>
    </row>
    <row r="46" spans="1:16">
      <c r="A46" s="164" t="s">
        <v>1813</v>
      </c>
      <c r="B46" s="160">
        <v>3066.7</v>
      </c>
      <c r="C46" s="160">
        <v>1908.9</v>
      </c>
      <c r="D46" s="160">
        <v>1392.8</v>
      </c>
      <c r="E46" s="165">
        <v>1106.5999999999999</v>
      </c>
      <c r="F46" s="161">
        <f t="shared" si="6"/>
        <v>1215.4260550458714</v>
      </c>
      <c r="G46" s="161">
        <f t="shared" si="5"/>
        <v>756.55486238532126</v>
      </c>
      <c r="H46" s="161">
        <f t="shared" si="5"/>
        <v>552.0088073394495</v>
      </c>
      <c r="I46" s="161">
        <f t="shared" si="5"/>
        <v>438.57908256880734</v>
      </c>
      <c r="J46" s="161">
        <f t="shared" si="8"/>
        <v>66.240719999999982</v>
      </c>
      <c r="K46" s="161">
        <f t="shared" si="8"/>
        <v>41.232240000000004</v>
      </c>
      <c r="L46" s="161">
        <f t="shared" si="8"/>
        <v>30.084479999999999</v>
      </c>
      <c r="M46" s="161">
        <f t="shared" si="8"/>
        <v>23.902560000000001</v>
      </c>
      <c r="N46" s="162">
        <v>3000</v>
      </c>
      <c r="O46" s="162">
        <f>Table7[[#This Row],[Ah Rating]]/10</f>
        <v>300</v>
      </c>
      <c r="P46" s="175"/>
    </row>
    <row r="47" spans="1:16">
      <c r="A47" s="164" t="s">
        <v>2093</v>
      </c>
      <c r="B47" s="160">
        <v>1349</v>
      </c>
      <c r="C47" s="160">
        <v>865</v>
      </c>
      <c r="D47" s="160">
        <v>631</v>
      </c>
      <c r="E47" s="165">
        <v>502</v>
      </c>
      <c r="F47" s="161">
        <f t="shared" si="6"/>
        <v>534.64954128440365</v>
      </c>
      <c r="G47" s="161">
        <f t="shared" si="5"/>
        <v>342.82568807339453</v>
      </c>
      <c r="H47" s="161">
        <f t="shared" si="5"/>
        <v>250.08440366972476</v>
      </c>
      <c r="I47" s="161">
        <f t="shared" si="5"/>
        <v>198.95779816513763</v>
      </c>
      <c r="J47" s="161">
        <f t="shared" si="8"/>
        <v>29.138399999999997</v>
      </c>
      <c r="K47" s="161">
        <f t="shared" si="8"/>
        <v>18.684000000000005</v>
      </c>
      <c r="L47" s="161">
        <f t="shared" si="8"/>
        <v>13.6296</v>
      </c>
      <c r="M47" s="161">
        <f t="shared" si="8"/>
        <v>10.843200000000001</v>
      </c>
      <c r="N47" s="162">
        <v>1200</v>
      </c>
      <c r="O47" s="162">
        <f>Table7[[#This Row],[Ah Rating]]/10</f>
        <v>120</v>
      </c>
      <c r="P47" s="175"/>
    </row>
    <row r="48" spans="1:16">
      <c r="A48" s="164" t="s">
        <v>1872</v>
      </c>
      <c r="B48" s="160">
        <v>776</v>
      </c>
      <c r="C48" s="160">
        <v>472</v>
      </c>
      <c r="D48" s="160">
        <v>345</v>
      </c>
      <c r="E48" s="165">
        <v>274</v>
      </c>
      <c r="F48" s="161">
        <f t="shared" si="6"/>
        <v>307.55229357798169</v>
      </c>
      <c r="G48" s="161">
        <f t="shared" si="5"/>
        <v>187.06788990825689</v>
      </c>
      <c r="H48" s="161">
        <f t="shared" si="5"/>
        <v>136.73394495412845</v>
      </c>
      <c r="I48" s="161">
        <f t="shared" si="5"/>
        <v>108.59449541284404</v>
      </c>
      <c r="J48" s="161">
        <f t="shared" si="8"/>
        <v>16.761600000000001</v>
      </c>
      <c r="K48" s="161">
        <f t="shared" si="8"/>
        <v>10.195200000000002</v>
      </c>
      <c r="L48" s="161">
        <f t="shared" si="8"/>
        <v>7.452</v>
      </c>
      <c r="M48" s="161">
        <f t="shared" si="8"/>
        <v>5.9184000000000001</v>
      </c>
      <c r="N48" s="162">
        <v>652</v>
      </c>
      <c r="O48" s="162">
        <f>Table7[[#This Row],[Ah Rating]]/10</f>
        <v>65.2</v>
      </c>
      <c r="P48" s="175"/>
    </row>
    <row r="49" spans="1:16">
      <c r="A49" s="164" t="s">
        <v>2094</v>
      </c>
      <c r="B49" s="160">
        <v>1899</v>
      </c>
      <c r="C49" s="160">
        <v>1200</v>
      </c>
      <c r="D49" s="160">
        <v>893</v>
      </c>
      <c r="E49" s="165">
        <v>720</v>
      </c>
      <c r="F49" s="161">
        <f t="shared" si="6"/>
        <v>752.63119266055048</v>
      </c>
      <c r="G49" s="161">
        <f t="shared" ref="G49:I52" si="9">((C49*24)/54.5)*0.9</f>
        <v>475.59633027522932</v>
      </c>
      <c r="H49" s="161">
        <f t="shared" si="9"/>
        <v>353.9229357798165</v>
      </c>
      <c r="I49" s="161">
        <f t="shared" si="9"/>
        <v>285.35779816513758</v>
      </c>
      <c r="J49" s="161">
        <f t="shared" si="8"/>
        <v>41.0184</v>
      </c>
      <c r="K49" s="161">
        <f t="shared" si="8"/>
        <v>25.919999999999995</v>
      </c>
      <c r="L49" s="161">
        <f t="shared" si="8"/>
        <v>19.288799999999998</v>
      </c>
      <c r="M49" s="161">
        <f t="shared" si="8"/>
        <v>15.551999999999998</v>
      </c>
      <c r="N49" s="162">
        <v>1680</v>
      </c>
      <c r="O49" s="162">
        <f>Table7[[#This Row],[Ah Rating]]/10</f>
        <v>168</v>
      </c>
      <c r="P49" s="175"/>
    </row>
    <row r="50" spans="1:16">
      <c r="A50" s="164" t="s">
        <v>1573</v>
      </c>
      <c r="B50" s="160">
        <v>591</v>
      </c>
      <c r="C50" s="160">
        <v>355</v>
      </c>
      <c r="D50" s="160">
        <v>254</v>
      </c>
      <c r="E50" s="165">
        <v>203</v>
      </c>
      <c r="F50" s="161">
        <f t="shared" si="6"/>
        <v>234.23119266055048</v>
      </c>
      <c r="G50" s="161">
        <f t="shared" si="9"/>
        <v>140.69724770642202</v>
      </c>
      <c r="H50" s="161">
        <f t="shared" si="9"/>
        <v>100.66788990825688</v>
      </c>
      <c r="I50" s="161">
        <f t="shared" si="9"/>
        <v>80.455045871559633</v>
      </c>
      <c r="J50" s="161">
        <f t="shared" si="8"/>
        <v>12.765600000000001</v>
      </c>
      <c r="K50" s="161">
        <f t="shared" si="8"/>
        <v>7.6680000000000001</v>
      </c>
      <c r="L50" s="161">
        <f t="shared" si="8"/>
        <v>5.4863999999999997</v>
      </c>
      <c r="M50" s="161">
        <f t="shared" si="8"/>
        <v>4.3848000000000003</v>
      </c>
      <c r="N50" s="162">
        <v>489</v>
      </c>
      <c r="O50" s="162">
        <f>Table7[[#This Row],[Ah Rating]]/10</f>
        <v>48.9</v>
      </c>
      <c r="P50" s="175"/>
    </row>
    <row r="51" spans="1:16">
      <c r="A51" s="164" t="s">
        <v>2095</v>
      </c>
      <c r="B51" s="160">
        <v>197</v>
      </c>
      <c r="C51" s="160">
        <v>118</v>
      </c>
      <c r="D51" s="160">
        <v>84.8</v>
      </c>
      <c r="E51" s="165">
        <v>67.5</v>
      </c>
      <c r="F51" s="161">
        <f t="shared" si="6"/>
        <v>78.077064220183487</v>
      </c>
      <c r="G51" s="161">
        <f t="shared" si="9"/>
        <v>46.766972477064222</v>
      </c>
      <c r="H51" s="161">
        <f t="shared" si="9"/>
        <v>33.608807339449541</v>
      </c>
      <c r="I51" s="161">
        <f t="shared" si="9"/>
        <v>26.752293577981654</v>
      </c>
      <c r="J51" s="161">
        <f t="shared" si="8"/>
        <v>4.2551999999999994</v>
      </c>
      <c r="K51" s="161">
        <f t="shared" si="8"/>
        <v>2.5488000000000004</v>
      </c>
      <c r="L51" s="161">
        <f t="shared" si="8"/>
        <v>1.83168</v>
      </c>
      <c r="M51" s="161">
        <f t="shared" si="8"/>
        <v>1.4580000000000002</v>
      </c>
      <c r="N51" s="162">
        <v>163</v>
      </c>
      <c r="O51" s="162">
        <f>Table7[[#This Row],[Ah Rating]]/10</f>
        <v>16.3</v>
      </c>
      <c r="P51" s="175"/>
    </row>
    <row r="52" spans="1:16">
      <c r="A52" s="164" t="s">
        <v>2096</v>
      </c>
      <c r="B52" s="160">
        <v>394</v>
      </c>
      <c r="C52" s="160">
        <v>237</v>
      </c>
      <c r="D52" s="160">
        <v>170</v>
      </c>
      <c r="E52" s="165">
        <v>135</v>
      </c>
      <c r="F52" s="161">
        <f t="shared" si="6"/>
        <v>156.15412844036697</v>
      </c>
      <c r="G52" s="161">
        <f t="shared" si="9"/>
        <v>93.930275229357804</v>
      </c>
      <c r="H52" s="161">
        <f t="shared" si="9"/>
        <v>67.376146788990823</v>
      </c>
      <c r="I52" s="161">
        <f t="shared" si="9"/>
        <v>53.504587155963307</v>
      </c>
      <c r="J52" s="161">
        <f t="shared" si="8"/>
        <v>8.5103999999999989</v>
      </c>
      <c r="K52" s="161">
        <f t="shared" si="8"/>
        <v>5.1192000000000011</v>
      </c>
      <c r="L52" s="161">
        <f t="shared" si="8"/>
        <v>3.6720000000000002</v>
      </c>
      <c r="M52" s="161">
        <f t="shared" si="8"/>
        <v>2.9160000000000004</v>
      </c>
      <c r="N52" s="162">
        <v>260</v>
      </c>
      <c r="O52" s="162">
        <f>Table7[[#This Row],[Ah Rating]]/10</f>
        <v>26</v>
      </c>
      <c r="P52" s="175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P32" sqref="P32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6" customWidth="1"/>
    <col min="2" max="5" width="9.28515625" style="149" customWidth="1"/>
    <col min="6" max="6" width="9.5703125" style="149" customWidth="1"/>
    <col min="7" max="9" width="9.7109375" style="149" customWidth="1"/>
    <col min="10" max="10" width="9.28515625" style="149" customWidth="1"/>
    <col min="11" max="13" width="9.7109375" style="149" customWidth="1"/>
    <col min="14" max="15" width="13.7109375" style="149" customWidth="1"/>
    <col min="16" max="16" width="9.28515625" style="149" customWidth="1"/>
    <col min="17" max="16384" width="9.28515625" style="149"/>
  </cols>
  <sheetData>
    <row r="1" spans="1:16">
      <c r="A1" s="148">
        <v>1</v>
      </c>
      <c r="B1" s="148">
        <v>2</v>
      </c>
      <c r="C1" s="148">
        <v>3</v>
      </c>
      <c r="D1" s="148">
        <v>4</v>
      </c>
      <c r="E1" s="148">
        <v>5</v>
      </c>
      <c r="F1" s="148">
        <v>6</v>
      </c>
      <c r="G1" s="148">
        <v>7</v>
      </c>
      <c r="H1" s="148">
        <v>8</v>
      </c>
      <c r="I1" s="148">
        <v>9</v>
      </c>
      <c r="J1" s="148">
        <v>10</v>
      </c>
      <c r="K1" s="148">
        <v>11</v>
      </c>
      <c r="L1" s="148">
        <v>12</v>
      </c>
      <c r="M1" s="148">
        <v>13</v>
      </c>
      <c r="N1" s="148">
        <v>14</v>
      </c>
      <c r="O1" s="148">
        <v>15</v>
      </c>
      <c r="P1" s="148">
        <v>16</v>
      </c>
    </row>
    <row r="2" spans="1:16" ht="15.6">
      <c r="A2" s="150" t="s">
        <v>2062</v>
      </c>
      <c r="B2" s="385" t="s">
        <v>2063</v>
      </c>
      <c r="C2" s="386"/>
      <c r="D2" s="386"/>
      <c r="E2" s="387"/>
      <c r="F2" s="388" t="s">
        <v>2097</v>
      </c>
      <c r="G2" s="389"/>
      <c r="H2" s="389"/>
      <c r="I2" s="390"/>
      <c r="J2" s="391" t="s">
        <v>2098</v>
      </c>
      <c r="K2" s="392"/>
      <c r="L2" s="392"/>
      <c r="M2" s="393"/>
      <c r="N2" s="151"/>
      <c r="O2" s="151"/>
    </row>
    <row r="3" spans="1:16" s="158" customFormat="1" ht="15.6">
      <c r="A3" s="152" t="s">
        <v>2066</v>
      </c>
      <c r="B3" s="153" t="s">
        <v>1999</v>
      </c>
      <c r="C3" s="153" t="s">
        <v>2000</v>
      </c>
      <c r="D3" s="153" t="s">
        <v>2001</v>
      </c>
      <c r="E3" s="153" t="s">
        <v>2002</v>
      </c>
      <c r="F3" s="154" t="s">
        <v>2067</v>
      </c>
      <c r="G3" s="154" t="s">
        <v>2068</v>
      </c>
      <c r="H3" s="154" t="s">
        <v>2069</v>
      </c>
      <c r="I3" s="154" t="s">
        <v>2070</v>
      </c>
      <c r="J3" s="155" t="s">
        <v>2071</v>
      </c>
      <c r="K3" s="155" t="s">
        <v>2072</v>
      </c>
      <c r="L3" s="155" t="s">
        <v>2073</v>
      </c>
      <c r="M3" s="155" t="s">
        <v>2074</v>
      </c>
      <c r="N3" s="156" t="s">
        <v>2075</v>
      </c>
      <c r="O3" s="156" t="s">
        <v>2076</v>
      </c>
      <c r="P3" s="157" t="s">
        <v>2077</v>
      </c>
    </row>
    <row r="4" spans="1:16">
      <c r="A4" s="159" t="s">
        <v>2078</v>
      </c>
      <c r="B4" s="160">
        <v>208</v>
      </c>
      <c r="C4" s="160">
        <v>134</v>
      </c>
      <c r="D4" s="160">
        <v>100</v>
      </c>
      <c r="E4" s="160">
        <v>82</v>
      </c>
      <c r="F4" s="161">
        <f t="shared" ref="F4:I19" si="0">((B4*24)/54.5)*0.8</f>
        <v>73.27706422018349</v>
      </c>
      <c r="G4" s="161">
        <f t="shared" si="0"/>
        <v>47.207339449541287</v>
      </c>
      <c r="H4" s="161">
        <f t="shared" si="0"/>
        <v>35.22935779816514</v>
      </c>
      <c r="I4" s="161">
        <f t="shared" si="0"/>
        <v>28.888073394495411</v>
      </c>
      <c r="J4" s="161">
        <f>(F4*54.5)/1000</f>
        <v>3.9936000000000003</v>
      </c>
      <c r="K4" s="161">
        <f t="shared" ref="K4:M19" si="1">(G4*54.5)/1000</f>
        <v>2.5728</v>
      </c>
      <c r="L4" s="161">
        <f t="shared" si="1"/>
        <v>1.92</v>
      </c>
      <c r="M4" s="161">
        <f t="shared" si="1"/>
        <v>1.5743999999999998</v>
      </c>
      <c r="N4" s="162">
        <v>200</v>
      </c>
      <c r="O4" s="162" t="e">
        <f>[3]!Table7[[#This Row],[Ah Rating]]/10</f>
        <v>#REF!</v>
      </c>
      <c r="P4" s="163" t="e">
        <f>[3]!Table7[[#This Row],[Temp]]</f>
        <v>#REF!</v>
      </c>
    </row>
    <row r="5" spans="1:16">
      <c r="A5" s="159" t="s">
        <v>1640</v>
      </c>
      <c r="B5" s="160">
        <v>312</v>
      </c>
      <c r="C5" s="160">
        <v>201</v>
      </c>
      <c r="D5" s="160">
        <v>151</v>
      </c>
      <c r="E5" s="160">
        <v>123</v>
      </c>
      <c r="F5" s="161">
        <f t="shared" si="0"/>
        <v>109.91559633027524</v>
      </c>
      <c r="G5" s="161">
        <f t="shared" si="0"/>
        <v>70.811009174311934</v>
      </c>
      <c r="H5" s="161">
        <f t="shared" si="0"/>
        <v>53.196330275229357</v>
      </c>
      <c r="I5" s="161">
        <f t="shared" si="0"/>
        <v>43.332110091743118</v>
      </c>
      <c r="J5" s="161">
        <f t="shared" ref="J5:M36" si="2">(F5*54.5)/1000</f>
        <v>5.9904000000000002</v>
      </c>
      <c r="K5" s="161">
        <f t="shared" si="1"/>
        <v>3.8592000000000004</v>
      </c>
      <c r="L5" s="161">
        <f t="shared" si="1"/>
        <v>2.8992</v>
      </c>
      <c r="M5" s="161">
        <f t="shared" si="1"/>
        <v>2.3615999999999997</v>
      </c>
      <c r="N5" s="162">
        <v>300</v>
      </c>
      <c r="O5" s="162" t="e">
        <f>[3]!Table7[[#This Row],[Ah Rating]]/10</f>
        <v>#REF!</v>
      </c>
      <c r="P5" s="163" t="e">
        <f>[3]!Table7[[#This Row],[Temp]]</f>
        <v>#REF!</v>
      </c>
    </row>
    <row r="6" spans="1:16">
      <c r="A6" s="159" t="s">
        <v>2079</v>
      </c>
      <c r="B6" s="160">
        <v>417</v>
      </c>
      <c r="C6" s="160">
        <v>268</v>
      </c>
      <c r="D6" s="160">
        <v>201</v>
      </c>
      <c r="E6" s="160">
        <v>164</v>
      </c>
      <c r="F6" s="161">
        <f t="shared" si="0"/>
        <v>146.90642201834862</v>
      </c>
      <c r="G6" s="161">
        <f t="shared" si="0"/>
        <v>94.414678899082574</v>
      </c>
      <c r="H6" s="161">
        <f t="shared" si="0"/>
        <v>70.811009174311934</v>
      </c>
      <c r="I6" s="161">
        <f t="shared" si="0"/>
        <v>57.776146788990822</v>
      </c>
      <c r="J6" s="161">
        <f t="shared" si="2"/>
        <v>8.0063999999999993</v>
      </c>
      <c r="K6" s="161">
        <f t="shared" si="1"/>
        <v>5.1456</v>
      </c>
      <c r="L6" s="161">
        <f t="shared" si="1"/>
        <v>3.8592000000000004</v>
      </c>
      <c r="M6" s="161">
        <f t="shared" si="1"/>
        <v>3.1487999999999996</v>
      </c>
      <c r="N6" s="162">
        <v>400</v>
      </c>
      <c r="O6" s="162" t="e">
        <f>[3]!Table7[[#This Row],[Ah Rating]]/10</f>
        <v>#REF!</v>
      </c>
      <c r="P6" s="163" t="e">
        <f>[3]!Table7[[#This Row],[Temp]]</f>
        <v>#REF!</v>
      </c>
    </row>
    <row r="7" spans="1:16">
      <c r="A7" s="159" t="s">
        <v>1704</v>
      </c>
      <c r="B7" s="160">
        <v>487</v>
      </c>
      <c r="C7" s="160">
        <v>327</v>
      </c>
      <c r="D7" s="160">
        <v>248</v>
      </c>
      <c r="E7" s="160">
        <v>204</v>
      </c>
      <c r="F7" s="161">
        <f t="shared" si="0"/>
        <v>171.56697247706424</v>
      </c>
      <c r="G7" s="161">
        <f t="shared" si="0"/>
        <v>115.2</v>
      </c>
      <c r="H7" s="161">
        <f t="shared" si="0"/>
        <v>87.368807339449546</v>
      </c>
      <c r="I7" s="161">
        <f t="shared" si="0"/>
        <v>71.867889908256885</v>
      </c>
      <c r="J7" s="161">
        <f t="shared" si="2"/>
        <v>9.3504000000000023</v>
      </c>
      <c r="K7" s="161">
        <f t="shared" si="1"/>
        <v>6.2784000000000004</v>
      </c>
      <c r="L7" s="161">
        <f t="shared" si="1"/>
        <v>4.7616000000000005</v>
      </c>
      <c r="M7" s="161">
        <f t="shared" si="1"/>
        <v>3.9168000000000003</v>
      </c>
      <c r="N7" s="162">
        <v>510</v>
      </c>
      <c r="O7" s="162" t="e">
        <f>[3]!Table7[[#This Row],[Ah Rating]]/10</f>
        <v>#REF!</v>
      </c>
      <c r="P7" s="163" t="e">
        <f>[3]!Table7[[#This Row],[Temp]]</f>
        <v>#REF!</v>
      </c>
    </row>
    <row r="8" spans="1:16">
      <c r="A8" s="159" t="s">
        <v>1609</v>
      </c>
      <c r="B8" s="160">
        <v>568</v>
      </c>
      <c r="C8" s="160">
        <v>381</v>
      </c>
      <c r="D8" s="160">
        <v>290</v>
      </c>
      <c r="E8" s="160">
        <v>238</v>
      </c>
      <c r="F8" s="161">
        <f t="shared" si="0"/>
        <v>200.10275229357799</v>
      </c>
      <c r="G8" s="161">
        <f t="shared" si="0"/>
        <v>134.22385321100919</v>
      </c>
      <c r="H8" s="161">
        <f t="shared" si="0"/>
        <v>102.1651376146789</v>
      </c>
      <c r="I8" s="161">
        <f t="shared" si="0"/>
        <v>83.845871559633039</v>
      </c>
      <c r="J8" s="161">
        <f t="shared" si="2"/>
        <v>10.9056</v>
      </c>
      <c r="K8" s="161">
        <f t="shared" si="1"/>
        <v>7.3152000000000008</v>
      </c>
      <c r="L8" s="161">
        <f t="shared" si="1"/>
        <v>5.5679999999999996</v>
      </c>
      <c r="M8" s="161">
        <f t="shared" si="1"/>
        <v>4.5696000000000003</v>
      </c>
      <c r="N8" s="162">
        <v>595</v>
      </c>
      <c r="O8" s="162" t="e">
        <f>[3]!Table7[[#This Row],[Ah Rating]]/10</f>
        <v>#REF!</v>
      </c>
      <c r="P8" s="163" t="e">
        <f>[3]!Table7[[#This Row],[Temp]]</f>
        <v>#REF!</v>
      </c>
    </row>
    <row r="9" spans="1:16">
      <c r="A9" s="159" t="s">
        <v>1763</v>
      </c>
      <c r="B9" s="160">
        <v>812</v>
      </c>
      <c r="C9" s="160">
        <v>545</v>
      </c>
      <c r="D9" s="160">
        <v>414</v>
      </c>
      <c r="E9" s="160">
        <v>340</v>
      </c>
      <c r="F9" s="161">
        <f t="shared" si="0"/>
        <v>286.06238532110092</v>
      </c>
      <c r="G9" s="161">
        <f t="shared" si="0"/>
        <v>192</v>
      </c>
      <c r="H9" s="161">
        <f t="shared" si="0"/>
        <v>145.84954128440367</v>
      </c>
      <c r="I9" s="161">
        <f t="shared" si="0"/>
        <v>119.77981651376147</v>
      </c>
      <c r="J9" s="161">
        <f t="shared" si="2"/>
        <v>15.590399999999999</v>
      </c>
      <c r="K9" s="161">
        <f t="shared" si="1"/>
        <v>10.464</v>
      </c>
      <c r="L9" s="161">
        <f t="shared" si="1"/>
        <v>7.9488000000000003</v>
      </c>
      <c r="M9" s="161">
        <f t="shared" si="1"/>
        <v>6.5279999999999996</v>
      </c>
      <c r="N9" s="162">
        <v>850</v>
      </c>
      <c r="O9" s="162" t="e">
        <f>[3]!Table7[[#This Row],[Ah Rating]]/10</f>
        <v>#REF!</v>
      </c>
      <c r="P9" s="163" t="e">
        <f>[3]!Table7[[#This Row],[Temp]]</f>
        <v>#REF!</v>
      </c>
    </row>
    <row r="10" spans="1:16">
      <c r="A10" s="159" t="s">
        <v>1582</v>
      </c>
      <c r="B10" s="160">
        <v>974</v>
      </c>
      <c r="C10" s="160">
        <v>654</v>
      </c>
      <c r="D10" s="160">
        <v>496</v>
      </c>
      <c r="E10" s="160">
        <v>408</v>
      </c>
      <c r="F10" s="161">
        <f t="shared" si="0"/>
        <v>343.13394495412848</v>
      </c>
      <c r="G10" s="161">
        <f t="shared" si="0"/>
        <v>230.4</v>
      </c>
      <c r="H10" s="161">
        <f t="shared" si="0"/>
        <v>174.73761467889909</v>
      </c>
      <c r="I10" s="161">
        <f t="shared" si="0"/>
        <v>143.73577981651377</v>
      </c>
      <c r="J10" s="161">
        <f t="shared" si="2"/>
        <v>18.700800000000005</v>
      </c>
      <c r="K10" s="161">
        <f t="shared" si="1"/>
        <v>12.556800000000001</v>
      </c>
      <c r="L10" s="161">
        <f t="shared" si="1"/>
        <v>9.523200000000001</v>
      </c>
      <c r="M10" s="161">
        <f t="shared" si="1"/>
        <v>7.8336000000000006</v>
      </c>
      <c r="N10" s="162">
        <v>1020</v>
      </c>
      <c r="O10" s="162" t="e">
        <f>[3]!Table7[[#This Row],[Ah Rating]]/10</f>
        <v>#REF!</v>
      </c>
      <c r="P10" s="163" t="e">
        <f>[3]!Table7[[#This Row],[Temp]]</f>
        <v>#REF!</v>
      </c>
    </row>
    <row r="11" spans="1:16">
      <c r="A11" s="159" t="s">
        <v>1789</v>
      </c>
      <c r="B11" s="160">
        <v>1055</v>
      </c>
      <c r="C11" s="160">
        <v>708</v>
      </c>
      <c r="D11" s="160">
        <v>538</v>
      </c>
      <c r="E11" s="160">
        <v>442</v>
      </c>
      <c r="F11" s="161">
        <f t="shared" si="0"/>
        <v>371.66972477064223</v>
      </c>
      <c r="G11" s="161">
        <f t="shared" si="0"/>
        <v>249.4238532110092</v>
      </c>
      <c r="H11" s="161">
        <f t="shared" si="0"/>
        <v>189.53394495412846</v>
      </c>
      <c r="I11" s="161">
        <f t="shared" si="0"/>
        <v>155.71376146788992</v>
      </c>
      <c r="J11" s="161">
        <f t="shared" si="2"/>
        <v>20.256</v>
      </c>
      <c r="K11" s="161">
        <f t="shared" si="1"/>
        <v>13.593600000000002</v>
      </c>
      <c r="L11" s="161">
        <f t="shared" si="1"/>
        <v>10.329600000000001</v>
      </c>
      <c r="M11" s="161">
        <f t="shared" si="1"/>
        <v>8.4864000000000015</v>
      </c>
      <c r="N11" s="162">
        <v>1105</v>
      </c>
      <c r="O11" s="162" t="e">
        <f>[3]!Table7[[#This Row],[Ah Rating]]/10</f>
        <v>#REF!</v>
      </c>
      <c r="P11" s="163" t="e">
        <f>[3]!Table7[[#This Row],[Temp]]</f>
        <v>#REF!</v>
      </c>
    </row>
    <row r="12" spans="1:16">
      <c r="A12" s="159" t="s">
        <v>1694</v>
      </c>
      <c r="B12" s="160">
        <v>1299</v>
      </c>
      <c r="C12" s="160">
        <v>871</v>
      </c>
      <c r="D12" s="160">
        <v>662</v>
      </c>
      <c r="E12" s="160">
        <v>544</v>
      </c>
      <c r="F12" s="161">
        <f t="shared" si="0"/>
        <v>457.62935779816519</v>
      </c>
      <c r="G12" s="161">
        <f t="shared" si="0"/>
        <v>306.84770642201835</v>
      </c>
      <c r="H12" s="161">
        <f t="shared" si="0"/>
        <v>233.21834862385322</v>
      </c>
      <c r="I12" s="161">
        <f t="shared" si="0"/>
        <v>191.64770642201836</v>
      </c>
      <c r="J12" s="161">
        <f t="shared" si="2"/>
        <v>24.940800000000003</v>
      </c>
      <c r="K12" s="161">
        <f t="shared" si="1"/>
        <v>16.723200000000002</v>
      </c>
      <c r="L12" s="161">
        <f t="shared" si="1"/>
        <v>12.7104</v>
      </c>
      <c r="M12" s="161">
        <f t="shared" si="1"/>
        <v>10.444800000000001</v>
      </c>
      <c r="N12" s="162">
        <v>1360</v>
      </c>
      <c r="O12" s="162" t="e">
        <f>[3]!Table7[[#This Row],[Ah Rating]]/10</f>
        <v>#REF!</v>
      </c>
      <c r="P12" s="163" t="e">
        <f>[3]!Table7[[#This Row],[Temp]]</f>
        <v>#REF!</v>
      </c>
    </row>
    <row r="13" spans="1:16">
      <c r="A13" s="159" t="s">
        <v>2080</v>
      </c>
      <c r="B13" s="160">
        <v>947</v>
      </c>
      <c r="C13" s="160">
        <v>640</v>
      </c>
      <c r="D13" s="160">
        <v>485</v>
      </c>
      <c r="E13" s="160">
        <v>397</v>
      </c>
      <c r="F13" s="161">
        <f t="shared" si="0"/>
        <v>333.6220183486239</v>
      </c>
      <c r="G13" s="161">
        <f t="shared" si="0"/>
        <v>225.46788990825689</v>
      </c>
      <c r="H13" s="161">
        <f t="shared" si="0"/>
        <v>170.86238532110093</v>
      </c>
      <c r="I13" s="161">
        <f t="shared" si="0"/>
        <v>139.86055045871561</v>
      </c>
      <c r="J13" s="161">
        <f t="shared" si="2"/>
        <v>18.182400000000001</v>
      </c>
      <c r="K13" s="161">
        <f t="shared" si="1"/>
        <v>12.288</v>
      </c>
      <c r="L13" s="161">
        <f t="shared" si="1"/>
        <v>9.3119999999999994</v>
      </c>
      <c r="M13" s="161">
        <f t="shared" si="1"/>
        <v>7.6224000000000007</v>
      </c>
      <c r="N13" s="162">
        <v>1000</v>
      </c>
      <c r="O13" s="162" t="e">
        <f>[3]!Table7[[#This Row],[Ah Rating]]/10</f>
        <v>#REF!</v>
      </c>
      <c r="P13" s="163" t="e">
        <f>[3]!Table7[[#This Row],[Temp]]</f>
        <v>#REF!</v>
      </c>
    </row>
    <row r="14" spans="1:16">
      <c r="A14" s="159" t="s">
        <v>1585</v>
      </c>
      <c r="B14" s="160">
        <v>1136</v>
      </c>
      <c r="C14" s="160">
        <v>768</v>
      </c>
      <c r="D14" s="160">
        <v>582</v>
      </c>
      <c r="E14" s="160">
        <v>476</v>
      </c>
      <c r="F14" s="161">
        <f t="shared" si="0"/>
        <v>400.20550458715599</v>
      </c>
      <c r="G14" s="161">
        <f t="shared" si="0"/>
        <v>270.56146788990827</v>
      </c>
      <c r="H14" s="161">
        <f t="shared" si="0"/>
        <v>205.03486238532111</v>
      </c>
      <c r="I14" s="161">
        <f t="shared" si="0"/>
        <v>167.69174311926608</v>
      </c>
      <c r="J14" s="161">
        <f t="shared" si="2"/>
        <v>21.811199999999999</v>
      </c>
      <c r="K14" s="161">
        <f t="shared" si="1"/>
        <v>14.7456</v>
      </c>
      <c r="L14" s="161">
        <f t="shared" si="1"/>
        <v>11.1744</v>
      </c>
      <c r="M14" s="161">
        <f t="shared" si="1"/>
        <v>9.1392000000000007</v>
      </c>
      <c r="N14" s="162">
        <v>1200</v>
      </c>
      <c r="O14" s="162" t="e">
        <f>[3]!Table7[[#This Row],[Ah Rating]]/10</f>
        <v>#REF!</v>
      </c>
      <c r="P14" s="163" t="e">
        <f>[3]!Table7[[#This Row],[Temp]]</f>
        <v>#REF!</v>
      </c>
    </row>
    <row r="15" spans="1:16">
      <c r="A15" s="159" t="s">
        <v>1588</v>
      </c>
      <c r="B15" s="160">
        <v>1231</v>
      </c>
      <c r="C15" s="160">
        <v>832</v>
      </c>
      <c r="D15" s="160">
        <v>631</v>
      </c>
      <c r="E15" s="160">
        <v>516</v>
      </c>
      <c r="F15" s="161">
        <f t="shared" si="0"/>
        <v>433.67339449541288</v>
      </c>
      <c r="G15" s="161">
        <f t="shared" si="0"/>
        <v>293.10825688073396</v>
      </c>
      <c r="H15" s="161">
        <f t="shared" si="0"/>
        <v>222.29724770642201</v>
      </c>
      <c r="I15" s="161">
        <f t="shared" si="0"/>
        <v>181.78348623853211</v>
      </c>
      <c r="J15" s="161">
        <f t="shared" si="2"/>
        <v>23.635200000000001</v>
      </c>
      <c r="K15" s="161">
        <f t="shared" si="1"/>
        <v>15.974400000000001</v>
      </c>
      <c r="L15" s="161">
        <f t="shared" si="1"/>
        <v>12.1152</v>
      </c>
      <c r="M15" s="161">
        <f t="shared" si="1"/>
        <v>9.9071999999999996</v>
      </c>
      <c r="N15" s="162">
        <v>1300</v>
      </c>
      <c r="O15" s="162" t="e">
        <f>[3]!Table7[[#This Row],[Ah Rating]]/10</f>
        <v>#REF!</v>
      </c>
      <c r="P15" s="163" t="e">
        <f>[3]!Table7[[#This Row],[Temp]]</f>
        <v>#REF!</v>
      </c>
    </row>
    <row r="16" spans="1:16">
      <c r="A16" s="159" t="s">
        <v>1644</v>
      </c>
      <c r="B16" s="160">
        <v>1514</v>
      </c>
      <c r="C16" s="160">
        <v>1024</v>
      </c>
      <c r="D16" s="160">
        <v>777</v>
      </c>
      <c r="E16" s="160">
        <v>635</v>
      </c>
      <c r="F16" s="161">
        <f t="shared" si="0"/>
        <v>533.37247706422022</v>
      </c>
      <c r="G16" s="161">
        <f t="shared" si="0"/>
        <v>360.74862385321103</v>
      </c>
      <c r="H16" s="161">
        <f t="shared" si="0"/>
        <v>273.7321100917431</v>
      </c>
      <c r="I16" s="161">
        <f t="shared" si="0"/>
        <v>223.70642201834863</v>
      </c>
      <c r="J16" s="161">
        <f t="shared" si="2"/>
        <v>29.068800000000003</v>
      </c>
      <c r="K16" s="161">
        <f t="shared" si="1"/>
        <v>19.660800000000002</v>
      </c>
      <c r="L16" s="161">
        <f t="shared" si="1"/>
        <v>14.918399999999998</v>
      </c>
      <c r="M16" s="161">
        <f t="shared" si="1"/>
        <v>12.192</v>
      </c>
      <c r="N16" s="162">
        <v>1600</v>
      </c>
      <c r="O16" s="162" t="e">
        <f>[3]!Table7[[#This Row],[Ah Rating]]/10</f>
        <v>#REF!</v>
      </c>
      <c r="P16" s="163" t="e">
        <f>[3]!Table7[[#This Row],[Temp]]</f>
        <v>#REF!</v>
      </c>
    </row>
    <row r="17" spans="1:16">
      <c r="A17" s="159" t="s">
        <v>1773</v>
      </c>
      <c r="B17" s="160">
        <v>1448</v>
      </c>
      <c r="C17" s="160">
        <v>969</v>
      </c>
      <c r="D17" s="160">
        <v>738</v>
      </c>
      <c r="E17" s="160">
        <v>607</v>
      </c>
      <c r="F17" s="161">
        <f t="shared" si="0"/>
        <v>510.12110091743119</v>
      </c>
      <c r="G17" s="161">
        <f t="shared" si="0"/>
        <v>341.37247706422022</v>
      </c>
      <c r="H17" s="161">
        <f t="shared" si="0"/>
        <v>259.99266055045877</v>
      </c>
      <c r="I17" s="161">
        <f t="shared" si="0"/>
        <v>213.84220183486241</v>
      </c>
      <c r="J17" s="161">
        <f t="shared" si="2"/>
        <v>27.801599999999997</v>
      </c>
      <c r="K17" s="161">
        <f t="shared" si="1"/>
        <v>18.604800000000004</v>
      </c>
      <c r="L17" s="161">
        <f t="shared" si="1"/>
        <v>14.169600000000003</v>
      </c>
      <c r="M17" s="161">
        <f t="shared" si="1"/>
        <v>11.654400000000001</v>
      </c>
      <c r="N17" s="162">
        <v>1500</v>
      </c>
      <c r="O17" s="162" t="e">
        <f>[3]!Table7[[#This Row],[Ah Rating]]/10</f>
        <v>#REF!</v>
      </c>
      <c r="P17" s="163" t="e">
        <f>[3]!Table7[[#This Row],[Temp]]</f>
        <v>#REF!</v>
      </c>
    </row>
    <row r="18" spans="1:16">
      <c r="A18" s="159" t="s">
        <v>1764</v>
      </c>
      <c r="B18" s="160">
        <v>1568</v>
      </c>
      <c r="C18" s="160">
        <v>1050</v>
      </c>
      <c r="D18" s="160">
        <v>799</v>
      </c>
      <c r="E18" s="160">
        <v>658</v>
      </c>
      <c r="F18" s="161">
        <f t="shared" si="0"/>
        <v>552.39633027522939</v>
      </c>
      <c r="G18" s="161">
        <f t="shared" si="0"/>
        <v>369.90825688073397</v>
      </c>
      <c r="H18" s="161">
        <f t="shared" si="0"/>
        <v>281.48256880733942</v>
      </c>
      <c r="I18" s="161">
        <f t="shared" si="0"/>
        <v>231.80917431192663</v>
      </c>
      <c r="J18" s="161">
        <f t="shared" si="2"/>
        <v>30.105600000000003</v>
      </c>
      <c r="K18" s="161">
        <f t="shared" si="1"/>
        <v>20.16</v>
      </c>
      <c r="L18" s="161">
        <f t="shared" si="1"/>
        <v>15.340799999999998</v>
      </c>
      <c r="M18" s="161">
        <f t="shared" si="1"/>
        <v>12.633599999999999</v>
      </c>
      <c r="N18" s="162">
        <v>1625</v>
      </c>
      <c r="O18" s="162" t="e">
        <f>[3]!Table7[[#This Row],[Ah Rating]]/10</f>
        <v>#REF!</v>
      </c>
      <c r="P18" s="163" t="e">
        <f>[3]!Table7[[#This Row],[Temp]]</f>
        <v>#REF!</v>
      </c>
    </row>
    <row r="19" spans="1:16">
      <c r="A19" s="159" t="s">
        <v>1592</v>
      </c>
      <c r="B19" s="160">
        <v>1930</v>
      </c>
      <c r="C19" s="160">
        <v>1292</v>
      </c>
      <c r="D19" s="160">
        <v>984</v>
      </c>
      <c r="E19" s="160">
        <v>810</v>
      </c>
      <c r="F19" s="161">
        <f t="shared" si="0"/>
        <v>679.9266055045872</v>
      </c>
      <c r="G19" s="161">
        <f t="shared" si="0"/>
        <v>455.16330275229359</v>
      </c>
      <c r="H19" s="161">
        <f t="shared" si="0"/>
        <v>346.65688073394494</v>
      </c>
      <c r="I19" s="161">
        <f t="shared" si="0"/>
        <v>285.35779816513758</v>
      </c>
      <c r="J19" s="161">
        <f t="shared" si="2"/>
        <v>37.055999999999997</v>
      </c>
      <c r="K19" s="161">
        <f t="shared" si="1"/>
        <v>24.8064</v>
      </c>
      <c r="L19" s="161">
        <f t="shared" si="1"/>
        <v>18.892799999999998</v>
      </c>
      <c r="M19" s="161">
        <f t="shared" si="1"/>
        <v>15.551999999999998</v>
      </c>
      <c r="N19" s="162">
        <v>2000</v>
      </c>
      <c r="O19" s="162" t="e">
        <f>[3]!Table7[[#This Row],[Ah Rating]]/10</f>
        <v>#REF!</v>
      </c>
      <c r="P19" s="163" t="e">
        <f>[3]!Table7[[#This Row],[Temp]]</f>
        <v>#REF!</v>
      </c>
    </row>
    <row r="20" spans="1:16">
      <c r="A20" s="164" t="s">
        <v>1605</v>
      </c>
      <c r="B20" s="160">
        <v>195.7</v>
      </c>
      <c r="C20" s="160">
        <v>115</v>
      </c>
      <c r="D20" s="160">
        <v>82.5</v>
      </c>
      <c r="E20" s="160">
        <v>65</v>
      </c>
      <c r="F20" s="161">
        <f t="shared" ref="F20:I52" si="3">((B20*24)/54.5)*0.8</f>
        <v>68.94385321100917</v>
      </c>
      <c r="G20" s="161">
        <f t="shared" si="3"/>
        <v>40.513761467889907</v>
      </c>
      <c r="H20" s="161">
        <f t="shared" si="3"/>
        <v>29.064220183486238</v>
      </c>
      <c r="I20" s="161">
        <f t="shared" si="3"/>
        <v>22.899082568807341</v>
      </c>
      <c r="J20" s="161">
        <f t="shared" si="2"/>
        <v>3.7574399999999994</v>
      </c>
      <c r="K20" s="161">
        <f t="shared" si="2"/>
        <v>2.2080000000000002</v>
      </c>
      <c r="L20" s="161">
        <f t="shared" si="2"/>
        <v>1.5840000000000001</v>
      </c>
      <c r="M20" s="161">
        <f t="shared" si="2"/>
        <v>1.248</v>
      </c>
      <c r="N20" s="162">
        <v>150</v>
      </c>
      <c r="O20" s="162" t="e">
        <f>[3]!Table7[[#This Row],[Ah Rating]]/10</f>
        <v>#REF!</v>
      </c>
      <c r="P20" s="163" t="e">
        <f>[3]!Table7[[#This Row],[Temp]]</f>
        <v>#REF!</v>
      </c>
    </row>
    <row r="21" spans="1:16">
      <c r="A21" s="164" t="s">
        <v>2081</v>
      </c>
      <c r="B21" s="160">
        <v>126.8</v>
      </c>
      <c r="C21" s="160">
        <v>71.099999999999994</v>
      </c>
      <c r="D21" s="160">
        <v>51.9</v>
      </c>
      <c r="E21" s="160">
        <v>41.5</v>
      </c>
      <c r="F21" s="161">
        <f t="shared" si="3"/>
        <v>44.670825688073393</v>
      </c>
      <c r="G21" s="161">
        <f t="shared" si="3"/>
        <v>25.048073394495411</v>
      </c>
      <c r="H21" s="161">
        <f t="shared" si="3"/>
        <v>18.284036697247707</v>
      </c>
      <c r="I21" s="161">
        <f t="shared" si="3"/>
        <v>14.620183486238531</v>
      </c>
      <c r="J21" s="161">
        <f t="shared" si="2"/>
        <v>2.4345599999999998</v>
      </c>
      <c r="K21" s="161">
        <f t="shared" si="2"/>
        <v>1.3651199999999999</v>
      </c>
      <c r="L21" s="161">
        <f t="shared" si="2"/>
        <v>0.99648000000000003</v>
      </c>
      <c r="M21" s="161">
        <f t="shared" si="2"/>
        <v>0.79679999999999995</v>
      </c>
      <c r="N21" s="162">
        <v>100</v>
      </c>
      <c r="O21" s="162" t="e">
        <f>[3]!Table7[[#This Row],[Ah Rating]]/10</f>
        <v>#REF!</v>
      </c>
      <c r="P21" s="163" t="e">
        <f>[3]!Table7[[#This Row],[Temp]]</f>
        <v>#REF!</v>
      </c>
    </row>
    <row r="22" spans="1:16">
      <c r="A22" s="164" t="s">
        <v>1753</v>
      </c>
      <c r="B22" s="160">
        <v>263.60000000000002</v>
      </c>
      <c r="C22" s="160">
        <v>154.6</v>
      </c>
      <c r="D22" s="160">
        <v>110.5</v>
      </c>
      <c r="E22" s="160">
        <v>86.3</v>
      </c>
      <c r="F22" s="161">
        <f t="shared" si="3"/>
        <v>92.864587155963306</v>
      </c>
      <c r="G22" s="161">
        <f t="shared" si="3"/>
        <v>54.464587155963301</v>
      </c>
      <c r="H22" s="161">
        <f t="shared" si="3"/>
        <v>38.928440366972481</v>
      </c>
      <c r="I22" s="161">
        <f t="shared" si="3"/>
        <v>30.402935779816513</v>
      </c>
      <c r="J22" s="161">
        <f t="shared" si="2"/>
        <v>5.0611199999999998</v>
      </c>
      <c r="K22" s="161">
        <f t="shared" si="2"/>
        <v>2.9683199999999998</v>
      </c>
      <c r="L22" s="161">
        <f t="shared" si="2"/>
        <v>2.1216000000000004</v>
      </c>
      <c r="M22" s="161">
        <f t="shared" si="2"/>
        <v>1.65696</v>
      </c>
      <c r="N22" s="162">
        <v>190</v>
      </c>
      <c r="O22" s="162" t="e">
        <f>[3]!Table7[[#This Row],[Ah Rating]]/10</f>
        <v>#REF!</v>
      </c>
      <c r="P22" s="163" t="e">
        <f>[3]!Table7[[#This Row],[Temp]]</f>
        <v>#REF!</v>
      </c>
    </row>
    <row r="23" spans="1:16">
      <c r="A23" s="164" t="s">
        <v>1679</v>
      </c>
      <c r="B23" s="160">
        <v>131</v>
      </c>
      <c r="C23" s="160">
        <v>79</v>
      </c>
      <c r="D23" s="160">
        <v>57</v>
      </c>
      <c r="E23" s="160">
        <v>45</v>
      </c>
      <c r="F23" s="161">
        <f t="shared" si="3"/>
        <v>46.150458715596329</v>
      </c>
      <c r="G23" s="161">
        <f t="shared" si="3"/>
        <v>27.83119266055046</v>
      </c>
      <c r="H23" s="161">
        <f t="shared" si="3"/>
        <v>20.08073394495413</v>
      </c>
      <c r="I23" s="161">
        <f t="shared" si="3"/>
        <v>15.853211009174311</v>
      </c>
      <c r="J23" s="161">
        <f t="shared" si="2"/>
        <v>2.5151999999999997</v>
      </c>
      <c r="K23" s="161">
        <f t="shared" si="2"/>
        <v>1.5168000000000001</v>
      </c>
      <c r="L23" s="161">
        <f t="shared" si="2"/>
        <v>1.0944</v>
      </c>
      <c r="M23" s="161">
        <f t="shared" si="2"/>
        <v>0.86399999999999999</v>
      </c>
      <c r="N23" s="162">
        <v>100</v>
      </c>
      <c r="O23" s="162" t="e">
        <f>[3]!Table7[[#This Row],[Ah Rating]]/10</f>
        <v>#REF!</v>
      </c>
      <c r="P23" s="163" t="e">
        <f>[3]!Table7[[#This Row],[Temp]]</f>
        <v>#REF!</v>
      </c>
    </row>
    <row r="24" spans="1:16">
      <c r="A24" s="164" t="s">
        <v>1721</v>
      </c>
      <c r="B24" s="160">
        <v>130</v>
      </c>
      <c r="C24" s="160">
        <v>78</v>
      </c>
      <c r="D24" s="160">
        <v>56</v>
      </c>
      <c r="E24" s="160">
        <v>45</v>
      </c>
      <c r="F24" s="161">
        <f t="shared" si="3"/>
        <v>45.798165137614681</v>
      </c>
      <c r="G24" s="161">
        <f t="shared" si="3"/>
        <v>27.478899082568809</v>
      </c>
      <c r="H24" s="161">
        <f t="shared" si="3"/>
        <v>19.728440366972478</v>
      </c>
      <c r="I24" s="161">
        <f t="shared" si="3"/>
        <v>15.853211009174311</v>
      </c>
      <c r="J24" s="161">
        <f t="shared" si="2"/>
        <v>2.496</v>
      </c>
      <c r="K24" s="161">
        <f t="shared" si="2"/>
        <v>1.4976</v>
      </c>
      <c r="L24" s="161">
        <f t="shared" si="2"/>
        <v>1.0752000000000002</v>
      </c>
      <c r="M24" s="161">
        <f t="shared" si="2"/>
        <v>0.86399999999999999</v>
      </c>
      <c r="N24" s="162">
        <v>105</v>
      </c>
      <c r="O24" s="162" t="e">
        <f>[3]!Table7[[#This Row],[Ah Rating]]/10</f>
        <v>#REF!</v>
      </c>
      <c r="P24" s="163" t="e">
        <f>[3]!Table7[[#This Row],[Temp]]</f>
        <v>#REF!</v>
      </c>
    </row>
    <row r="25" spans="1:16">
      <c r="A25" s="164" t="s">
        <v>1921</v>
      </c>
      <c r="B25" s="160">
        <v>145</v>
      </c>
      <c r="C25" s="160">
        <v>88</v>
      </c>
      <c r="D25" s="160">
        <v>65</v>
      </c>
      <c r="E25" s="160">
        <v>52</v>
      </c>
      <c r="F25" s="161">
        <f t="shared" si="3"/>
        <v>51.082568807339449</v>
      </c>
      <c r="G25" s="161">
        <f t="shared" si="3"/>
        <v>31.001834862385323</v>
      </c>
      <c r="H25" s="161">
        <f t="shared" si="3"/>
        <v>22.899082568807341</v>
      </c>
      <c r="I25" s="161">
        <f t="shared" si="3"/>
        <v>18.319266055045873</v>
      </c>
      <c r="J25" s="161">
        <f t="shared" si="2"/>
        <v>2.7839999999999998</v>
      </c>
      <c r="K25" s="161">
        <f t="shared" si="2"/>
        <v>1.6896000000000002</v>
      </c>
      <c r="L25" s="161">
        <f t="shared" si="2"/>
        <v>1.248</v>
      </c>
      <c r="M25" s="161">
        <f t="shared" si="2"/>
        <v>0.99840000000000007</v>
      </c>
      <c r="N25" s="162">
        <v>125</v>
      </c>
      <c r="O25" s="162" t="e">
        <f>[3]!Table7[[#This Row],[Ah Rating]]/10</f>
        <v>#REF!</v>
      </c>
      <c r="P25" s="163" t="e">
        <f>[3]!Table7[[#This Row],[Temp]]</f>
        <v>#REF!</v>
      </c>
    </row>
    <row r="26" spans="1:16">
      <c r="A26" s="164" t="s">
        <v>1865</v>
      </c>
      <c r="B26" s="160">
        <v>120</v>
      </c>
      <c r="C26" s="160">
        <v>70</v>
      </c>
      <c r="D26" s="160">
        <v>50</v>
      </c>
      <c r="E26" s="160">
        <v>39</v>
      </c>
      <c r="F26" s="161">
        <f t="shared" si="3"/>
        <v>42.275229357798167</v>
      </c>
      <c r="G26" s="161">
        <f t="shared" si="3"/>
        <v>24.660550458715598</v>
      </c>
      <c r="H26" s="161">
        <f t="shared" si="3"/>
        <v>17.61467889908257</v>
      </c>
      <c r="I26" s="161">
        <f t="shared" si="3"/>
        <v>13.739449541284404</v>
      </c>
      <c r="J26" s="161">
        <f t="shared" si="2"/>
        <v>2.3039999999999998</v>
      </c>
      <c r="K26" s="161">
        <f t="shared" si="2"/>
        <v>1.3440000000000001</v>
      </c>
      <c r="L26" s="161">
        <f t="shared" si="2"/>
        <v>0.96</v>
      </c>
      <c r="M26" s="161">
        <f t="shared" si="2"/>
        <v>0.74880000000000002</v>
      </c>
      <c r="N26" s="162">
        <v>92</v>
      </c>
      <c r="O26" s="162" t="e">
        <f>[3]!Table7[[#This Row],[Ah Rating]]/10</f>
        <v>#REF!</v>
      </c>
      <c r="P26" s="163" t="e">
        <f>[3]!Table7[[#This Row],[Temp]]</f>
        <v>#REF!</v>
      </c>
    </row>
    <row r="27" spans="1:16">
      <c r="A27" s="164" t="s">
        <v>2082</v>
      </c>
      <c r="B27" s="160">
        <v>632</v>
      </c>
      <c r="C27" s="160">
        <v>361</v>
      </c>
      <c r="D27" s="160">
        <v>269</v>
      </c>
      <c r="E27" s="160">
        <v>214</v>
      </c>
      <c r="F27" s="161">
        <f t="shared" si="3"/>
        <v>222.64954128440368</v>
      </c>
      <c r="G27" s="161">
        <f t="shared" si="3"/>
        <v>127.17798165137616</v>
      </c>
      <c r="H27" s="161">
        <f t="shared" si="3"/>
        <v>94.766972477064229</v>
      </c>
      <c r="I27" s="161">
        <f t="shared" si="3"/>
        <v>75.390825688073392</v>
      </c>
      <c r="J27" s="161">
        <f t="shared" si="2"/>
        <v>12.134400000000001</v>
      </c>
      <c r="K27" s="161">
        <f t="shared" si="2"/>
        <v>6.9312000000000005</v>
      </c>
      <c r="L27" s="161">
        <f t="shared" si="2"/>
        <v>5.1648000000000005</v>
      </c>
      <c r="M27" s="161">
        <f t="shared" si="2"/>
        <v>4.1088000000000005</v>
      </c>
      <c r="N27" s="162">
        <v>516</v>
      </c>
      <c r="O27" s="162" t="e">
        <f>[3]!Table7[[#This Row],[Ah Rating]]/10</f>
        <v>#REF!</v>
      </c>
      <c r="P27" s="163" t="e">
        <f>[3]!Table7[[#This Row],[Temp]]</f>
        <v>#REF!</v>
      </c>
    </row>
    <row r="28" spans="1:16">
      <c r="A28" s="164" t="s">
        <v>1738</v>
      </c>
      <c r="B28" s="160">
        <v>138</v>
      </c>
      <c r="C28" s="160">
        <v>81</v>
      </c>
      <c r="D28" s="160">
        <v>58</v>
      </c>
      <c r="E28" s="160">
        <v>45</v>
      </c>
      <c r="F28" s="161">
        <f t="shared" si="3"/>
        <v>48.616513761467893</v>
      </c>
      <c r="G28" s="161">
        <f t="shared" si="3"/>
        <v>28.535779816513767</v>
      </c>
      <c r="H28" s="161">
        <f t="shared" si="3"/>
        <v>20.433027522935781</v>
      </c>
      <c r="I28" s="161">
        <f t="shared" si="3"/>
        <v>15.853211009174311</v>
      </c>
      <c r="J28" s="161">
        <f t="shared" si="2"/>
        <v>2.6496000000000004</v>
      </c>
      <c r="K28" s="161">
        <f t="shared" si="2"/>
        <v>1.5552000000000004</v>
      </c>
      <c r="L28" s="161">
        <f t="shared" si="2"/>
        <v>1.1136000000000001</v>
      </c>
      <c r="M28" s="161">
        <f t="shared" si="2"/>
        <v>0.86399999999999999</v>
      </c>
      <c r="N28" s="162">
        <v>100</v>
      </c>
      <c r="O28" s="162" t="e">
        <f>[3]!Table7[[#This Row],[Ah Rating]]/10</f>
        <v>#REF!</v>
      </c>
      <c r="P28" s="163" t="e">
        <f>[3]!Table7[[#This Row],[Temp]]</f>
        <v>#REF!</v>
      </c>
    </row>
    <row r="29" spans="1:16">
      <c r="A29" s="164" t="s">
        <v>2083</v>
      </c>
      <c r="B29" s="160">
        <v>650.6</v>
      </c>
      <c r="C29" s="160">
        <v>452.8</v>
      </c>
      <c r="D29" s="160">
        <v>347.2</v>
      </c>
      <c r="E29" s="160">
        <v>282.5</v>
      </c>
      <c r="F29" s="161">
        <f t="shared" si="3"/>
        <v>229.20220183486242</v>
      </c>
      <c r="G29" s="161">
        <f t="shared" si="3"/>
        <v>159.51853211009177</v>
      </c>
      <c r="H29" s="161">
        <f t="shared" si="3"/>
        <v>122.31633027522935</v>
      </c>
      <c r="I29" s="161">
        <f t="shared" si="3"/>
        <v>99.522935779816521</v>
      </c>
      <c r="J29" s="161">
        <f t="shared" si="2"/>
        <v>12.491520000000003</v>
      </c>
      <c r="K29" s="161">
        <f t="shared" si="2"/>
        <v>8.6937600000000028</v>
      </c>
      <c r="L29" s="161">
        <f t="shared" si="2"/>
        <v>6.6662400000000002</v>
      </c>
      <c r="M29" s="161">
        <f t="shared" si="2"/>
        <v>5.4240000000000004</v>
      </c>
      <c r="N29" s="162">
        <v>680</v>
      </c>
      <c r="O29" s="162" t="e">
        <f>[3]!Table7[[#This Row],[Ah Rating]]/10</f>
        <v>#REF!</v>
      </c>
      <c r="P29" s="163" t="e">
        <f>[3]!Table7[[#This Row],[Temp]]</f>
        <v>#REF!</v>
      </c>
    </row>
    <row r="30" spans="1:16">
      <c r="A30" s="164" t="s">
        <v>2084</v>
      </c>
      <c r="B30" s="160">
        <v>459.2</v>
      </c>
      <c r="C30" s="160">
        <v>319.60000000000002</v>
      </c>
      <c r="D30" s="160">
        <v>245.1</v>
      </c>
      <c r="E30" s="160">
        <v>199.4</v>
      </c>
      <c r="F30" s="161">
        <f t="shared" si="3"/>
        <v>161.7732110091743</v>
      </c>
      <c r="G30" s="161">
        <f t="shared" si="3"/>
        <v>112.5930275229358</v>
      </c>
      <c r="H30" s="161">
        <f t="shared" si="3"/>
        <v>86.347155963302754</v>
      </c>
      <c r="I30" s="161">
        <f t="shared" si="3"/>
        <v>70.247339449541286</v>
      </c>
      <c r="J30" s="161">
        <f t="shared" si="2"/>
        <v>8.8166399999999996</v>
      </c>
      <c r="K30" s="161">
        <f t="shared" si="2"/>
        <v>6.1363200000000004</v>
      </c>
      <c r="L30" s="161">
        <f t="shared" si="2"/>
        <v>4.7059199999999999</v>
      </c>
      <c r="M30" s="161">
        <f t="shared" si="2"/>
        <v>3.8284799999999999</v>
      </c>
      <c r="N30" s="162">
        <v>480</v>
      </c>
      <c r="O30" s="162" t="e">
        <f>[3]!Table7[[#This Row],[Ah Rating]]/10</f>
        <v>#REF!</v>
      </c>
      <c r="P30" s="163" t="e">
        <f>[3]!Table7[[#This Row],[Temp]]</f>
        <v>#REF!</v>
      </c>
    </row>
    <row r="31" spans="1:16">
      <c r="A31" s="164" t="s">
        <v>2085</v>
      </c>
      <c r="B31" s="160">
        <v>177</v>
      </c>
      <c r="C31" s="160">
        <v>107</v>
      </c>
      <c r="D31" s="160">
        <v>79</v>
      </c>
      <c r="E31" s="160">
        <v>63</v>
      </c>
      <c r="F31" s="161">
        <f t="shared" si="3"/>
        <v>62.355963302752301</v>
      </c>
      <c r="G31" s="161">
        <f t="shared" si="3"/>
        <v>37.695412844036696</v>
      </c>
      <c r="H31" s="161">
        <f t="shared" si="3"/>
        <v>27.83119266055046</v>
      </c>
      <c r="I31" s="161">
        <f t="shared" si="3"/>
        <v>22.194495412844038</v>
      </c>
      <c r="J31" s="161">
        <f t="shared" si="2"/>
        <v>3.3984000000000005</v>
      </c>
      <c r="K31" s="161">
        <f t="shared" si="2"/>
        <v>2.0544000000000002</v>
      </c>
      <c r="L31" s="161">
        <f t="shared" si="2"/>
        <v>1.5168000000000001</v>
      </c>
      <c r="M31" s="161">
        <f t="shared" si="2"/>
        <v>1.2096000000000002</v>
      </c>
      <c r="N31" s="162">
        <v>150</v>
      </c>
      <c r="O31" s="162" t="e">
        <f>[3]!Table7[[#This Row],[Ah Rating]]/10</f>
        <v>#REF!</v>
      </c>
      <c r="P31" s="163" t="e">
        <f>[3]!Table7[[#This Row],[Temp]]</f>
        <v>#REF!</v>
      </c>
    </row>
    <row r="32" spans="1:16">
      <c r="A32" s="164" t="s">
        <v>1803</v>
      </c>
      <c r="B32" s="160">
        <v>1889</v>
      </c>
      <c r="C32" s="160">
        <v>1258</v>
      </c>
      <c r="D32" s="160">
        <v>938</v>
      </c>
      <c r="E32" s="160">
        <v>760</v>
      </c>
      <c r="F32" s="161">
        <f t="shared" si="3"/>
        <v>665.48256880733948</v>
      </c>
      <c r="G32" s="161">
        <f t="shared" si="3"/>
        <v>443.18532110091746</v>
      </c>
      <c r="H32" s="161">
        <f t="shared" si="3"/>
        <v>330.45137614678902</v>
      </c>
      <c r="I32" s="161">
        <f t="shared" si="3"/>
        <v>267.74311926605509</v>
      </c>
      <c r="J32" s="161">
        <f t="shared" si="2"/>
        <v>36.268800000000006</v>
      </c>
      <c r="K32" s="161">
        <f t="shared" si="2"/>
        <v>24.153600000000001</v>
      </c>
      <c r="L32" s="161">
        <f t="shared" si="2"/>
        <v>18.009600000000002</v>
      </c>
      <c r="M32" s="161">
        <f t="shared" si="2"/>
        <v>14.592000000000002</v>
      </c>
      <c r="N32" s="162">
        <v>1870</v>
      </c>
      <c r="O32" s="162" t="e">
        <f>[3]!Table7[[#This Row],[Ah Rating]]/10</f>
        <v>#REF!</v>
      </c>
      <c r="P32" s="163" t="e">
        <f>[3]!Table7[[#This Row],[Temp]]</f>
        <v>#REF!</v>
      </c>
    </row>
    <row r="33" spans="1:16">
      <c r="A33" s="164" t="s">
        <v>2086</v>
      </c>
      <c r="B33" s="160">
        <v>202</v>
      </c>
      <c r="C33" s="160">
        <v>122</v>
      </c>
      <c r="D33" s="160">
        <v>89.4</v>
      </c>
      <c r="E33" s="160">
        <v>71.3</v>
      </c>
      <c r="F33" s="161">
        <f t="shared" si="3"/>
        <v>71.163302752293575</v>
      </c>
      <c r="G33" s="161">
        <f t="shared" si="3"/>
        <v>42.97981651376147</v>
      </c>
      <c r="H33" s="161">
        <f t="shared" si="3"/>
        <v>31.49504587155964</v>
      </c>
      <c r="I33" s="161">
        <f t="shared" si="3"/>
        <v>25.118532110091742</v>
      </c>
      <c r="J33" s="161">
        <f t="shared" si="2"/>
        <v>3.8783999999999996</v>
      </c>
      <c r="K33" s="161">
        <f t="shared" si="2"/>
        <v>2.3424</v>
      </c>
      <c r="L33" s="161">
        <f t="shared" si="2"/>
        <v>1.7164800000000004</v>
      </c>
      <c r="M33" s="161">
        <f t="shared" si="2"/>
        <v>1.36896</v>
      </c>
      <c r="N33" s="162">
        <v>170</v>
      </c>
      <c r="O33" s="162" t="e">
        <f>[3]!Table7[[#This Row],[Ah Rating]]/10</f>
        <v>#REF!</v>
      </c>
      <c r="P33" s="163" t="e">
        <f>[3]!Table7[[#This Row],[Temp]]</f>
        <v>#REF!</v>
      </c>
    </row>
    <row r="34" spans="1:16">
      <c r="A34" s="164" t="s">
        <v>2087</v>
      </c>
      <c r="B34" s="160">
        <v>2727</v>
      </c>
      <c r="C34" s="160">
        <v>1816</v>
      </c>
      <c r="D34" s="160">
        <v>1355</v>
      </c>
      <c r="E34" s="160">
        <v>1097</v>
      </c>
      <c r="F34" s="161">
        <f t="shared" si="3"/>
        <v>960.70458715596328</v>
      </c>
      <c r="G34" s="161">
        <f t="shared" si="3"/>
        <v>639.76513761467891</v>
      </c>
      <c r="H34" s="161">
        <f t="shared" si="3"/>
        <v>477.35779816513764</v>
      </c>
      <c r="I34" s="161">
        <f t="shared" si="3"/>
        <v>386.4660550458716</v>
      </c>
      <c r="J34" s="161">
        <f t="shared" si="2"/>
        <v>52.358400000000003</v>
      </c>
      <c r="K34" s="161">
        <f t="shared" si="2"/>
        <v>34.867199999999997</v>
      </c>
      <c r="L34" s="161">
        <f t="shared" si="2"/>
        <v>26.015999999999998</v>
      </c>
      <c r="M34" s="161">
        <f t="shared" si="2"/>
        <v>21.0624</v>
      </c>
      <c r="N34" s="162">
        <v>2700</v>
      </c>
      <c r="O34" s="162" t="e">
        <f>[3]!Table7[[#This Row],[Ah Rating]]/10</f>
        <v>#REF!</v>
      </c>
      <c r="P34" s="163" t="e">
        <f>[3]!Table7[[#This Row],[Temp]]</f>
        <v>#REF!</v>
      </c>
    </row>
    <row r="35" spans="1:16">
      <c r="A35" s="164" t="s">
        <v>2088</v>
      </c>
      <c r="B35" s="160">
        <v>210</v>
      </c>
      <c r="C35" s="160">
        <v>120</v>
      </c>
      <c r="D35" s="160">
        <v>90</v>
      </c>
      <c r="E35" s="160">
        <v>71</v>
      </c>
      <c r="F35" s="161">
        <f t="shared" si="3"/>
        <v>73.9816513761468</v>
      </c>
      <c r="G35" s="161">
        <f t="shared" si="3"/>
        <v>42.275229357798167</v>
      </c>
      <c r="H35" s="161">
        <f t="shared" si="3"/>
        <v>31.706422018348622</v>
      </c>
      <c r="I35" s="161">
        <f t="shared" si="3"/>
        <v>25.012844036697249</v>
      </c>
      <c r="J35" s="161">
        <f t="shared" si="2"/>
        <v>4.032</v>
      </c>
      <c r="K35" s="161">
        <f t="shared" si="2"/>
        <v>2.3039999999999998</v>
      </c>
      <c r="L35" s="161">
        <f t="shared" si="2"/>
        <v>1.728</v>
      </c>
      <c r="M35" s="161">
        <f t="shared" si="2"/>
        <v>1.3632</v>
      </c>
      <c r="N35" s="162">
        <v>165</v>
      </c>
      <c r="O35" s="162" t="e">
        <f>[3]!Table7[[#This Row],[Ah Rating]]/10</f>
        <v>#REF!</v>
      </c>
      <c r="P35" s="163" t="e">
        <f>[3]!Table7[[#This Row],[Temp]]</f>
        <v>#REF!</v>
      </c>
    </row>
    <row r="36" spans="1:16">
      <c r="A36" s="166" t="s">
        <v>1600</v>
      </c>
      <c r="B36" s="160">
        <v>121</v>
      </c>
      <c r="C36" s="160">
        <v>71</v>
      </c>
      <c r="D36" s="160">
        <v>50</v>
      </c>
      <c r="E36" s="160">
        <v>40</v>
      </c>
      <c r="F36" s="161">
        <f t="shared" si="3"/>
        <v>42.627522935779815</v>
      </c>
      <c r="G36" s="161">
        <f t="shared" si="3"/>
        <v>25.012844036697249</v>
      </c>
      <c r="H36" s="161">
        <f t="shared" si="3"/>
        <v>17.61467889908257</v>
      </c>
      <c r="I36" s="161">
        <f t="shared" si="3"/>
        <v>14.091743119266056</v>
      </c>
      <c r="J36" s="169">
        <f t="shared" si="2"/>
        <v>2.3231999999999999</v>
      </c>
      <c r="K36" s="169">
        <f t="shared" si="2"/>
        <v>1.3632</v>
      </c>
      <c r="L36" s="169">
        <f t="shared" si="2"/>
        <v>0.96</v>
      </c>
      <c r="M36" s="169">
        <f t="shared" si="2"/>
        <v>0.76800000000000002</v>
      </c>
      <c r="N36" s="162">
        <v>92</v>
      </c>
      <c r="O36" s="162" t="e">
        <f>[3]!Table7[[#This Row],[Ah Rating]]/10</f>
        <v>#REF!</v>
      </c>
      <c r="P36" s="163" t="e">
        <f>[3]!Table7[[#This Row],[Temp]]</f>
        <v>#REF!</v>
      </c>
    </row>
    <row r="37" spans="1:16">
      <c r="A37" s="166" t="s">
        <v>2089</v>
      </c>
      <c r="B37" s="160">
        <v>194</v>
      </c>
      <c r="C37" s="160">
        <v>112</v>
      </c>
      <c r="D37" s="160">
        <v>81.900000000000006</v>
      </c>
      <c r="E37" s="160">
        <v>65.599999999999994</v>
      </c>
      <c r="F37" s="161">
        <f t="shared" si="3"/>
        <v>68.344954128440378</v>
      </c>
      <c r="G37" s="161">
        <f t="shared" si="3"/>
        <v>39.456880733944956</v>
      </c>
      <c r="H37" s="161">
        <f t="shared" si="3"/>
        <v>28.852844036697253</v>
      </c>
      <c r="I37" s="161">
        <f t="shared" si="3"/>
        <v>23.11045871559633</v>
      </c>
      <c r="J37" s="169">
        <f t="shared" ref="J37:M52" si="4">(F37*54.5)/1000</f>
        <v>3.7248000000000006</v>
      </c>
      <c r="K37" s="169">
        <f t="shared" si="4"/>
        <v>2.1504000000000003</v>
      </c>
      <c r="L37" s="169">
        <f t="shared" si="4"/>
        <v>1.5724800000000003</v>
      </c>
      <c r="M37" s="169">
        <f t="shared" si="4"/>
        <v>1.25952</v>
      </c>
      <c r="N37" s="162">
        <v>160</v>
      </c>
      <c r="O37" s="162" t="e">
        <f>[3]!Table7[[#This Row],[Ah Rating]]/10</f>
        <v>#REF!</v>
      </c>
      <c r="P37" s="163" t="e">
        <f>[3]!Table7[[#This Row],[Temp]]</f>
        <v>#REF!</v>
      </c>
    </row>
    <row r="38" spans="1:16">
      <c r="A38" s="166" t="s">
        <v>2090</v>
      </c>
      <c r="B38" s="160">
        <v>890</v>
      </c>
      <c r="C38" s="160">
        <v>566</v>
      </c>
      <c r="D38" s="160">
        <v>426</v>
      </c>
      <c r="E38" s="160">
        <v>343</v>
      </c>
      <c r="F38" s="161">
        <f t="shared" si="3"/>
        <v>313.54128440366975</v>
      </c>
      <c r="G38" s="161">
        <f t="shared" si="3"/>
        <v>199.39816513761468</v>
      </c>
      <c r="H38" s="161">
        <f t="shared" si="3"/>
        <v>150.07706422018347</v>
      </c>
      <c r="I38" s="161">
        <f t="shared" si="3"/>
        <v>120.83669724770641</v>
      </c>
      <c r="J38" s="169">
        <f t="shared" si="4"/>
        <v>17.088000000000001</v>
      </c>
      <c r="K38" s="169">
        <f t="shared" si="4"/>
        <v>10.8672</v>
      </c>
      <c r="L38" s="169">
        <f t="shared" si="4"/>
        <v>8.179199999999998</v>
      </c>
      <c r="M38" s="169">
        <f t="shared" si="4"/>
        <v>6.5855999999999995</v>
      </c>
      <c r="N38" s="162">
        <v>800</v>
      </c>
      <c r="O38" s="162" t="e">
        <f>[3]!Table7[[#This Row],[Ah Rating]]/10</f>
        <v>#REF!</v>
      </c>
      <c r="P38" s="163" t="e">
        <f>[3]!Table7[[#This Row],[Temp]]</f>
        <v>#REF!</v>
      </c>
    </row>
    <row r="39" spans="1:16">
      <c r="A39" s="166" t="s">
        <v>1627</v>
      </c>
      <c r="B39" s="179">
        <v>1112</v>
      </c>
      <c r="C39" s="179">
        <v>707</v>
      </c>
      <c r="D39" s="179">
        <v>532</v>
      </c>
      <c r="E39" s="180">
        <v>429</v>
      </c>
      <c r="F39" s="161">
        <f t="shared" si="3"/>
        <v>391.75045871559632</v>
      </c>
      <c r="G39" s="161">
        <f t="shared" si="3"/>
        <v>249.07155963302753</v>
      </c>
      <c r="H39" s="161">
        <f t="shared" si="3"/>
        <v>187.42018348623856</v>
      </c>
      <c r="I39" s="161">
        <f t="shared" si="3"/>
        <v>151.13394495412845</v>
      </c>
      <c r="J39" s="169">
        <f t="shared" si="4"/>
        <v>21.3504</v>
      </c>
      <c r="K39" s="169">
        <f t="shared" si="4"/>
        <v>13.574400000000001</v>
      </c>
      <c r="L39" s="169">
        <f t="shared" si="4"/>
        <v>10.214400000000001</v>
      </c>
      <c r="M39" s="169">
        <f t="shared" si="4"/>
        <v>8.2368000000000006</v>
      </c>
      <c r="N39" s="162">
        <v>1000</v>
      </c>
      <c r="O39" s="162" t="e">
        <f>[3]!Table7[[#This Row],[Ah Rating]]/10</f>
        <v>#REF!</v>
      </c>
      <c r="P39" s="163" t="e">
        <f>[3]!Table7[[#This Row],[Temp]]</f>
        <v>#REF!</v>
      </c>
    </row>
    <row r="40" spans="1:16">
      <c r="A40" s="166" t="s">
        <v>1632</v>
      </c>
      <c r="B40" s="179">
        <v>1372</v>
      </c>
      <c r="C40" s="179">
        <v>930</v>
      </c>
      <c r="D40" s="179">
        <v>708</v>
      </c>
      <c r="E40" s="180">
        <v>579</v>
      </c>
      <c r="F40" s="161">
        <f t="shared" si="3"/>
        <v>483.34678899082564</v>
      </c>
      <c r="G40" s="161">
        <f t="shared" si="3"/>
        <v>327.63302752293583</v>
      </c>
      <c r="H40" s="161">
        <f t="shared" si="3"/>
        <v>249.4238532110092</v>
      </c>
      <c r="I40" s="161">
        <f t="shared" si="3"/>
        <v>203.97798165137615</v>
      </c>
      <c r="J40" s="169">
        <f t="shared" si="4"/>
        <v>26.342399999999998</v>
      </c>
      <c r="K40" s="169">
        <f t="shared" si="4"/>
        <v>17.856000000000005</v>
      </c>
      <c r="L40" s="169">
        <f t="shared" si="4"/>
        <v>13.593600000000002</v>
      </c>
      <c r="M40" s="169">
        <f t="shared" si="4"/>
        <v>11.116800000000001</v>
      </c>
      <c r="N40" s="162">
        <v>1500</v>
      </c>
      <c r="O40" s="162" t="e">
        <f>[3]!Table7[[#This Row],[Ah Rating]]/10</f>
        <v>#REF!</v>
      </c>
      <c r="P40" s="163" t="e">
        <f>[3]!Table7[[#This Row],[Temp]]</f>
        <v>#REF!</v>
      </c>
    </row>
    <row r="41" spans="1:16">
      <c r="A41" s="166" t="s">
        <v>1905</v>
      </c>
      <c r="B41" s="179">
        <v>1830</v>
      </c>
      <c r="C41" s="179">
        <v>1239</v>
      </c>
      <c r="D41" s="179">
        <v>944</v>
      </c>
      <c r="E41" s="180">
        <v>773</v>
      </c>
      <c r="F41" s="161">
        <f t="shared" si="3"/>
        <v>644.6972477064221</v>
      </c>
      <c r="G41" s="161">
        <f t="shared" si="3"/>
        <v>436.49174311926612</v>
      </c>
      <c r="H41" s="161">
        <f t="shared" si="3"/>
        <v>332.56513761467892</v>
      </c>
      <c r="I41" s="161">
        <f t="shared" si="3"/>
        <v>272.32293577981653</v>
      </c>
      <c r="J41" s="169">
        <f t="shared" si="4"/>
        <v>35.13600000000001</v>
      </c>
      <c r="K41" s="169">
        <f t="shared" si="4"/>
        <v>23.788800000000002</v>
      </c>
      <c r="L41" s="169">
        <f t="shared" si="4"/>
        <v>18.1248</v>
      </c>
      <c r="M41" s="169">
        <f t="shared" si="4"/>
        <v>14.8416</v>
      </c>
      <c r="N41" s="162">
        <v>2000</v>
      </c>
      <c r="O41" s="162" t="e">
        <f>[3]!Table7[[#This Row],[Ah Rating]]/10</f>
        <v>#REF!</v>
      </c>
      <c r="P41" s="163" t="e">
        <f>[3]!Table7[[#This Row],[Temp]]</f>
        <v>#REF!</v>
      </c>
    </row>
    <row r="42" spans="1:16">
      <c r="A42" s="166" t="s">
        <v>2091</v>
      </c>
      <c r="B42" s="167">
        <v>1183</v>
      </c>
      <c r="C42" s="167">
        <v>721</v>
      </c>
      <c r="D42" s="167">
        <v>526</v>
      </c>
      <c r="E42" s="180">
        <v>418</v>
      </c>
      <c r="F42" s="161">
        <f t="shared" si="3"/>
        <v>416.76330275229361</v>
      </c>
      <c r="G42" s="161">
        <f t="shared" si="3"/>
        <v>254.00366972477065</v>
      </c>
      <c r="H42" s="161">
        <f t="shared" si="3"/>
        <v>185.30642201834863</v>
      </c>
      <c r="I42" s="161">
        <f t="shared" si="3"/>
        <v>147.25871559633029</v>
      </c>
      <c r="J42" s="169">
        <f t="shared" si="4"/>
        <v>22.713600000000003</v>
      </c>
      <c r="K42" s="169">
        <f t="shared" si="4"/>
        <v>13.843200000000001</v>
      </c>
      <c r="L42" s="169">
        <f t="shared" si="4"/>
        <v>10.099200000000002</v>
      </c>
      <c r="M42" s="169">
        <f t="shared" si="4"/>
        <v>8.0256000000000007</v>
      </c>
      <c r="N42" s="170">
        <v>1000</v>
      </c>
      <c r="O42" s="170" t="e">
        <f>[3]!Table7[[#This Row],[Ah Rating]]/10</f>
        <v>#REF!</v>
      </c>
      <c r="P42" s="174">
        <v>20</v>
      </c>
    </row>
    <row r="43" spans="1:16">
      <c r="A43" s="164" t="s">
        <v>1842</v>
      </c>
      <c r="B43" s="160">
        <v>1602</v>
      </c>
      <c r="C43" s="160">
        <v>1009</v>
      </c>
      <c r="D43" s="160">
        <v>736</v>
      </c>
      <c r="E43" s="173">
        <v>585</v>
      </c>
      <c r="F43" s="161">
        <f t="shared" si="3"/>
        <v>564.37431192660551</v>
      </c>
      <c r="G43" s="161">
        <f t="shared" si="3"/>
        <v>355.4642201834863</v>
      </c>
      <c r="H43" s="161">
        <f t="shared" si="3"/>
        <v>259.28807339449543</v>
      </c>
      <c r="I43" s="161">
        <f t="shared" si="3"/>
        <v>206.09174311926606</v>
      </c>
      <c r="J43" s="161">
        <f t="shared" si="4"/>
        <v>30.758400000000002</v>
      </c>
      <c r="K43" s="161">
        <f t="shared" si="4"/>
        <v>19.372800000000002</v>
      </c>
      <c r="L43" s="161">
        <f t="shared" si="4"/>
        <v>14.131200000000002</v>
      </c>
      <c r="M43" s="161">
        <f t="shared" si="4"/>
        <v>11.231999999999999</v>
      </c>
      <c r="N43" s="162">
        <v>14000</v>
      </c>
      <c r="O43" s="162" t="e">
        <f>[3]!Table7[[#This Row],[Ah Rating]]/10</f>
        <v>#REF!</v>
      </c>
      <c r="P43" s="175" t="e">
        <f>[3]!Table7[[#This Row],[Temp]]</f>
        <v>#REF!</v>
      </c>
    </row>
    <row r="44" spans="1:16">
      <c r="A44" s="164" t="s">
        <v>1651</v>
      </c>
      <c r="B44" s="160">
        <v>2022.5</v>
      </c>
      <c r="C44" s="160">
        <v>1268.4000000000001</v>
      </c>
      <c r="D44" s="160">
        <v>933</v>
      </c>
      <c r="E44" s="173">
        <v>741.8</v>
      </c>
      <c r="F44" s="161">
        <f t="shared" si="3"/>
        <v>712.51376146788994</v>
      </c>
      <c r="G44" s="161">
        <f t="shared" si="3"/>
        <v>446.84917431192662</v>
      </c>
      <c r="H44" s="161">
        <f t="shared" si="3"/>
        <v>328.68990825688076</v>
      </c>
      <c r="I44" s="161">
        <f t="shared" si="3"/>
        <v>261.33137614678895</v>
      </c>
      <c r="J44" s="161">
        <f t="shared" si="4"/>
        <v>38.832000000000001</v>
      </c>
      <c r="K44" s="161">
        <f t="shared" si="4"/>
        <v>24.353279999999998</v>
      </c>
      <c r="L44" s="161">
        <f t="shared" si="4"/>
        <v>17.913600000000002</v>
      </c>
      <c r="M44" s="161">
        <f t="shared" si="4"/>
        <v>14.242559999999997</v>
      </c>
      <c r="N44" s="162">
        <v>2000</v>
      </c>
      <c r="O44" s="162" t="e">
        <f>[3]!Table7[[#This Row],[Ah Rating]]/10</f>
        <v>#REF!</v>
      </c>
      <c r="P44" s="175" t="e">
        <f>[3]!Table7[[#This Row],[Temp]]</f>
        <v>#REF!</v>
      </c>
    </row>
    <row r="45" spans="1:16">
      <c r="A45" s="164" t="s">
        <v>2092</v>
      </c>
      <c r="B45" s="160">
        <v>1854</v>
      </c>
      <c r="C45" s="160">
        <v>1173</v>
      </c>
      <c r="D45" s="160">
        <v>853</v>
      </c>
      <c r="E45" s="173">
        <v>671</v>
      </c>
      <c r="F45" s="161">
        <f t="shared" si="3"/>
        <v>653.15229357798171</v>
      </c>
      <c r="G45" s="161">
        <f t="shared" si="3"/>
        <v>413.24036697247703</v>
      </c>
      <c r="H45" s="161">
        <f t="shared" si="3"/>
        <v>300.50642201834864</v>
      </c>
      <c r="I45" s="161">
        <f t="shared" si="3"/>
        <v>236.38899082568807</v>
      </c>
      <c r="J45" s="161">
        <f t="shared" si="4"/>
        <v>35.596800000000002</v>
      </c>
      <c r="K45" s="161">
        <f t="shared" si="4"/>
        <v>22.521599999999999</v>
      </c>
      <c r="L45" s="161">
        <f t="shared" si="4"/>
        <v>16.377600000000001</v>
      </c>
      <c r="M45" s="161">
        <f t="shared" si="4"/>
        <v>12.883199999999999</v>
      </c>
      <c r="N45" s="162">
        <v>1600</v>
      </c>
      <c r="O45" s="162" t="e">
        <f>[3]!Table7[[#This Row],[Ah Rating]]/10</f>
        <v>#REF!</v>
      </c>
      <c r="P45" s="175" t="e">
        <f>[3]!Table7[[#This Row],[Temp]]</f>
        <v>#REF!</v>
      </c>
    </row>
    <row r="46" spans="1:16">
      <c r="A46" s="164" t="s">
        <v>1813</v>
      </c>
      <c r="B46" s="160">
        <v>3066.7</v>
      </c>
      <c r="C46" s="160">
        <v>1908.9</v>
      </c>
      <c r="D46" s="160">
        <v>1392.8</v>
      </c>
      <c r="E46" s="173">
        <v>1106.5999999999999</v>
      </c>
      <c r="F46" s="161">
        <f t="shared" si="3"/>
        <v>1080.37871559633</v>
      </c>
      <c r="G46" s="161">
        <f t="shared" si="3"/>
        <v>672.4932110091745</v>
      </c>
      <c r="H46" s="161">
        <f t="shared" si="3"/>
        <v>490.67449541284395</v>
      </c>
      <c r="I46" s="161">
        <f t="shared" si="3"/>
        <v>389.84807339449543</v>
      </c>
      <c r="J46" s="161">
        <f t="shared" si="4"/>
        <v>58.880639999999985</v>
      </c>
      <c r="K46" s="161">
        <f t="shared" si="4"/>
        <v>36.650880000000015</v>
      </c>
      <c r="L46" s="161">
        <f t="shared" si="4"/>
        <v>26.741759999999996</v>
      </c>
      <c r="M46" s="161">
        <f t="shared" si="4"/>
        <v>21.24672</v>
      </c>
      <c r="N46" s="162">
        <v>3000</v>
      </c>
      <c r="O46" s="162" t="e">
        <f>[3]!Table7[[#This Row],[Ah Rating]]/10</f>
        <v>#REF!</v>
      </c>
      <c r="P46" s="175" t="e">
        <f>[3]!Table7[[#This Row],[Temp]]</f>
        <v>#REF!</v>
      </c>
    </row>
    <row r="47" spans="1:16">
      <c r="A47" s="164" t="s">
        <v>2093</v>
      </c>
      <c r="B47" s="160">
        <v>1349</v>
      </c>
      <c r="C47" s="160">
        <v>865</v>
      </c>
      <c r="D47" s="160">
        <v>631</v>
      </c>
      <c r="E47" s="173">
        <v>502</v>
      </c>
      <c r="F47" s="161">
        <f t="shared" si="3"/>
        <v>475.24403669724774</v>
      </c>
      <c r="G47" s="161">
        <f t="shared" si="3"/>
        <v>304.73394495412845</v>
      </c>
      <c r="H47" s="161">
        <f t="shared" si="3"/>
        <v>222.29724770642201</v>
      </c>
      <c r="I47" s="161">
        <f t="shared" si="3"/>
        <v>176.85137614678899</v>
      </c>
      <c r="J47" s="161">
        <f t="shared" si="4"/>
        <v>25.900800000000004</v>
      </c>
      <c r="K47" s="161">
        <f t="shared" si="4"/>
        <v>16.608000000000001</v>
      </c>
      <c r="L47" s="161">
        <f t="shared" si="4"/>
        <v>12.1152</v>
      </c>
      <c r="M47" s="161">
        <f t="shared" si="4"/>
        <v>9.638399999999999</v>
      </c>
      <c r="N47" s="162">
        <v>1200</v>
      </c>
      <c r="O47" s="162" t="e">
        <f>[3]!Table7[[#This Row],[Ah Rating]]/10</f>
        <v>#REF!</v>
      </c>
      <c r="P47" s="175" t="e">
        <f>[3]!Table7[[#This Row],[Temp]]</f>
        <v>#REF!</v>
      </c>
    </row>
    <row r="48" spans="1:16">
      <c r="A48" s="164" t="s">
        <v>1872</v>
      </c>
      <c r="B48" s="160">
        <v>776</v>
      </c>
      <c r="C48" s="160">
        <v>472</v>
      </c>
      <c r="D48" s="160">
        <v>345</v>
      </c>
      <c r="E48" s="173">
        <v>274</v>
      </c>
      <c r="F48" s="161">
        <f t="shared" si="3"/>
        <v>273.37981651376151</v>
      </c>
      <c r="G48" s="161">
        <f t="shared" si="3"/>
        <v>166.28256880733946</v>
      </c>
      <c r="H48" s="161">
        <f t="shared" si="3"/>
        <v>121.54128440366972</v>
      </c>
      <c r="I48" s="161">
        <f t="shared" si="3"/>
        <v>96.528440366972475</v>
      </c>
      <c r="J48" s="161">
        <f t="shared" si="4"/>
        <v>14.899200000000002</v>
      </c>
      <c r="K48" s="161">
        <f t="shared" si="4"/>
        <v>9.0624000000000002</v>
      </c>
      <c r="L48" s="161">
        <f t="shared" si="4"/>
        <v>6.6239999999999997</v>
      </c>
      <c r="M48" s="161">
        <f t="shared" si="4"/>
        <v>5.2608000000000006</v>
      </c>
      <c r="N48" s="162">
        <v>652</v>
      </c>
      <c r="O48" s="162" t="e">
        <f>[3]!Table7[[#This Row],[Ah Rating]]/10</f>
        <v>#REF!</v>
      </c>
      <c r="P48" s="175" t="e">
        <f>[3]!Table7[[#This Row],[Temp]]</f>
        <v>#REF!</v>
      </c>
    </row>
    <row r="49" spans="1:16">
      <c r="A49" s="164" t="s">
        <v>2094</v>
      </c>
      <c r="B49" s="160">
        <v>1899</v>
      </c>
      <c r="C49" s="160">
        <v>1200</v>
      </c>
      <c r="D49" s="160">
        <v>893</v>
      </c>
      <c r="E49" s="173">
        <v>720</v>
      </c>
      <c r="F49" s="161">
        <f t="shared" si="3"/>
        <v>669.005504587156</v>
      </c>
      <c r="G49" s="161">
        <f t="shared" si="3"/>
        <v>422.75229357798162</v>
      </c>
      <c r="H49" s="161">
        <f t="shared" si="3"/>
        <v>314.59816513761467</v>
      </c>
      <c r="I49" s="161">
        <f t="shared" si="3"/>
        <v>253.65137614678898</v>
      </c>
      <c r="J49" s="161">
        <f t="shared" si="4"/>
        <v>36.460800000000006</v>
      </c>
      <c r="K49" s="161">
        <f t="shared" si="4"/>
        <v>23.04</v>
      </c>
      <c r="L49" s="161">
        <f t="shared" si="4"/>
        <v>17.145599999999998</v>
      </c>
      <c r="M49" s="161">
        <f t="shared" si="4"/>
        <v>13.824</v>
      </c>
      <c r="N49" s="162">
        <v>1680</v>
      </c>
      <c r="O49" s="162" t="e">
        <f>[3]!Table7[[#This Row],[Ah Rating]]/10</f>
        <v>#REF!</v>
      </c>
      <c r="P49" s="175" t="e">
        <f>[3]!Table7[[#This Row],[Temp]]</f>
        <v>#REF!</v>
      </c>
    </row>
    <row r="50" spans="1:16">
      <c r="A50" s="164" t="s">
        <v>1573</v>
      </c>
      <c r="B50" s="160">
        <v>591</v>
      </c>
      <c r="C50" s="160">
        <v>355</v>
      </c>
      <c r="D50" s="160">
        <v>254</v>
      </c>
      <c r="E50" s="173">
        <v>203</v>
      </c>
      <c r="F50" s="161">
        <f t="shared" si="3"/>
        <v>208.20550458715599</v>
      </c>
      <c r="G50" s="161">
        <f t="shared" si="3"/>
        <v>125.06422018348624</v>
      </c>
      <c r="H50" s="161">
        <f t="shared" si="3"/>
        <v>89.482568807339462</v>
      </c>
      <c r="I50" s="161">
        <f t="shared" si="3"/>
        <v>71.51559633027523</v>
      </c>
      <c r="J50" s="161">
        <f t="shared" si="4"/>
        <v>11.347200000000001</v>
      </c>
      <c r="K50" s="161">
        <f t="shared" si="4"/>
        <v>6.8159999999999998</v>
      </c>
      <c r="L50" s="161">
        <f t="shared" si="4"/>
        <v>4.8768000000000011</v>
      </c>
      <c r="M50" s="161">
        <f t="shared" si="4"/>
        <v>3.8975999999999997</v>
      </c>
      <c r="N50" s="162">
        <v>489</v>
      </c>
      <c r="O50" s="162" t="e">
        <f>[3]!Table7[[#This Row],[Ah Rating]]/10</f>
        <v>#REF!</v>
      </c>
      <c r="P50" s="175" t="e">
        <f>[3]!Table7[[#This Row],[Temp]]</f>
        <v>#REF!</v>
      </c>
    </row>
    <row r="51" spans="1:16">
      <c r="A51" s="164" t="s">
        <v>2095</v>
      </c>
      <c r="B51" s="160">
        <v>197</v>
      </c>
      <c r="C51" s="160">
        <v>118</v>
      </c>
      <c r="D51" s="160">
        <v>84.8</v>
      </c>
      <c r="E51" s="173">
        <v>67.5</v>
      </c>
      <c r="F51" s="161">
        <f t="shared" si="3"/>
        <v>69.401834862385314</v>
      </c>
      <c r="G51" s="161">
        <f t="shared" si="3"/>
        <v>41.570642201834865</v>
      </c>
      <c r="H51" s="161">
        <f t="shared" si="3"/>
        <v>29.874495412844034</v>
      </c>
      <c r="I51" s="161">
        <f t="shared" si="3"/>
        <v>23.779816513761471</v>
      </c>
      <c r="J51" s="161">
        <f t="shared" si="4"/>
        <v>3.7823999999999995</v>
      </c>
      <c r="K51" s="161">
        <f t="shared" si="4"/>
        <v>2.2656000000000001</v>
      </c>
      <c r="L51" s="161">
        <f t="shared" si="4"/>
        <v>1.6281599999999998</v>
      </c>
      <c r="M51" s="161">
        <f t="shared" si="4"/>
        <v>1.2960000000000003</v>
      </c>
      <c r="N51" s="162">
        <v>163</v>
      </c>
      <c r="O51" s="162" t="e">
        <f>[3]!Table7[[#This Row],[Ah Rating]]/10</f>
        <v>#REF!</v>
      </c>
      <c r="P51" s="175" t="e">
        <f>[3]!Table7[[#This Row],[Temp]]</f>
        <v>#REF!</v>
      </c>
    </row>
    <row r="52" spans="1:16">
      <c r="A52" s="164" t="s">
        <v>2096</v>
      </c>
      <c r="B52" s="160">
        <v>394</v>
      </c>
      <c r="C52" s="160">
        <v>237</v>
      </c>
      <c r="D52" s="160">
        <v>170</v>
      </c>
      <c r="E52" s="173">
        <v>135</v>
      </c>
      <c r="F52" s="161">
        <f t="shared" si="3"/>
        <v>138.80366972477063</v>
      </c>
      <c r="G52" s="161">
        <f t="shared" si="3"/>
        <v>83.493577981651384</v>
      </c>
      <c r="H52" s="161">
        <f t="shared" si="3"/>
        <v>59.889908256880737</v>
      </c>
      <c r="I52" s="161">
        <f t="shared" si="3"/>
        <v>47.559633027522942</v>
      </c>
      <c r="J52" s="161">
        <f t="shared" si="4"/>
        <v>7.5647999999999991</v>
      </c>
      <c r="K52" s="161">
        <f t="shared" si="4"/>
        <v>4.5504000000000007</v>
      </c>
      <c r="L52" s="161">
        <f t="shared" si="4"/>
        <v>3.2639999999999998</v>
      </c>
      <c r="M52" s="161">
        <f t="shared" si="4"/>
        <v>2.5920000000000005</v>
      </c>
      <c r="N52" s="162">
        <v>260</v>
      </c>
      <c r="O52" s="162" t="e">
        <f>[3]!Table7[[#This Row],[Ah Rating]]/10</f>
        <v>#REF!</v>
      </c>
      <c r="P52" s="175" t="e">
        <f>[3]!Table7[[#This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B6"/>
  <sheetViews>
    <sheetView workbookViewId="0">
      <selection activeCell="E6" sqref="E6"/>
    </sheetView>
  </sheetViews>
  <sheetFormatPr defaultRowHeight="13.15"/>
  <sheetData>
    <row r="4" spans="1:2">
      <c r="A4" t="s">
        <v>2099</v>
      </c>
      <c r="B4">
        <v>1200</v>
      </c>
    </row>
    <row r="5" spans="1:2">
      <c r="A5" t="s">
        <v>2100</v>
      </c>
      <c r="B5">
        <v>1500</v>
      </c>
    </row>
    <row r="6" spans="1:2">
      <c r="A6" t="s">
        <v>2101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269</v>
      </c>
      <c r="B1" t="s">
        <v>2102</v>
      </c>
      <c r="C1" t="s">
        <v>2103</v>
      </c>
      <c r="D1" s="52" t="s">
        <v>2104</v>
      </c>
      <c r="E1" s="52" t="s">
        <v>2105</v>
      </c>
      <c r="F1" s="52" t="s">
        <v>2106</v>
      </c>
    </row>
    <row r="2" spans="1:6">
      <c r="A2" t="s">
        <v>1945</v>
      </c>
      <c r="B2" s="77">
        <v>7.4</v>
      </c>
      <c r="C2">
        <v>4</v>
      </c>
      <c r="D2">
        <f>SUM(B2*C2)</f>
        <v>29.6</v>
      </c>
      <c r="E2" s="394">
        <f>SUM(D2:D6)</f>
        <v>121.80000000000001</v>
      </c>
      <c r="F2" s="394">
        <f>SUM(E2/100)*75</f>
        <v>91.350000000000009</v>
      </c>
    </row>
    <row r="3" spans="1:6">
      <c r="A3" s="52" t="s">
        <v>1945</v>
      </c>
      <c r="B3" s="77">
        <v>13.4</v>
      </c>
      <c r="C3">
        <v>3</v>
      </c>
      <c r="D3">
        <f t="shared" ref="D3:D13" si="0">SUM(B3*C3)</f>
        <v>40.200000000000003</v>
      </c>
      <c r="E3" s="394"/>
      <c r="F3" s="394"/>
    </row>
    <row r="4" spans="1:6">
      <c r="A4" s="52" t="s">
        <v>2107</v>
      </c>
      <c r="B4">
        <v>7.4</v>
      </c>
      <c r="C4">
        <v>2</v>
      </c>
      <c r="D4">
        <f t="shared" si="0"/>
        <v>14.8</v>
      </c>
      <c r="E4" s="394"/>
      <c r="F4" s="394"/>
    </row>
    <row r="5" spans="1:6">
      <c r="A5" s="52" t="s">
        <v>1947</v>
      </c>
      <c r="B5">
        <v>7.5</v>
      </c>
      <c r="C5">
        <v>2</v>
      </c>
      <c r="D5">
        <f t="shared" si="0"/>
        <v>15</v>
      </c>
      <c r="E5" s="394"/>
      <c r="F5" s="394"/>
    </row>
    <row r="6" spans="1:6">
      <c r="A6" s="52" t="s">
        <v>1103</v>
      </c>
      <c r="B6">
        <v>7.4</v>
      </c>
      <c r="C6">
        <v>3</v>
      </c>
      <c r="D6">
        <f t="shared" si="0"/>
        <v>22.200000000000003</v>
      </c>
      <c r="E6" s="394"/>
      <c r="F6" s="394"/>
    </row>
    <row r="7" spans="1:6">
      <c r="A7" s="52" t="s">
        <v>835</v>
      </c>
      <c r="B7">
        <v>18</v>
      </c>
      <c r="C7">
        <v>2</v>
      </c>
      <c r="D7">
        <f t="shared" si="0"/>
        <v>36</v>
      </c>
      <c r="E7" s="394">
        <f>SUM(D7:D8)</f>
        <v>96</v>
      </c>
      <c r="F7" s="394">
        <f>SUM(E7/100)*75</f>
        <v>72</v>
      </c>
    </row>
    <row r="8" spans="1:6">
      <c r="A8" s="52" t="s">
        <v>2108</v>
      </c>
      <c r="B8">
        <v>30</v>
      </c>
      <c r="C8">
        <v>2</v>
      </c>
      <c r="D8">
        <f t="shared" si="0"/>
        <v>60</v>
      </c>
      <c r="E8" s="394"/>
      <c r="F8" s="394"/>
    </row>
    <row r="9" spans="1:6">
      <c r="A9" s="52" t="s">
        <v>1297</v>
      </c>
      <c r="B9">
        <v>35</v>
      </c>
      <c r="C9">
        <v>1</v>
      </c>
      <c r="D9">
        <f t="shared" si="0"/>
        <v>35</v>
      </c>
      <c r="E9" s="394">
        <f>SUM(D9:D11)</f>
        <v>155</v>
      </c>
      <c r="F9" s="394">
        <f>SUM(E9/100)*75</f>
        <v>116.25</v>
      </c>
    </row>
    <row r="10" spans="1:6">
      <c r="A10" s="52" t="s">
        <v>1297</v>
      </c>
      <c r="B10">
        <v>30</v>
      </c>
      <c r="C10">
        <v>1</v>
      </c>
      <c r="D10">
        <f t="shared" si="0"/>
        <v>30</v>
      </c>
      <c r="E10" s="394"/>
      <c r="F10" s="394"/>
    </row>
    <row r="11" spans="1:6">
      <c r="A11" s="52" t="s">
        <v>1300</v>
      </c>
      <c r="B11">
        <v>10</v>
      </c>
      <c r="C11">
        <v>9</v>
      </c>
      <c r="D11">
        <f t="shared" si="0"/>
        <v>90</v>
      </c>
      <c r="E11" s="394"/>
      <c r="F11" s="394"/>
    </row>
    <row r="12" spans="1:6">
      <c r="A12" s="52" t="s">
        <v>1000</v>
      </c>
      <c r="B12">
        <v>40</v>
      </c>
      <c r="C12">
        <v>2</v>
      </c>
      <c r="D12">
        <f t="shared" si="0"/>
        <v>80</v>
      </c>
      <c r="E12" s="394">
        <f>SUM(D12:D13)</f>
        <v>110</v>
      </c>
      <c r="F12" s="394">
        <f>SUM(E12/100)*75</f>
        <v>82.5</v>
      </c>
    </row>
    <row r="13" spans="1:6">
      <c r="A13" s="52" t="s">
        <v>2109</v>
      </c>
      <c r="B13">
        <v>30</v>
      </c>
      <c r="C13">
        <v>1</v>
      </c>
      <c r="D13">
        <f t="shared" si="0"/>
        <v>30</v>
      </c>
      <c r="E13" s="394"/>
      <c r="F13" s="394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4C52EE-9969-49F4-B363-0B671CD258AE}"/>
</file>

<file path=customXml/itemProps2.xml><?xml version="1.0" encoding="utf-8"?>
<ds:datastoreItem xmlns:ds="http://schemas.openxmlformats.org/officeDocument/2006/customXml" ds:itemID="{BCBFE4F5-F063-4400-ADE3-751387CD8AD5}"/>
</file>

<file path=customXml/itemProps3.xml><?xml version="1.0" encoding="utf-8"?>
<ds:datastoreItem xmlns:ds="http://schemas.openxmlformats.org/officeDocument/2006/customXml" ds:itemID="{6A02BC63-3DCE-4E96-97F7-A284CCF6F0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2024-01-09T08:19:57Z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d5355966-32b9-416e-a9a7-ca2e54765208</vt:lpwstr>
  </property>
  <property fmtid="{D5CDD505-2E9C-101B-9397-08002B2CF9AE}" pid="10" name="MSIP_Label_0359f705-2ba0-454b-9cfc-6ce5bcaac040_ContentBits">
    <vt:lpwstr>2</vt:lpwstr>
  </property>
</Properties>
</file>