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3" documentId="8_{0FAFABCF-9A71-4B34-8B27-E26CB8EF52AF}" xr6:coauthVersionLast="47" xr6:coauthVersionMax="47" xr10:uidLastSave="{77E33653-8A6D-468E-B274-E713B4A72183}"/>
  <bookViews>
    <workbookView xWindow="22932" yWindow="-108" windowWidth="23256" windowHeight="12456" firstSheet="3" activeTab="3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All" sheetId="9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</externalReferences>
  <definedNames>
    <definedName name="_xlnm._FilterDatabase" localSheetId="4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21" i="9" l="1"/>
  <c r="AH221" i="9"/>
  <c r="AJ221" i="9" s="1"/>
  <c r="AI172" i="9"/>
  <c r="AH172" i="9"/>
  <c r="AI12" i="9"/>
  <c r="AH12" i="9"/>
  <c r="R39" i="5"/>
  <c r="R77" i="5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B109" i="5" l="1"/>
  <c r="B110" i="5"/>
  <c r="AA77" i="9" l="1"/>
  <c r="AB77" i="9" s="1"/>
  <c r="AD77" i="9" s="1"/>
  <c r="E77" i="5" s="1"/>
  <c r="AI76" i="9"/>
  <c r="AH76" i="9"/>
  <c r="AP77" i="9"/>
  <c r="B77" i="5"/>
  <c r="C77" i="5"/>
  <c r="F77" i="5" l="1"/>
  <c r="AF77" i="9"/>
  <c r="AC77" i="9"/>
  <c r="AX87" i="7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AE77" i="9" l="1"/>
  <c r="G77" i="5" s="1"/>
  <c r="H77" i="5"/>
  <c r="AG77" i="9"/>
  <c r="I77" i="5" s="1"/>
  <c r="J77" i="5"/>
  <c r="C39" i="5"/>
  <c r="B40" i="5"/>
  <c r="AP40" i="9"/>
  <c r="B226" i="5"/>
  <c r="B234" i="5"/>
  <c r="B242" i="5"/>
  <c r="B250" i="5"/>
  <c r="AX389" i="7"/>
  <c r="AY389" i="7" s="1"/>
  <c r="AX390" i="7"/>
  <c r="AY390" i="7" s="1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G2" i="6"/>
  <c r="C24" i="15"/>
  <c r="N39" i="5"/>
  <c r="O39" i="5"/>
  <c r="M39" i="5"/>
  <c r="AQ39" i="9"/>
  <c r="B39" i="5"/>
  <c r="C40" i="5"/>
  <c r="AQ38" i="9"/>
  <c r="AP39" i="9"/>
  <c r="AI37" i="9"/>
  <c r="AH37" i="9"/>
  <c r="G39" i="6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H39" i="6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AS41" i="9"/>
  <c r="AX61" i="7"/>
  <c r="AY61" i="7" s="1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14" i="14"/>
  <c r="D22" i="14" s="1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AK268" i="9"/>
  <c r="AC268" i="9"/>
  <c r="AE268" i="9" s="1"/>
  <c r="AF268" i="9"/>
  <c r="AG268" i="9" s="1"/>
  <c r="AI242" i="9"/>
  <c r="AH242" i="9"/>
  <c r="AI240" i="9"/>
  <c r="AH240" i="9"/>
  <c r="AI51" i="9"/>
  <c r="AH51" i="9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C255" i="10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173" i="6" l="1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AZ389" i="7" s="1"/>
  <c r="BA389" i="7" s="1"/>
  <c r="P389" i="7" s="1"/>
  <c r="BB389" i="7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D44" i="8"/>
  <c r="H44" i="8"/>
  <c r="U44" i="8" s="1"/>
  <c r="G43" i="8"/>
  <c r="V43" i="8" s="1"/>
  <c r="H43" i="8"/>
  <c r="U43" i="8" s="1"/>
  <c r="B17" i="8"/>
  <c r="O17" i="8" s="1"/>
  <c r="Q25" i="8"/>
  <c r="AZ447" i="7"/>
  <c r="BA447" i="7" s="1"/>
  <c r="P447" i="7" s="1"/>
  <c r="AZ4" i="7"/>
  <c r="BA4" i="7" s="1"/>
  <c r="P4" i="7" s="1"/>
  <c r="Q26" i="8"/>
  <c r="B26" i="8"/>
  <c r="O26" i="8" s="1"/>
  <c r="AZ436" i="7" s="1"/>
  <c r="BA436" i="7" s="1"/>
  <c r="P436" i="7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AZ449" i="7"/>
  <c r="BA449" i="7" s="1"/>
  <c r="P449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40" i="6"/>
  <c r="G40" i="6" s="1"/>
  <c r="R40" i="5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AV42" i="6"/>
  <c r="G42" i="6" s="1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AV41" i="6"/>
  <c r="G41" i="6" s="1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AV78" i="6"/>
  <c r="G78" i="6" s="1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Z109" i="7"/>
  <c r="BA109" i="7" s="1"/>
  <c r="P109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173" i="7"/>
  <c r="BA173" i="7" s="1"/>
  <c r="P173" i="7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30" i="7"/>
  <c r="BA30" i="7" s="1"/>
  <c r="P30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92" i="7"/>
  <c r="BA392" i="7" s="1"/>
  <c r="P392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471" i="7"/>
  <c r="BA471" i="7" s="1"/>
  <c r="P471" i="7" s="1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84" i="7"/>
  <c r="BA184" i="7" s="1"/>
  <c r="P184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50" i="7"/>
  <c r="BA150" i="7" s="1"/>
  <c r="P150" i="7" s="1"/>
  <c r="AZ177" i="7"/>
  <c r="BA177" i="7" s="1"/>
  <c r="P177" i="7" s="1"/>
  <c r="AZ393" i="7"/>
  <c r="BA393" i="7" s="1"/>
  <c r="P393" i="7" s="1"/>
  <c r="AZ340" i="7"/>
  <c r="BA340" i="7" s="1"/>
  <c r="P340" i="7" s="1"/>
  <c r="AZ73" i="7"/>
  <c r="BA73" i="7" s="1"/>
  <c r="P73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28" i="7"/>
  <c r="BA28" i="7" s="1"/>
  <c r="P28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R173" i="5" l="1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AK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AK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A39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AZ314" i="7"/>
  <c r="BA314" i="7" s="1"/>
  <c r="P314" i="7" s="1"/>
  <c r="AZ394" i="7"/>
  <c r="BA394" i="7" s="1"/>
  <c r="P394" i="7" s="1"/>
  <c r="AZ204" i="7"/>
  <c r="BA204" i="7" s="1"/>
  <c r="P204" i="7" s="1"/>
  <c r="BB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BC389" i="7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BC102" i="7"/>
  <c r="BB102" i="7"/>
  <c r="BC101" i="7"/>
  <c r="BB101" i="7"/>
  <c r="BC444" i="7"/>
  <c r="BB444" i="7"/>
  <c r="BC289" i="7"/>
  <c r="BB289" i="7"/>
  <c r="BC51" i="7"/>
  <c r="BB51" i="7"/>
  <c r="BC473" i="7"/>
  <c r="BB473" i="7"/>
  <c r="BC477" i="7"/>
  <c r="BB477" i="7"/>
  <c r="BC476" i="7"/>
  <c r="BB476" i="7"/>
  <c r="BC475" i="7"/>
  <c r="BB475" i="7"/>
  <c r="BC474" i="7"/>
  <c r="BB474" i="7"/>
  <c r="BC440" i="7"/>
  <c r="BB440" i="7"/>
  <c r="BC439" i="7"/>
  <c r="BB439" i="7"/>
  <c r="BC438" i="7"/>
  <c r="BB438" i="7"/>
  <c r="BC472" i="7"/>
  <c r="BB472" i="7"/>
  <c r="BC471" i="7"/>
  <c r="BB471" i="7"/>
  <c r="BC469" i="7"/>
  <c r="BC468" i="7"/>
  <c r="BB468" i="7"/>
  <c r="BC467" i="7"/>
  <c r="BB467" i="7"/>
  <c r="BC466" i="7"/>
  <c r="BB466" i="7"/>
  <c r="BB465" i="7"/>
  <c r="BC462" i="7"/>
  <c r="BB462" i="7"/>
  <c r="BC461" i="7"/>
  <c r="BB461" i="7"/>
  <c r="BC460" i="7"/>
  <c r="BB460" i="7"/>
  <c r="BC459" i="7"/>
  <c r="BB459" i="7"/>
  <c r="BC458" i="7"/>
  <c r="BB458" i="7"/>
  <c r="BC457" i="7"/>
  <c r="BB457" i="7"/>
  <c r="BC456" i="7"/>
  <c r="BB456" i="7"/>
  <c r="BC455" i="7"/>
  <c r="BB455" i="7"/>
  <c r="BC454" i="7"/>
  <c r="BB454" i="7"/>
  <c r="BC453" i="7"/>
  <c r="BB453" i="7"/>
  <c r="BC452" i="7"/>
  <c r="BB452" i="7"/>
  <c r="BC451" i="7"/>
  <c r="BB451" i="7"/>
  <c r="BC450" i="7"/>
  <c r="BB450" i="7"/>
  <c r="BC449" i="7"/>
  <c r="BB449" i="7"/>
  <c r="BC448" i="7"/>
  <c r="BB448" i="7"/>
  <c r="BC447" i="7"/>
  <c r="BB447" i="7"/>
  <c r="BC446" i="7"/>
  <c r="BB446" i="7"/>
  <c r="BC445" i="7"/>
  <c r="BB445" i="7"/>
  <c r="BC443" i="7"/>
  <c r="BB443" i="7"/>
  <c r="BC442" i="7"/>
  <c r="BB442" i="7"/>
  <c r="BC441" i="7"/>
  <c r="BB441" i="7"/>
  <c r="BC427" i="7"/>
  <c r="BB427" i="7"/>
  <c r="BC426" i="7"/>
  <c r="BB426" i="7"/>
  <c r="BC425" i="7"/>
  <c r="BB425" i="7"/>
  <c r="BC424" i="7"/>
  <c r="BB424" i="7"/>
  <c r="BC423" i="7"/>
  <c r="BB423" i="7"/>
  <c r="BC422" i="7"/>
  <c r="BB422" i="7"/>
  <c r="BC421" i="7"/>
  <c r="BB421" i="7"/>
  <c r="BC420" i="7"/>
  <c r="BB420" i="7"/>
  <c r="BC419" i="7"/>
  <c r="BB419" i="7"/>
  <c r="BC418" i="7"/>
  <c r="BB418" i="7"/>
  <c r="BC417" i="7"/>
  <c r="BB417" i="7"/>
  <c r="BC416" i="7"/>
  <c r="BB416" i="7"/>
  <c r="BC415" i="7"/>
  <c r="BB415" i="7"/>
  <c r="BC414" i="7"/>
  <c r="BB414" i="7"/>
  <c r="BC413" i="7"/>
  <c r="BB413" i="7"/>
  <c r="BC412" i="7"/>
  <c r="BB412" i="7"/>
  <c r="BC411" i="7"/>
  <c r="BB411" i="7"/>
  <c r="BC410" i="7"/>
  <c r="BB410" i="7"/>
  <c r="BC409" i="7"/>
  <c r="BB409" i="7"/>
  <c r="BC406" i="7"/>
  <c r="BB406" i="7"/>
  <c r="BC405" i="7"/>
  <c r="BB405" i="7"/>
  <c r="BC404" i="7"/>
  <c r="BB404" i="7"/>
  <c r="BC403" i="7"/>
  <c r="BB403" i="7"/>
  <c r="BC402" i="7"/>
  <c r="BB402" i="7"/>
  <c r="BC401" i="7"/>
  <c r="BB401" i="7"/>
  <c r="BC396" i="7"/>
  <c r="BB396" i="7"/>
  <c r="BC395" i="7"/>
  <c r="BB395" i="7"/>
  <c r="BC393" i="7"/>
  <c r="BB393" i="7"/>
  <c r="BC392" i="7"/>
  <c r="BB392" i="7"/>
  <c r="BC388" i="7"/>
  <c r="BB388" i="7"/>
  <c r="BC387" i="7"/>
  <c r="BB387" i="7"/>
  <c r="BC386" i="7"/>
  <c r="BB386" i="7"/>
  <c r="BC385" i="7"/>
  <c r="BB385" i="7"/>
  <c r="BC384" i="7"/>
  <c r="BB384" i="7"/>
  <c r="BC383" i="7"/>
  <c r="BB383" i="7"/>
  <c r="BC382" i="7"/>
  <c r="BB382" i="7"/>
  <c r="BC381" i="7"/>
  <c r="BB381" i="7"/>
  <c r="BC380" i="7"/>
  <c r="BB380" i="7"/>
  <c r="BC379" i="7"/>
  <c r="BB379" i="7"/>
  <c r="BC378" i="7"/>
  <c r="BB378" i="7"/>
  <c r="BC377" i="7"/>
  <c r="BB377" i="7"/>
  <c r="BC376" i="7"/>
  <c r="BB376" i="7"/>
  <c r="BC375" i="7"/>
  <c r="BB375" i="7"/>
  <c r="BC374" i="7"/>
  <c r="BB374" i="7"/>
  <c r="BC373" i="7"/>
  <c r="BB373" i="7"/>
  <c r="BC372" i="7"/>
  <c r="BB372" i="7"/>
  <c r="BC371" i="7"/>
  <c r="BB371" i="7"/>
  <c r="BC370" i="7"/>
  <c r="BB370" i="7"/>
  <c r="BC369" i="7"/>
  <c r="BB369" i="7"/>
  <c r="BC368" i="7"/>
  <c r="BB368" i="7"/>
  <c r="BC367" i="7"/>
  <c r="BB367" i="7"/>
  <c r="BC366" i="7"/>
  <c r="BB366" i="7"/>
  <c r="BC365" i="7"/>
  <c r="BB365" i="7"/>
  <c r="BC364" i="7"/>
  <c r="BB364" i="7"/>
  <c r="BC363" i="7"/>
  <c r="BB363" i="7"/>
  <c r="BC362" i="7"/>
  <c r="BB362" i="7"/>
  <c r="BC361" i="7"/>
  <c r="BB361" i="7"/>
  <c r="BC360" i="7"/>
  <c r="BB360" i="7"/>
  <c r="BC359" i="7"/>
  <c r="BB359" i="7"/>
  <c r="BC358" i="7"/>
  <c r="BB358" i="7"/>
  <c r="BC357" i="7"/>
  <c r="BB357" i="7"/>
  <c r="BC356" i="7"/>
  <c r="BB356" i="7"/>
  <c r="BC355" i="7"/>
  <c r="BB355" i="7"/>
  <c r="BC354" i="7"/>
  <c r="BB354" i="7"/>
  <c r="BC353" i="7"/>
  <c r="BB353" i="7"/>
  <c r="BC351" i="7"/>
  <c r="BB351" i="7"/>
  <c r="BC350" i="7"/>
  <c r="BB350" i="7"/>
  <c r="BC349" i="7"/>
  <c r="BB349" i="7"/>
  <c r="BC347" i="7"/>
  <c r="BB347" i="7"/>
  <c r="BC345" i="7"/>
  <c r="BB345" i="7"/>
  <c r="BC344" i="7"/>
  <c r="BB344" i="7"/>
  <c r="BC343" i="7"/>
  <c r="BB343" i="7"/>
  <c r="BC342" i="7"/>
  <c r="BB342" i="7"/>
  <c r="BC341" i="7"/>
  <c r="BB341" i="7"/>
  <c r="BC340" i="7"/>
  <c r="BB340" i="7"/>
  <c r="BC339" i="7"/>
  <c r="BB339" i="7"/>
  <c r="BC338" i="7"/>
  <c r="BB338" i="7"/>
  <c r="BC337" i="7"/>
  <c r="BB337" i="7"/>
  <c r="BC336" i="7"/>
  <c r="BB336" i="7"/>
  <c r="BC335" i="7"/>
  <c r="BB335" i="7"/>
  <c r="BC334" i="7"/>
  <c r="BB334" i="7"/>
  <c r="BC333" i="7"/>
  <c r="BB333" i="7"/>
  <c r="BC332" i="7"/>
  <c r="BB332" i="7"/>
  <c r="BC331" i="7"/>
  <c r="BB331" i="7"/>
  <c r="BC330" i="7"/>
  <c r="BB330" i="7"/>
  <c r="BC329" i="7"/>
  <c r="BB329" i="7"/>
  <c r="BC328" i="7"/>
  <c r="BB328" i="7"/>
  <c r="BC327" i="7"/>
  <c r="BB327" i="7"/>
  <c r="BC326" i="7"/>
  <c r="BB326" i="7"/>
  <c r="BC325" i="7"/>
  <c r="BB325" i="7"/>
  <c r="BC324" i="7"/>
  <c r="BB324" i="7"/>
  <c r="BC323" i="7"/>
  <c r="BB323" i="7"/>
  <c r="BC322" i="7"/>
  <c r="BB322" i="7"/>
  <c r="BC321" i="7"/>
  <c r="BB321" i="7"/>
  <c r="BC320" i="7"/>
  <c r="BB320" i="7"/>
  <c r="BC319" i="7"/>
  <c r="BB319" i="7"/>
  <c r="BC318" i="7"/>
  <c r="BB318" i="7"/>
  <c r="BC317" i="7"/>
  <c r="BB317" i="7"/>
  <c r="BC316" i="7"/>
  <c r="BB316" i="7"/>
  <c r="BC315" i="7"/>
  <c r="BB315" i="7"/>
  <c r="BC313" i="7"/>
  <c r="BB313" i="7"/>
  <c r="BC312" i="7"/>
  <c r="BB312" i="7"/>
  <c r="BC311" i="7"/>
  <c r="BB311" i="7"/>
  <c r="BC310" i="7"/>
  <c r="BB310" i="7"/>
  <c r="BC309" i="7"/>
  <c r="BB309" i="7"/>
  <c r="BC308" i="7"/>
  <c r="BB308" i="7"/>
  <c r="BC307" i="7"/>
  <c r="BB307" i="7"/>
  <c r="BC306" i="7"/>
  <c r="BB306" i="7"/>
  <c r="BC305" i="7"/>
  <c r="BB305" i="7"/>
  <c r="BC304" i="7"/>
  <c r="BB304" i="7"/>
  <c r="BC303" i="7"/>
  <c r="BB303" i="7"/>
  <c r="BC302" i="7"/>
  <c r="BB302" i="7"/>
  <c r="BC301" i="7"/>
  <c r="BB301" i="7"/>
  <c r="BC300" i="7"/>
  <c r="BB300" i="7"/>
  <c r="BC298" i="7"/>
  <c r="BB298" i="7"/>
  <c r="BC297" i="7"/>
  <c r="BB297" i="7"/>
  <c r="BC296" i="7"/>
  <c r="BB296" i="7"/>
  <c r="BC295" i="7"/>
  <c r="BB295" i="7"/>
  <c r="BC294" i="7"/>
  <c r="BB294" i="7"/>
  <c r="BC293" i="7"/>
  <c r="BB293" i="7"/>
  <c r="BC292" i="7"/>
  <c r="BB292" i="7"/>
  <c r="BC291" i="7"/>
  <c r="BB291" i="7"/>
  <c r="BC290" i="7"/>
  <c r="BB290" i="7"/>
  <c r="BC286" i="7"/>
  <c r="BB286" i="7"/>
  <c r="BC285" i="7"/>
  <c r="BB285" i="7"/>
  <c r="BC284" i="7"/>
  <c r="BB284" i="7"/>
  <c r="BC283" i="7"/>
  <c r="BB283" i="7"/>
  <c r="BC282" i="7"/>
  <c r="BB282" i="7"/>
  <c r="BC281" i="7"/>
  <c r="BB281" i="7"/>
  <c r="BC280" i="7"/>
  <c r="BB280" i="7"/>
  <c r="BC279" i="7"/>
  <c r="BB279" i="7"/>
  <c r="BC278" i="7"/>
  <c r="BB278" i="7"/>
  <c r="BC277" i="7"/>
  <c r="BB277" i="7"/>
  <c r="BC276" i="7"/>
  <c r="BB276" i="7"/>
  <c r="BC275" i="7"/>
  <c r="BB275" i="7"/>
  <c r="BC274" i="7"/>
  <c r="BB274" i="7"/>
  <c r="BC273" i="7"/>
  <c r="BB273" i="7"/>
  <c r="BC272" i="7"/>
  <c r="BB272" i="7"/>
  <c r="BC271" i="7"/>
  <c r="BB271" i="7"/>
  <c r="BC270" i="7"/>
  <c r="BB270" i="7"/>
  <c r="BC269" i="7"/>
  <c r="BB269" i="7"/>
  <c r="BC268" i="7"/>
  <c r="BB268" i="7"/>
  <c r="BC267" i="7"/>
  <c r="BB267" i="7"/>
  <c r="BC266" i="7"/>
  <c r="BB266" i="7"/>
  <c r="BC265" i="7"/>
  <c r="BB265" i="7"/>
  <c r="BC260" i="7"/>
  <c r="BB260" i="7"/>
  <c r="BC259" i="7"/>
  <c r="BB259" i="7"/>
  <c r="BC258" i="7"/>
  <c r="BB258" i="7"/>
  <c r="BC257" i="7"/>
  <c r="BB257" i="7"/>
  <c r="BC256" i="7"/>
  <c r="BB256" i="7"/>
  <c r="BC255" i="7"/>
  <c r="BB255" i="7"/>
  <c r="BC254" i="7"/>
  <c r="BB254" i="7"/>
  <c r="BC253" i="7"/>
  <c r="BB253" i="7"/>
  <c r="BC252" i="7"/>
  <c r="BB252" i="7"/>
  <c r="BC251" i="7"/>
  <c r="BB251" i="7"/>
  <c r="BC250" i="7"/>
  <c r="BB250" i="7"/>
  <c r="BC249" i="7"/>
  <c r="BB249" i="7"/>
  <c r="BC247" i="7"/>
  <c r="BB247" i="7"/>
  <c r="BC246" i="7"/>
  <c r="BB246" i="7"/>
  <c r="BC245" i="7"/>
  <c r="BB245" i="7"/>
  <c r="BC242" i="7"/>
  <c r="BB242" i="7"/>
  <c r="BC241" i="7"/>
  <c r="BB241" i="7"/>
  <c r="BC240" i="7"/>
  <c r="BB240" i="7"/>
  <c r="BC239" i="7"/>
  <c r="BB239" i="7"/>
  <c r="BC238" i="7"/>
  <c r="BB238" i="7"/>
  <c r="BC237" i="7"/>
  <c r="BB237" i="7"/>
  <c r="BC236" i="7"/>
  <c r="BB236" i="7"/>
  <c r="BC235" i="7"/>
  <c r="BB235" i="7"/>
  <c r="BC234" i="7"/>
  <c r="BB234" i="7"/>
  <c r="BC233" i="7"/>
  <c r="BB233" i="7"/>
  <c r="BC230" i="7"/>
  <c r="BB230" i="7"/>
  <c r="BC229" i="7"/>
  <c r="BB229" i="7"/>
  <c r="BC228" i="7"/>
  <c r="BB228" i="7"/>
  <c r="BC227" i="7"/>
  <c r="BB227" i="7"/>
  <c r="BC226" i="7"/>
  <c r="BB226" i="7"/>
  <c r="BC225" i="7"/>
  <c r="BB225" i="7"/>
  <c r="BC224" i="7"/>
  <c r="BB224" i="7"/>
  <c r="BC223" i="7"/>
  <c r="BB223" i="7"/>
  <c r="BC222" i="7"/>
  <c r="BB222" i="7"/>
  <c r="BC221" i="7"/>
  <c r="BB221" i="7"/>
  <c r="BC220" i="7"/>
  <c r="BB220" i="7"/>
  <c r="BC219" i="7"/>
  <c r="BB219" i="7"/>
  <c r="BC218" i="7"/>
  <c r="BB218" i="7"/>
  <c r="BC217" i="7"/>
  <c r="BB217" i="7"/>
  <c r="BC216" i="7"/>
  <c r="BB216" i="7"/>
  <c r="BC215" i="7"/>
  <c r="BB215" i="7"/>
  <c r="BC211" i="7"/>
  <c r="BB211" i="7"/>
  <c r="BC210" i="7"/>
  <c r="BB210" i="7"/>
  <c r="BC203" i="7"/>
  <c r="BB203" i="7"/>
  <c r="BC202" i="7"/>
  <c r="BB202" i="7"/>
  <c r="BC201" i="7"/>
  <c r="BB201" i="7"/>
  <c r="BC200" i="7"/>
  <c r="BB200" i="7"/>
  <c r="BC199" i="7"/>
  <c r="BB199" i="7"/>
  <c r="BC196" i="7"/>
  <c r="BB196" i="7"/>
  <c r="BC195" i="7"/>
  <c r="BB195" i="7"/>
  <c r="BC194" i="7"/>
  <c r="BB194" i="7"/>
  <c r="BC193" i="7"/>
  <c r="BB193" i="7"/>
  <c r="BC192" i="7"/>
  <c r="BB192" i="7"/>
  <c r="BC191" i="7"/>
  <c r="BB191" i="7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4" i="7"/>
  <c r="BB184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C150" i="7"/>
  <c r="BB150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C126" i="7"/>
  <c r="BB126" i="7"/>
  <c r="BC125" i="7"/>
  <c r="BB125" i="7"/>
  <c r="BC124" i="7"/>
  <c r="BB124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09" i="7"/>
  <c r="BB109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0" i="7"/>
  <c r="BB100" i="7"/>
  <c r="BC98" i="7"/>
  <c r="BB98" i="7"/>
  <c r="BC97" i="7"/>
  <c r="BB97" i="7"/>
  <c r="BC96" i="7"/>
  <c r="BB96" i="7"/>
  <c r="BC92" i="7"/>
  <c r="BB92" i="7"/>
  <c r="BC91" i="7"/>
  <c r="BB91" i="7"/>
  <c r="BC90" i="7"/>
  <c r="BB90" i="7"/>
  <c r="BC89" i="7"/>
  <c r="BB89" i="7"/>
  <c r="BC88" i="7"/>
  <c r="BB88" i="7"/>
  <c r="BC87" i="7"/>
  <c r="BB87" i="7"/>
  <c r="BC85" i="7"/>
  <c r="BB85" i="7"/>
  <c r="BC81" i="7"/>
  <c r="BB81" i="7"/>
  <c r="BC80" i="7"/>
  <c r="BB80" i="7"/>
  <c r="BC79" i="7"/>
  <c r="BB79" i="7"/>
  <c r="BC78" i="7"/>
  <c r="BB78" i="7"/>
  <c r="BC77" i="7"/>
  <c r="BB77" i="7"/>
  <c r="BC76" i="7"/>
  <c r="BB76" i="7"/>
  <c r="BC75" i="7"/>
  <c r="BB75" i="7"/>
  <c r="BC74" i="7"/>
  <c r="BB74" i="7"/>
  <c r="BC73" i="7"/>
  <c r="BB73" i="7"/>
  <c r="BC72" i="7"/>
  <c r="BB72" i="7"/>
  <c r="BC71" i="7"/>
  <c r="BB71" i="7"/>
  <c r="BC70" i="7"/>
  <c r="BB70" i="7"/>
  <c r="BC69" i="7"/>
  <c r="BB69" i="7"/>
  <c r="BC68" i="7"/>
  <c r="BB68" i="7"/>
  <c r="BC67" i="7"/>
  <c r="BB67" i="7"/>
  <c r="BC66" i="7"/>
  <c r="BB66" i="7"/>
  <c r="BC65" i="7"/>
  <c r="BB65" i="7"/>
  <c r="BC64" i="7"/>
  <c r="BB64" i="7"/>
  <c r="BC63" i="7"/>
  <c r="BB63" i="7"/>
  <c r="BC62" i="7"/>
  <c r="BB62" i="7"/>
  <c r="BC61" i="7"/>
  <c r="BB61" i="7"/>
  <c r="BC60" i="7"/>
  <c r="BB60" i="7"/>
  <c r="BC59" i="7"/>
  <c r="BB59" i="7"/>
  <c r="BC58" i="7"/>
  <c r="BB58" i="7"/>
  <c r="BC53" i="7"/>
  <c r="BB53" i="7"/>
  <c r="BC52" i="7"/>
  <c r="BB52" i="7"/>
  <c r="BC50" i="7"/>
  <c r="BB50" i="7"/>
  <c r="BC49" i="7"/>
  <c r="BB49" i="7"/>
  <c r="BC48" i="7"/>
  <c r="BB48" i="7"/>
  <c r="BC47" i="7"/>
  <c r="BB47" i="7"/>
  <c r="BC46" i="7"/>
  <c r="BB46" i="7"/>
  <c r="BC45" i="7"/>
  <c r="BB45" i="7"/>
  <c r="BC44" i="7"/>
  <c r="BB44" i="7"/>
  <c r="BC38" i="7"/>
  <c r="BB38" i="7"/>
  <c r="BC37" i="7"/>
  <c r="BB37" i="7"/>
  <c r="BC36" i="7"/>
  <c r="BB36" i="7"/>
  <c r="BC35" i="7"/>
  <c r="BB35" i="7"/>
  <c r="BC34" i="7"/>
  <c r="BB34" i="7"/>
  <c r="BC33" i="7"/>
  <c r="BB33" i="7"/>
  <c r="BC32" i="7"/>
  <c r="BB32" i="7"/>
  <c r="BC31" i="7"/>
  <c r="BB31" i="7"/>
  <c r="BC30" i="7"/>
  <c r="BB30" i="7"/>
  <c r="BC29" i="7"/>
  <c r="BB29" i="7"/>
  <c r="BC28" i="7"/>
  <c r="BB28" i="7"/>
  <c r="BC27" i="7"/>
  <c r="BB27" i="7"/>
  <c r="BC26" i="7"/>
  <c r="BB26" i="7"/>
  <c r="BC25" i="7"/>
  <c r="BB25" i="7"/>
  <c r="BC24" i="7"/>
  <c r="BB24" i="7"/>
  <c r="BC23" i="7"/>
  <c r="BB23" i="7"/>
  <c r="BC21" i="7"/>
  <c r="BB21" i="7"/>
  <c r="BC18" i="7"/>
  <c r="BB18" i="7"/>
  <c r="BC17" i="7"/>
  <c r="BB17" i="7"/>
  <c r="BC16" i="7"/>
  <c r="BB16" i="7"/>
  <c r="BC15" i="7"/>
  <c r="BB15" i="7"/>
  <c r="BC14" i="7"/>
  <c r="BB14" i="7"/>
  <c r="BC13" i="7"/>
  <c r="BB13" i="7"/>
  <c r="BC12" i="7"/>
  <c r="BB12" i="7"/>
  <c r="BC10" i="7"/>
  <c r="BB10" i="7"/>
  <c r="BC9" i="7"/>
  <c r="BB9" i="7"/>
  <c r="BC8" i="7"/>
  <c r="BB8" i="7"/>
  <c r="BC7" i="7"/>
  <c r="BB7" i="7"/>
  <c r="BC6" i="7"/>
  <c r="BB6" i="7"/>
  <c r="BC5" i="7"/>
  <c r="BB5" i="7"/>
  <c r="BC4" i="7"/>
  <c r="BB4" i="7"/>
  <c r="BC3" i="7"/>
  <c r="BB3" i="7"/>
  <c r="BC2" i="7"/>
  <c r="BB2" i="7"/>
  <c r="AB173" i="9" l="1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H54" i="6"/>
  <c r="BB394" i="7"/>
  <c r="BC394" i="7"/>
  <c r="BB314" i="7"/>
  <c r="BC314" i="7"/>
  <c r="H55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L172" i="9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L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F173" i="5" l="1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7" i="8"/>
  <c r="E6" i="8"/>
  <c r="C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I6" i="8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G6" i="8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J54" i="5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AD54" i="9"/>
  <c r="E54" i="5" s="1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AM54" i="9"/>
  <c r="K54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AE55" i="9" l="1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H7" i="8"/>
  <c r="K185" i="5"/>
  <c r="H6" i="8" l="1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tc={A3E14736-5716-4778-8FB5-366F925BBCAA}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tc={0CB9CDBC-2E3C-4683-AD6A-3E60E6BCE4AC}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tc={5F9B61CE-EAAF-463F-B157-4B3A97797112}</author>
    <author>tc={39C19080-D308-4C50-9A2B-0413514E439F}</author>
    <author>tc={69195F52-40F4-4159-9ABC-C693AFCA737B}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tc={9989DD06-EAE6-47E6-9CB9-EBEB101FBDF9}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tc={7E1EA305-B226-410E-BEFA-E9952F98C7EE}</author>
    <author>tc={F2C3FE7F-A675-437D-B2FB-0764F5035F3C}</author>
    <author>tc={42C483D2-3EE7-448C-94E5-8F4E0EBE2EAA}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tc={B3A6762B-DD0D-446F-AC5B-B064A14FB23E}</author>
    <author>tc={535B5C85-FEE4-4144-8B2A-F7C46E05A95E}</author>
    <author>tc={2020A3A0-D8CE-413F-8D03-DD46062D2239}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tc={96C9906F-33AC-4AEA-AEF0-CA08C2DA0515}</author>
    <author>tc={B9D2DF39-A8AC-42E0-ACB6-F354A1DA10B4}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tc={7727DB60-8375-41A0-B032-52C6B2246BCC}</author>
    <author>tc={4DFCD2A9-0605-42B1-BF8A-E71E39B4E62C}</author>
    <author>tc={7EA7E13D-EBAA-4956-9A7D-4313AECC0325}</author>
    <author>tc={B0B8CB4E-3DA6-4AA3-8D07-810DD43B6A92}</author>
    <author>tc={E20022F0-85A2-47FF-8FFF-4E872759FBF6}</author>
    <author>tc={2B9D746C-4AF9-4178-B288-7DAFFE59C797}</author>
    <author>tc={EAC96642-6471-4529-B087-731946B27B4D}</author>
    <author>tc={A67CE3B6-9E88-4906-806C-CBB03B113871}</author>
    <author>tc={3149B29A-D136-4734-A1DB-649E6B418B4D}</author>
    <author>tc={40AFC5F7-AF74-4E6C-9845-6BCF224AEEE6}</author>
    <author>tc={6D908517-FF86-4611-A06A-2C94FB89B879}</author>
    <author>tc={18651EEE-19D0-4489-A6C0-A5F0E1480D5D}</author>
    <author>tc={AC641F5E-4A92-44F6-9008-D3C8D84D317A}</author>
    <author>tc={79BB0193-F48E-460E-90DB-A9C1B7519AD5}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tc={95D3D00A-CD61-4B77-ADE9-D46591D2B60E}</author>
    <author>tc={C28F0CDE-A519-4253-AE78-A382838B617C}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tc={F9486AA7-1773-4A55-9EA9-ECC60C475D75}</author>
    <author>tc={A804BA05-8176-439D-B29D-BC7B428A8250}</author>
    <author>tc={9BE858F5-D6ED-4133-9181-2F46EBBEA77C}</author>
    <author>tc={5DCCB260-FD64-4D67-8BCE-8B64FBEFE58C}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tc={996FBB2B-9D64-4735-8C64-78A3B0987BEF}</author>
    <author>tc={88B3D8F4-72EB-49CF-9D72-1CE65AA33270}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tc={9C4EAA34-DF34-4A20-947F-CB32D2DF395B}</author>
    <author>tc={760A5B33-2111-40D2-8FC5-742A7AE7F862}</author>
    <author>tc={E34CF67A-E625-4C75-9B4D-944C0BBEF61D}</author>
    <author>tc={834ED47B-857E-469C-A1AB-99DF6E09CA7A}</author>
    <author>tc={19B11046-84FA-47CC-8713-30059A34DCDC}</author>
    <author>tc={A2A5966C-4319-4DC5-853E-135BCD027BCC}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tc={7400D51E-2221-4022-9FAB-B6980CA48CF1}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tc={4D1DF346-6C97-4694-9285-6F1F9D62761F}</author>
    <author>tc={BA67A799-EAA7-417D-BC23-CF95FD0995A2}</author>
    <author>tc={ED0A3A25-69B5-45C0-80B1-64C55D44CB7A}</author>
    <author>tc={B4A08BBB-DBEB-4951-9C16-EE562F216D14}</author>
    <author>tc={39BEC1B8-8583-4CAB-A8DF-774D7F21CE3E}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</t>
      </text>
    </comment>
    <comment ref="J14" authorId="8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9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2" authorId="10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1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</t>
      </text>
    </comment>
    <comment ref="P22" authorId="12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</t>
      </text>
    </comment>
    <comment ref="R22" authorId="13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</t>
      </text>
    </comment>
    <comment ref="T22" authorId="14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</t>
      </text>
    </comment>
    <comment ref="X22" authorId="15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16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</t>
      </text>
    </comment>
    <comment ref="L23" authorId="17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</t>
      </text>
    </comment>
    <comment ref="N23" authorId="18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</t>
      </text>
    </comment>
    <comment ref="P23" authorId="19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</t>
      </text>
    </comment>
    <comment ref="R23" authorId="20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</t>
      </text>
    </comment>
    <comment ref="T23" authorId="21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2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3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</t>
      </text>
    </comment>
    <comment ref="J25" authorId="24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5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26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27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6" authorId="28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29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0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1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2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3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30" authorId="34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35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</t>
      </text>
    </comment>
    <comment ref="N30" authorId="36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37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R30" authorId="38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</t>
      </text>
    </comment>
    <comment ref="T30" authorId="39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</t>
      </text>
    </comment>
    <comment ref="V30" authorId="40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</t>
      </text>
    </comment>
    <comment ref="J31" authorId="41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</t>
      </text>
    </comment>
    <comment ref="L31" authorId="42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</t>
      </text>
    </comment>
    <comment ref="N31" authorId="43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44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45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</t>
      </text>
    </comment>
    <comment ref="T31" authorId="46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</t>
      </text>
    </comment>
    <comment ref="V31" authorId="47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</t>
      </text>
    </comment>
    <comment ref="J32" authorId="48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49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0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J38" authorId="51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J39" authorId="52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</t>
      </text>
    </comment>
    <comment ref="L39" authorId="53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</t>
      </text>
    </comment>
    <comment ref="N39" authorId="54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</t>
      </text>
    </comment>
    <comment ref="P39" authorId="55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R39" authorId="56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</t>
      </text>
    </comment>
    <comment ref="T39" authorId="57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</t>
      </text>
    </comment>
    <comment ref="V39" authorId="58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</t>
      </text>
    </comment>
    <comment ref="X39" authorId="59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0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1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</t>
      </text>
    </comment>
    <comment ref="AD39" authorId="62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</t>
      </text>
    </comment>
    <comment ref="AF39" authorId="63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N39" authorId="64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</t>
      </text>
    </comment>
    <comment ref="AP39" authorId="65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66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67" shapeId="0" xr:uid="{00000000-0006-0000-03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2.6kW
Reply:
    19kW allocation reduced due to live reading of 1.5kW
Reply:
    19kW allocation reduced due to live reading of 1.6kW
Reply:
    38kW allocation reduced due to live reading of 1.8kW
Reply:
    38kW allocation reduced due to live reading of 1.8kW</t>
      </text>
    </comment>
    <comment ref="L40" authorId="68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</t>
      </text>
    </comment>
    <comment ref="N40" authorId="69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</t>
      </text>
    </comment>
    <comment ref="P40" authorId="70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</t>
      </text>
    </comment>
    <comment ref="R40" authorId="71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72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</t>
      </text>
    </comment>
    <comment ref="V40" authorId="73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</t>
      </text>
    </comment>
    <comment ref="X40" authorId="74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</t>
      </text>
    </comment>
    <comment ref="Z40" authorId="75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76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</t>
      </text>
    </comment>
    <comment ref="AD40" authorId="77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</t>
      </text>
    </comment>
    <comment ref="AF40" authorId="78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N40" authorId="79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</t>
      </text>
    </comment>
    <comment ref="AP40" authorId="80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1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82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83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G48" authorId="84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85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</t>
      </text>
    </comment>
    <comment ref="L48" authorId="86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48" authorId="87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</t>
      </text>
    </comment>
    <comment ref="P48" authorId="88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R48" authorId="89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0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V48" authorId="91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92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</t>
      </text>
    </comment>
    <comment ref="Z48" authorId="93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F48" authorId="94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95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J48" authorId="96" shapeId="0" xr:uid="{69195F52-40F4-4159-9ABC-C693AFCA737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
Reply:
    2kW allocation reduced due to live reading of 1.4kW</t>
      </text>
    </comment>
    <comment ref="AL48" authorId="97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</t>
      </text>
    </comment>
    <comment ref="J49" authorId="98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</t>
      </text>
    </comment>
    <comment ref="L49" authorId="99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49" authorId="100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</t>
      </text>
    </comment>
    <comment ref="P49" authorId="101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R49" authorId="102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03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</t>
      </text>
    </comment>
    <comment ref="V49" authorId="104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05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06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07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9" authorId="108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09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</t>
      </text>
    </comment>
    <comment ref="AJ49" authorId="110" shapeId="0" xr:uid="{9989DD06-EAE6-47E6-9CB9-EBEB101FBDF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
Reply:
    2kW allocation reduced due to live reading of 1.4kW
Reply:
    2kW allocation reduced due to live reading of 1.4kW</t>
      </text>
    </comment>
    <comment ref="AL49" authorId="111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12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13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14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15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1" authorId="116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17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N52" authorId="118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2" authorId="119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20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J54" authorId="121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22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</t>
      </text>
    </comment>
    <comment ref="N54" authorId="123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P54" authorId="124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</t>
      </text>
    </comment>
    <comment ref="R54" authorId="125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</t>
      </text>
    </comment>
    <comment ref="V54" authorId="126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</t>
      </text>
    </comment>
    <comment ref="X54" authorId="127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28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</t>
      </text>
    </comment>
    <comment ref="AF54" authorId="129" shapeId="0" xr:uid="{00000000-0006-0000-0300-00006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54" authorId="130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</t>
      </text>
    </comment>
    <comment ref="AL54" authorId="131" shapeId="0" xr:uid="{00000000-0006-0000-0300-00006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J57" authorId="132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L57" authorId="133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34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</t>
      </text>
    </comment>
    <comment ref="P57" authorId="135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</t>
      </text>
    </comment>
    <comment ref="R57" authorId="136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</t>
      </text>
    </comment>
    <comment ref="T57" authorId="137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38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</t>
      </text>
    </comment>
    <comment ref="X57" authorId="139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</t>
      </text>
    </comment>
    <comment ref="Z57" authorId="140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</t>
      </text>
    </comment>
    <comment ref="AB57" authorId="141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42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</t>
      </text>
    </comment>
    <comment ref="AF57" authorId="143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44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</t>
      </text>
    </comment>
    <comment ref="AJ57" authorId="145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46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J58" authorId="147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70" authorId="148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L72" authorId="149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</t>
      </text>
    </comment>
    <comment ref="N72" authorId="150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2" authorId="151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</t>
      </text>
    </comment>
    <comment ref="R72" authorId="152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</t>
      </text>
    </comment>
    <comment ref="T72" authorId="153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54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</t>
      </text>
    </comment>
    <comment ref="N73" authorId="155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</t>
      </text>
    </comment>
    <comment ref="P73" authorId="156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</t>
      </text>
    </comment>
    <comment ref="R73" authorId="157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</t>
      </text>
    </comment>
    <comment ref="T73" authorId="158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</t>
      </text>
    </comment>
    <comment ref="J74" authorId="159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60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0" authorId="161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1" authorId="162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3" authorId="163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64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65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66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4" authorId="167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68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</t>
      </text>
    </comment>
    <comment ref="L102" authorId="169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</t>
      </text>
    </comment>
    <comment ref="N102" authorId="170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71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2" authorId="172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73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74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75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76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</t>
      </text>
    </comment>
    <comment ref="L103" authorId="177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78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P103" authorId="179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3" authorId="180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81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82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183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184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185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186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187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0" authorId="188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4" authorId="189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5" authorId="190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116" authorId="191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17" authorId="192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</t>
      </text>
    </comment>
    <comment ref="L117" authorId="193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194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</t>
      </text>
    </comment>
    <comment ref="P117" authorId="195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196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197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L118" authorId="198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199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</t>
      </text>
    </comment>
    <comment ref="P118" authorId="200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01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9" authorId="202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03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N119" authorId="204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05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</t>
      </text>
    </comment>
    <comment ref="R119" authorId="206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</t>
      </text>
    </comment>
    <comment ref="T119" authorId="207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08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9" authorId="209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</t>
      </text>
    </comment>
    <comment ref="Y119" authorId="210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9" authorId="211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0" authorId="212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13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N120" authorId="214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15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</t>
      </text>
    </comment>
    <comment ref="R120" authorId="216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</t>
      </text>
    </comment>
    <comment ref="T120" authorId="217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20" authorId="218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20" authorId="219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Y120" authorId="220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20" authorId="221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1" authorId="222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23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J129" authorId="224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25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1" authorId="226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27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28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29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30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40" authorId="231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</t>
      </text>
    </comment>
    <comment ref="L140" authorId="232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J143" authorId="233" shapeId="0" xr:uid="{00000000-0006-0000-0300-0000A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1.9kW
Reply:
    2.5kW allocation reduced due to live reading of 1.9kW
Reply:
    2.5kW allocation reduced due to live reading of 1.9kW
Reply:
    2.5kW allocation reduced due to live reading of 2.3kW
Reply:
    2.5kW allocation reduced due to live reading of 2.4kW
Reply:
    2.5kW allocation reduced due to live reading of 2.4kW
Reply:
    2.5kW allocation reduced due to live reading of 2.4kW
Reply:
    2.5kW allocation reduced due to live reading of 2.5kW</t>
      </text>
    </comment>
    <comment ref="L143" authorId="234" shapeId="0" xr:uid="{00000000-0006-0000-0300-0000A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3.7kW
Reply:
    4kW allocation reduced due to live reading of 3.8kW
Reply:
    4kW allocation reduced due to live reading of 3.8kW
Reply:
    4kW allocation reduced due to live reading of 3.8kW
Reply:
    4kW allocation reduced due to live reading of 3.9kW</t>
      </text>
    </comment>
    <comment ref="N143" authorId="235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S143" authorId="236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37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B143" authorId="238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</t>
      </text>
    </comment>
    <comment ref="AD143" authorId="239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40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J144" authorId="241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</t>
      </text>
    </comment>
    <comment ref="L144" authorId="242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</t>
      </text>
    </comment>
    <comment ref="N144" authorId="243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</t>
      </text>
    </comment>
    <comment ref="AJ144" authorId="244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J145" authorId="245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46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47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8" authorId="248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49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50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51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52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</t>
      </text>
    </comment>
    <comment ref="L155" authorId="253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P155" authorId="254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</t>
      </text>
    </comment>
    <comment ref="R155" authorId="255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</t>
      </text>
    </comment>
    <comment ref="T155" authorId="256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V155" authorId="257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</t>
      </text>
    </comment>
    <comment ref="X155" authorId="258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59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J159" authorId="260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</t>
      </text>
    </comment>
    <comment ref="L159" authorId="261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</t>
      </text>
    </comment>
    <comment ref="R159" authorId="262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</t>
      </text>
    </comment>
    <comment ref="T159" authorId="263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</t>
      </text>
    </comment>
    <comment ref="V159" authorId="264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65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</t>
      </text>
    </comment>
    <comment ref="Z159" authorId="266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</t>
      </text>
    </comment>
    <comment ref="AB159" authorId="267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</t>
      </text>
    </comment>
    <comment ref="AD159" authorId="268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69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270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</t>
      </text>
    </comment>
    <comment ref="AJ159" authorId="271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</t>
      </text>
    </comment>
    <comment ref="AL159" authorId="272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73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74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75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76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</t>
      </text>
    </comment>
    <comment ref="J160" authorId="277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</t>
      </text>
    </comment>
    <comment ref="L160" authorId="278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</t>
      </text>
    </comment>
    <comment ref="R160" authorId="279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</t>
      </text>
    </comment>
    <comment ref="T160" authorId="280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281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60" authorId="282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</t>
      </text>
    </comment>
    <comment ref="Z160" authorId="283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284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</t>
      </text>
    </comment>
    <comment ref="AD160" authorId="285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286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287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</t>
      </text>
    </comment>
    <comment ref="AJ160" authorId="288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289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290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291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292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293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</t>
      </text>
    </comment>
    <comment ref="J162" authorId="294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9" authorId="295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296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297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</t>
      </text>
    </comment>
    <comment ref="L172" authorId="298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N172" authorId="299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172" authorId="300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01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</t>
      </text>
    </comment>
    <comment ref="L173" authorId="302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N173" authorId="303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173" authorId="304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05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</t>
      </text>
    </comment>
    <comment ref="J179" authorId="306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</t>
      </text>
    </comment>
    <comment ref="L179" authorId="307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08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</t>
      </text>
    </comment>
    <comment ref="L184" authorId="309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</t>
      </text>
    </comment>
    <comment ref="N184" authorId="310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</t>
      </text>
    </comment>
    <comment ref="J185" authorId="311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12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13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R187" authorId="314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15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16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17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94" authorId="318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7" authorId="319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20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21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</t>
      </text>
    </comment>
    <comment ref="N204" authorId="322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</t>
      </text>
    </comment>
    <comment ref="P204" authorId="323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R204" authorId="324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T204" authorId="325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</t>
      </text>
    </comment>
    <comment ref="N206" authorId="326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208" authorId="327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28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9" authorId="329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</t>
      </text>
    </comment>
    <comment ref="L219" authorId="330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31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P219" authorId="332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</t>
      </text>
    </comment>
    <comment ref="R219" authorId="333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</t>
      </text>
    </comment>
    <comment ref="T219" authorId="334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V219" authorId="335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</t>
      </text>
    </comment>
    <comment ref="Z219" authorId="336" shapeId="0" xr:uid="{996FBB2B-9D64-4735-8C64-78A3B0987BEF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</t>
      </text>
    </comment>
    <comment ref="AD219" authorId="337" shapeId="0" xr:uid="{00000000-0006-0000-0300-0000F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J220" authorId="338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</t>
      </text>
    </comment>
    <comment ref="L220" authorId="339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N220" authorId="340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P220" authorId="341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</t>
      </text>
    </comment>
    <comment ref="R220" authorId="342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</t>
      </text>
    </comment>
    <comment ref="T220" authorId="343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</t>
      </text>
    </comment>
    <comment ref="V220" authorId="344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220" authorId="345" shapeId="0" xr:uid="{9C4EAA34-DF34-4A20-947F-CB32D2DF395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</t>
      </text>
    </comment>
    <comment ref="AD220" authorId="346" shapeId="0" xr:uid="{760A5B33-2111-40D2-8FC5-742A7AE7F86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O221" authorId="347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Q221" authorId="348" shapeId="0" xr:uid="{834ED47B-857E-469C-A1AB-99DF6E09CA7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JL/JM04 under ORMT_SAP_240115_12_10335416</t>
      </text>
    </comment>
    <comment ref="O222" authorId="349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Q222" authorId="350" shapeId="0" xr:uid="{A2A5966C-4319-4DC5-853E-135BCD027BC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JL/JM04 under ORMT_SAP_240115_12_10335416</t>
      </text>
    </comment>
    <comment ref="J225" authorId="351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52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53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54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355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356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57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358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359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360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361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L235" authorId="362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</t>
      </text>
    </comment>
    <comment ref="J236" authorId="363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</t>
      </text>
    </comment>
    <comment ref="L236" authorId="364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</t>
      </text>
    </comment>
    <comment ref="J238" authorId="365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366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</t>
      </text>
    </comment>
    <comment ref="L240" authorId="367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368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P240" authorId="369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</t>
      </text>
    </comment>
    <comment ref="R240" authorId="370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</t>
      </text>
    </comment>
    <comment ref="T240" authorId="371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372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</t>
      </text>
    </comment>
    <comment ref="Z240" authorId="373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A240" authorId="374" shapeId="0" xr:uid="{7400D51E-2221-4022-9FAB-B6980CA48CF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J241" authorId="375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</t>
      </text>
    </comment>
    <comment ref="L241" authorId="376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377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</t>
      </text>
    </comment>
    <comment ref="P241" authorId="378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</t>
      </text>
    </comment>
    <comment ref="R241" authorId="379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</t>
      </text>
    </comment>
    <comment ref="T241" authorId="380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381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41" authorId="382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</t>
      </text>
    </comment>
    <comment ref="AA241" authorId="383" shapeId="0" xr:uid="{4D1DF346-6C97-4694-9285-6F1F9D6276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N242" authorId="384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385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386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387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50" authorId="388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2" authorId="389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tc={1D507A5F-721F-480A-81B6-A8B1C3D2D489}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tc={87104A36-A461-4BAD-ABE0-ECE4D4595BA9}</author>
    <author>tc={201ADC00-D6F2-4277-A404-C04AE53865A4}</author>
    <author>tc={0CF54541-2DCC-4F80-BF0B-548E0F1DA6D2}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tc={8779149F-0232-4034-9D12-6BEC808DF6D7}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tc={50107363-27E4-4693-A1A1-11AFD3B6D63A}</author>
    <author>tc={2CC64C0D-107B-48B8-841B-6A8C135B675D}</author>
    <author>tc={DF775FD1-78BD-44AA-A03C-9FCC1A7F3C21}</author>
    <author>tc={5A63F42E-57E1-4327-A97C-F75D7290208B}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tc={A1C07965-5D53-45C7-980A-D0F051F5CB0D}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tc={6B533988-9E63-4854-9859-C038DC76A635}</author>
    <author>tc={D38DFF19-0BCD-4EA9-8E05-7CCF1AD37A78}</author>
    <author>tc={D3AABDFD-423F-43B7-8C4F-E65EE1DADE75}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H30" authorId="10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</t>
      </text>
    </comment>
    <comment ref="AJ30" authorId="11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</t>
      </text>
    </comment>
    <comment ref="AL30" authorId="12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3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4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5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</t>
      </text>
    </comment>
    <comment ref="V44" authorId="16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</t>
      </text>
    </comment>
    <comment ref="X44" authorId="17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</t>
      </text>
    </comment>
    <comment ref="Z44" authorId="18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</t>
      </text>
    </comment>
    <comment ref="AB44" authorId="19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</t>
      </text>
    </comment>
    <comment ref="W57" authorId="20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1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R87" authorId="22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</t>
      </text>
    </comment>
    <comment ref="T87" authorId="23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</t>
      </text>
    </comment>
    <comment ref="V87" authorId="24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</t>
      </text>
    </comment>
    <comment ref="X87" authorId="25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</t>
      </text>
    </comment>
    <comment ref="Z87" authorId="26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</t>
      </text>
    </comment>
    <comment ref="AB87" authorId="27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</t>
      </text>
    </comment>
    <comment ref="AD87" authorId="28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29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</t>
      </text>
    </comment>
    <comment ref="AH87" authorId="30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</t>
      </text>
    </comment>
    <comment ref="R116" authorId="31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</t>
      </text>
    </comment>
    <comment ref="T116" authorId="32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</t>
      </text>
    </comment>
    <comment ref="V116" authorId="33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4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</t>
      </text>
    </comment>
    <comment ref="Z116" authorId="35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</t>
      </text>
    </comment>
    <comment ref="Q117" authorId="36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37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U117" authorId="38" shapeId="0" xr:uid="{1D507A5F-721F-480A-81B6-A8B1C3D2D48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R143" authorId="39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</t>
      </text>
    </comment>
    <comment ref="T143" authorId="40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</t>
      </text>
    </comment>
    <comment ref="V143" authorId="41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2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3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</t>
      </text>
    </comment>
    <comment ref="AB143" authorId="44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</t>
      </text>
    </comment>
    <comment ref="AD143" authorId="45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</t>
      </text>
    </comment>
    <comment ref="R156" authorId="46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</t>
      </text>
    </comment>
    <comment ref="T156" authorId="47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R170" authorId="48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R176" authorId="49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</t>
      </text>
    </comment>
    <comment ref="T176" authorId="50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V176" authorId="51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52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</t>
      </text>
    </comment>
    <comment ref="Z176" authorId="53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</t>
      </text>
    </comment>
    <comment ref="AB176" authorId="54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AH176" authorId="55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J176" authorId="56" shapeId="0" xr:uid="{8779149F-0232-4034-9D12-6BEC808DF6D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4kW allocation reduced due to live reading of 1.4kW
Reply:
    4kW allocation reduced due to live reading of 2.8kW
Reply:
    4kW allocation reduced due to live reading of 2.8kW</t>
      </text>
    </comment>
    <comment ref="R191" authorId="57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</t>
      </text>
    </comment>
    <comment ref="T191" authorId="58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</t>
      </text>
    </comment>
    <comment ref="V191" authorId="59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</t>
      </text>
    </comment>
    <comment ref="V195" authorId="60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1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U200" authorId="6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63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</t>
      </text>
    </comment>
    <comment ref="T217" authorId="64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V217" authorId="65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66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67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68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</t>
      </text>
    </comment>
    <comment ref="T255" authorId="69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</t>
      </text>
    </comment>
    <comment ref="X255" authorId="70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</t>
      </text>
    </comment>
    <comment ref="Z255" authorId="71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2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73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R265" authorId="74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75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76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</t>
      </text>
    </comment>
    <comment ref="T267" authorId="77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</t>
      </text>
    </comment>
    <comment ref="V267" authorId="78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79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</t>
      </text>
    </comment>
    <comment ref="Z267" authorId="80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</t>
      </text>
    </comment>
    <comment ref="AB267" authorId="81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82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</t>
      </text>
    </comment>
    <comment ref="AF267" authorId="83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</t>
      </text>
    </comment>
    <comment ref="AH267" authorId="84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85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</t>
      </text>
    </comment>
    <comment ref="AL267" authorId="86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</t>
      </text>
    </comment>
    <comment ref="R268" authorId="87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V268" authorId="88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</t>
      </text>
    </comment>
    <comment ref="X268" authorId="89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</t>
      </text>
    </comment>
    <comment ref="Z268" authorId="90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AB268" authorId="91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92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</t>
      </text>
    </comment>
    <comment ref="R275" authorId="93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94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</t>
      </text>
    </comment>
    <comment ref="V275" authorId="95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</t>
      </text>
    </comment>
    <comment ref="X275" authorId="96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</t>
      </text>
    </comment>
    <comment ref="Z275" authorId="97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</t>
      </text>
    </comment>
    <comment ref="AB275" authorId="98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99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</t>
      </text>
    </comment>
    <comment ref="AF275" authorId="100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</t>
      </text>
    </comment>
    <comment ref="U285" authorId="101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02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03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04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05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06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07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08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09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</t>
      </text>
    </comment>
    <comment ref="T302" authorId="110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</t>
      </text>
    </comment>
    <comment ref="V302" authorId="111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</t>
      </text>
    </comment>
    <comment ref="X302" authorId="112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13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14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15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16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17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18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19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20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21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</t>
      </text>
    </comment>
    <comment ref="V310" authorId="122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23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</t>
      </text>
    </comment>
    <comment ref="Z310" authorId="124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1kW allocation reduced due to live reading of 0.2kW</t>
      </text>
    </comment>
    <comment ref="AD310" authorId="125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</t>
      </text>
    </comment>
    <comment ref="AF310" authorId="126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</t>
      </text>
    </comment>
    <comment ref="AG310" authorId="127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I310" authorId="128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R320" authorId="129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30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31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32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T359" authorId="133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34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</t>
      </text>
    </comment>
    <comment ref="X359" authorId="135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</t>
      </text>
    </comment>
    <comment ref="Z359" authorId="136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</t>
      </text>
    </comment>
    <comment ref="AB359" authorId="137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38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</t>
      </text>
    </comment>
    <comment ref="AF359" authorId="139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</t>
      </text>
    </comment>
    <comment ref="AH359" authorId="140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</t>
      </text>
    </comment>
    <comment ref="AL359" authorId="141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42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</t>
      </text>
    </comment>
    <comment ref="R369" authorId="143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44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6kW allocation reduced due to live reading of 0.3kW</t>
      </text>
    </comment>
    <comment ref="R377" authorId="145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</t>
      </text>
    </comment>
    <comment ref="R378" authorId="146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81" authorId="147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</t>
      </text>
    </comment>
    <comment ref="T381" authorId="148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</t>
      </text>
    </comment>
    <comment ref="R383" authorId="149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</t>
      </text>
    </comment>
    <comment ref="T383" authorId="150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</t>
      </text>
    </comment>
    <comment ref="V383" authorId="151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</t>
      </text>
    </comment>
    <comment ref="R393" authorId="152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53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</t>
      </text>
    </comment>
    <comment ref="V393" authorId="154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</t>
      </text>
    </comment>
    <comment ref="X393" authorId="155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Z393" authorId="156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AB393" authorId="157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</t>
      </text>
    </comment>
    <comment ref="Q397" authorId="158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59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</t>
      </text>
    </comment>
    <comment ref="T405" authorId="160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</t>
      </text>
    </comment>
    <comment ref="R412" authorId="161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</t>
      </text>
    </comment>
    <comment ref="T412" authorId="162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63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</t>
      </text>
    </comment>
    <comment ref="X412" authorId="164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65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436" authorId="166" shapeId="0" xr:uid="{A1C07965-5D53-45C7-980A-D0F051F5CB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T439" authorId="167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</t>
      </text>
    </comment>
    <comment ref="V439" authorId="168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</t>
      </text>
    </comment>
    <comment ref="X439" authorId="169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</t>
      </text>
    </comment>
    <comment ref="Z439" authorId="170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</t>
      </text>
    </comment>
    <comment ref="AB439" authorId="171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</t>
      </text>
    </comment>
    <comment ref="R440" authorId="172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</t>
      </text>
    </comment>
    <comment ref="T440" authorId="173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R441" authorId="174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</t>
      </text>
    </comment>
    <comment ref="T441" authorId="175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</t>
      </text>
    </comment>
    <comment ref="V441" authorId="176" shapeId="0" xr:uid="{D3AABDFD-423F-43B7-8C4F-E65EE1DADE7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X441" authorId="177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178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79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</t>
      </text>
    </comment>
    <comment ref="Q442" authorId="180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181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182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83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</t>
      </text>
    </comment>
    <comment ref="U465" authorId="184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185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</t>
      </text>
    </comment>
    <comment ref="T467" authorId="186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187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188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</t>
      </text>
    </comment>
    <comment ref="AB467" authorId="189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</t>
      </text>
    </comment>
    <comment ref="R468" authorId="190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191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192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</t>
      </text>
    </comment>
    <comment ref="Z468" authorId="193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</t>
      </text>
    </comment>
    <comment ref="V469" authorId="194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</t>
      </text>
    </comment>
    <comment ref="X469" authorId="195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</t>
      </text>
    </comment>
    <comment ref="R470" authorId="196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</t>
      </text>
    </comment>
    <comment ref="S470" authorId="197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<sst xmlns="http://schemas.openxmlformats.org/spreadsheetml/2006/main" count="8021" uniqueCount="2130">
  <si>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</si>
  <si>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</si>
  <si>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</si>
  <si>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</si>
  <si>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</si>
  <si>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</si>
  <si>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</si>
  <si>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</si>
  <si>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</si>
  <si>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</si>
  <si>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</si>
  <si>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</si>
  <si>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</si>
  <si>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</si>
  <si>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</si>
  <si>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</si>
  <si>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</si>
  <si>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</si>
  <si>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</si>
  <si>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</si>
  <si>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</si>
  <si>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</si>
  <si>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</si>
  <si>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</si>
  <si>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</si>
  <si>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</si>
  <si>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</si>
  <si>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</si>
  <si>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</si>
  <si>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</si>
  <si>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</si>
  <si>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</si>
  <si>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</si>
  <si>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</si>
  <si>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</si>
  <si>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</si>
  <si>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</si>
  <si>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</si>
  <si>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</si>
  <si>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</si>
  <si>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</si>
  <si>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</si>
  <si>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</si>
  <si>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</si>
  <si>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</si>
  <si>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</si>
  <si>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</si>
  <si>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</si>
  <si>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</si>
  <si>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</si>
  <si>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</si>
  <si>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</si>
  <si>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</si>
  <si>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</si>
  <si>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</si>
  <si>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</si>
  <si>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</si>
  <si>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</si>
  <si>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</si>
  <si>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</si>
  <si>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</si>
  <si>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</si>
  <si>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</si>
  <si>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</si>
  <si>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</si>
  <si>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</si>
  <si>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</si>
  <si>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</si>
  <si>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</si>
  <si>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</si>
  <si>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</si>
  <si>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</si>
  <si>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</si>
  <si>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</si>
  <si>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</si>
  <si>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</si>
  <si>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</si>
  <si>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</si>
  <si>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</si>
  <si>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</si>
  <si>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</si>
  <si>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</si>
  <si>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</si>
  <si>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</si>
  <si>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</si>
  <si>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</si>
  <si>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</si>
  <si>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</si>
  <si>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</si>
  <si>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</si>
  <si>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</si>
  <si>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</si>
  <si>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</si>
  <si>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</si>
  <si>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</si>
  <si>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</si>
  <si>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</si>
  <si>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</si>
  <si>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</si>
  <si>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</si>
  <si>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</si>
  <si>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</si>
  <si>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</si>
  <si>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</si>
  <si>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</si>
  <si>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</si>
  <si>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</si>
  <si>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</si>
  <si>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</si>
  <si>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</si>
  <si>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</si>
  <si>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</si>
  <si>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</si>
  <si>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</si>
  <si>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</si>
  <si>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</si>
  <si>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</si>
  <si>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</si>
  <si>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</si>
  <si>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</si>
  <si>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</si>
  <si>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</si>
  <si>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</si>
  <si>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</si>
  <si>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</si>
  <si>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</si>
  <si>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</si>
  <si>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</si>
  <si>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</si>
  <si>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</si>
  <si>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</si>
  <si>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</si>
  <si>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</si>
  <si>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</si>
  <si>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</si>
  <si>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</si>
  <si>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</si>
  <si>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</si>
  <si>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</si>
  <si>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</si>
  <si>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</si>
  <si>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</si>
  <si>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</si>
  <si>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</si>
  <si>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</si>
  <si>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</si>
  <si>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</si>
  <si>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</si>
  <si>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</si>
  <si>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</si>
  <si>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</si>
  <si>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</si>
  <si>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</si>
  <si>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</si>
  <si>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</si>
  <si>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</si>
  <si>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</si>
  <si>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</si>
  <si>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</si>
  <si>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</si>
  <si>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</si>
  <si>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</si>
  <si>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</si>
  <si>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</si>
  <si>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</si>
  <si>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</si>
  <si>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</si>
  <si>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</si>
  <si>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</si>
  <si>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</si>
  <si>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</si>
  <si>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</si>
  <si>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</si>
  <si>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</si>
  <si>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</si>
  <si>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</si>
  <si>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</si>
  <si>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</si>
  <si>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</si>
  <si>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</si>
  <si>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</si>
  <si>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</si>
  <si>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</si>
  <si>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</si>
  <si>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</si>
  <si>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</si>
  <si>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</si>
  <si>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</si>
  <si>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</si>
  <si>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</si>
  <si>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</si>
  <si>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</si>
  <si>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</si>
  <si>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</si>
  <si>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</si>
  <si>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</si>
  <si>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</si>
  <si>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</si>
  <si>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</si>
  <si>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</si>
  <si>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</si>
  <si>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</si>
  <si>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</si>
  <si>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</si>
  <si>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</si>
  <si>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</si>
  <si>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</si>
  <si>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</si>
  <si>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</si>
  <si>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</si>
  <si>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</si>
  <si>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</si>
  <si>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</si>
  <si>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</si>
  <si>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</si>
  <si>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</si>
  <si>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</si>
  <si>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</si>
  <si>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</si>
  <si>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</si>
  <si>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</si>
  <si>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</si>
  <si>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</si>
  <si>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</si>
  <si>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</si>
  <si>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SYS02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</si>
  <si>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</si>
  <si>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</si>
  <si>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</si>
  <si>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</si>
  <si>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</si>
  <si>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</si>
  <si>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</si>
  <si>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</si>
  <si>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</si>
  <si>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</si>
  <si>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</si>
  <si>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</si>
  <si>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</si>
  <si>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</si>
  <si>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</si>
  <si>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</si>
  <si>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</si>
  <si>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</si>
  <si>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</si>
  <si>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</si>
  <si>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</si>
  <si>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</si>
  <si>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</si>
  <si>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</si>
  <si>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</si>
  <si>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</si>
  <si>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</si>
  <si>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</si>
  <si>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</si>
  <si>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</si>
  <si>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</si>
  <si>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</si>
  <si>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</si>
  <si>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</si>
  <si>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</si>
  <si>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</si>
  <si>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</si>
  <si>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</si>
  <si>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</si>
  <si>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</si>
  <si>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</si>
  <si>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</si>
  <si>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</si>
  <si>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</si>
  <si>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</si>
  <si>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</si>
  <si>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</si>
  <si>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</si>
  <si>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</si>
  <si>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SHTN03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</si>
  <si>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</si>
  <si>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</si>
  <si>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</si>
  <si>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</si>
  <si>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</si>
  <si>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</si>
  <si>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</si>
  <si>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</si>
  <si>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</si>
  <si>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</si>
  <si>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</si>
  <si>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</si>
  <si>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</si>
  <si>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</si>
  <si>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</si>
  <si>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</si>
  <si>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</si>
  <si>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</si>
  <si>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</si>
  <si>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</si>
  <si>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</si>
  <si>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</si>
  <si>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</si>
  <si>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</si>
  <si>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</si>
  <si>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</si>
  <si>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</si>
  <si>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</si>
  <si>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</si>
  <si>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</si>
  <si>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</si>
  <si>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</si>
  <si>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</si>
  <si>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</si>
  <si>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</si>
  <si>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</si>
  <si>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</si>
  <si>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</si>
  <si>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</si>
  <si>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</si>
  <si>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</si>
  <si>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</si>
  <si>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</si>
  <si>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</si>
  <si>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</si>
  <si>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</si>
  <si>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</si>
  <si>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</si>
  <si>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</si>
  <si>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</si>
  <si>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</si>
  <si>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</si>
  <si>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</si>
  <si>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</si>
  <si>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</si>
  <si>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</si>
  <si>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</si>
  <si>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</si>
  <si>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</si>
  <si>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</si>
  <si>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</si>
  <si>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</si>
  <si>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</si>
  <si>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</si>
  <si>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</si>
  <si>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</si>
  <si>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</si>
  <si>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</si>
  <si>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</si>
  <si>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</si>
  <si>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</si>
  <si>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</si>
  <si>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</si>
  <si>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</si>
  <si>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</si>
  <si>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</si>
  <si>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</si>
  <si>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</si>
  <si>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</si>
  <si>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</si>
  <si>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</si>
  <si>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</si>
  <si>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</si>
  <si>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</si>
  <si>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</si>
  <si>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</si>
  <si>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</si>
  <si>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</si>
  <si>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</si>
  <si>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</si>
  <si>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</si>
  <si>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</si>
  <si>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</si>
  <si>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</si>
  <si>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</si>
  <si>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JH01</t>
  </si>
  <si>
    <t>Ciena 6500-14 BC06</t>
  </si>
  <si>
    <t>Inverter Load</t>
  </si>
  <si>
    <t>Facebook BQBR09</t>
  </si>
  <si>
    <t>Netflix BNBP12</t>
  </si>
  <si>
    <t>Google BLBM14</t>
  </si>
  <si>
    <t>AKAMAI BL12</t>
  </si>
  <si>
    <t>VSS DC/DB&amp;DF1,2,4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</si>
  <si>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</si>
  <si>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</si>
  <si>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</si>
  <si>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</si>
  <si>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</si>
  <si>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</si>
  <si>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</si>
  <si>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</si>
  <si>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</si>
  <si>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</si>
  <si>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</si>
  <si>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</si>
  <si>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</si>
  <si>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</si>
  <si>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</si>
  <si>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</si>
  <si>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</si>
  <si>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</si>
  <si>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</si>
  <si>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</si>
  <si>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</si>
  <si>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</si>
  <si>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</si>
  <si>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</si>
  <si>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</si>
  <si>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</si>
  <si>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</si>
  <si>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</si>
  <si>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</si>
  <si>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</si>
  <si>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</si>
  <si>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</si>
  <si>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</si>
  <si>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</si>
  <si>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</si>
  <si>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</si>
  <si>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</si>
  <si>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A09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</si>
  <si>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</si>
  <si>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</si>
  <si>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</si>
  <si>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</si>
  <si>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</si>
  <si>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</si>
  <si>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</si>
  <si>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</si>
  <si>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</si>
  <si>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</si>
  <si>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</si>
  <si>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</si>
  <si>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</si>
  <si>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</si>
  <si>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</si>
  <si>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</si>
  <si>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</si>
  <si>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</si>
  <si>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</si>
  <si>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Boradband Capacity</t>
  </si>
  <si>
    <t>NCS-57C3</t>
  </si>
  <si>
    <t>Nokia ESA400 AA11</t>
  </si>
  <si>
    <t>AB1 Waveserver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</si>
  <si>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</si>
  <si>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</si>
  <si>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</si>
  <si>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</si>
  <si>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</si>
  <si>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</si>
  <si>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</si>
  <si>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</si>
  <si>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</si>
  <si>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</si>
  <si>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</si>
  <si>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</si>
  <si>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</si>
  <si>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</si>
  <si>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</si>
  <si>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</si>
  <si>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</si>
  <si>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</si>
  <si>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</si>
  <si>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</si>
  <si>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YZ02 RA</t>
  </si>
  <si>
    <t>YZ04 Alcatel 7210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</si>
  <si>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</si>
  <si>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</si>
  <si>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</si>
  <si>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</si>
  <si>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</si>
  <si>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</si>
  <si>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</si>
  <si>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</si>
  <si>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</si>
  <si>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</si>
  <si>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</si>
  <si>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</si>
  <si>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</si>
  <si>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</si>
  <si>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</si>
  <si>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</si>
  <si>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</si>
  <si>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</si>
  <si>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</si>
  <si>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</si>
  <si>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</si>
  <si>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</si>
  <si>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</si>
  <si>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</si>
  <si>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</si>
  <si>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</si>
  <si>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Ciena 6500 14 D09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</si>
  <si>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</si>
  <si>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</si>
  <si>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</si>
  <si>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</si>
  <si>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</si>
  <si>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</si>
  <si>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</si>
  <si>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</si>
  <si>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Ciena 6500  E03</t>
  </si>
  <si>
    <t>BT OSA AB08</t>
  </si>
  <si>
    <t>ST04 RA</t>
  </si>
  <si>
    <t>ST05 Alcatel 7210</t>
  </si>
  <si>
    <t>ST07 Alcate 7210</t>
  </si>
  <si>
    <t>A04 BT EAD</t>
  </si>
  <si>
    <t>Ciena 6500 7Slot A04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</si>
  <si>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</si>
  <si>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</si>
  <si>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</si>
  <si>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</si>
  <si>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</si>
  <si>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</si>
  <si>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</si>
  <si>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</si>
  <si>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</si>
  <si>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</si>
  <si>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</si>
  <si>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</si>
  <si>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</si>
  <si>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</si>
  <si>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</si>
  <si>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</si>
  <si>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</si>
  <si>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</si>
  <si>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</si>
  <si>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</si>
  <si>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</si>
  <si>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</si>
  <si>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</si>
  <si>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</si>
  <si>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</si>
  <si>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</si>
  <si>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</si>
  <si>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</si>
  <si>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</si>
  <si>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</si>
  <si>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</si>
  <si>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</si>
  <si>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</si>
  <si>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</si>
  <si>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</si>
  <si>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</si>
  <si>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</si>
  <si>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</si>
  <si>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</si>
  <si>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</si>
  <si>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</si>
  <si>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</si>
  <si>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</si>
  <si>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</si>
  <si>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</si>
  <si>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</si>
  <si>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</si>
  <si>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</si>
  <si>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</si>
  <si>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</si>
  <si>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</si>
  <si>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</si>
  <si>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</si>
  <si>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</si>
  <si>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</si>
  <si>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Ciena 6500-7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</si>
  <si>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</si>
  <si>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</si>
  <si>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</si>
  <si>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</si>
  <si>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</si>
  <si>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</si>
  <si>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</si>
  <si>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</si>
  <si>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</si>
  <si>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</si>
  <si>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</si>
  <si>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</si>
  <si>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</si>
  <si>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</si>
  <si>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</si>
  <si>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</si>
  <si>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</si>
  <si>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</si>
  <si>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</si>
  <si>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</si>
  <si>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</si>
  <si>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</si>
  <si>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</si>
  <si>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 xml:space="preserve">GF04 Ciena 6500 </t>
  </si>
  <si>
    <t>BA03 MDCN</t>
  </si>
  <si>
    <t xml:space="preserve">ST07 Alcatel 7210 </t>
  </si>
  <si>
    <t xml:space="preserve">  NP03  Cisco ASA-5585</t>
  </si>
  <si>
    <t>BA4 IGW,BA5 IGW</t>
  </si>
  <si>
    <t>XY2 RA</t>
  </si>
  <si>
    <t>XY03 PX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</si>
  <si>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</si>
  <si>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</si>
  <si>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</si>
  <si>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</si>
  <si>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</si>
  <si>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</si>
  <si>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</si>
  <si>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</si>
  <si>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</si>
  <si>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</si>
  <si>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</si>
  <si>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</si>
  <si>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</si>
  <si>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</si>
  <si>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</si>
  <si>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</si>
  <si>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</si>
  <si>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</si>
  <si>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</si>
  <si>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</si>
  <si>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</si>
  <si>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</si>
  <si>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</si>
  <si>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</si>
  <si>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</si>
  <si>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</si>
  <si>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</si>
  <si>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</si>
  <si>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</si>
  <si>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</si>
  <si>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</si>
  <si>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</si>
  <si>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</si>
  <si>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</si>
  <si>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</si>
  <si>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</si>
  <si>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</si>
  <si>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</si>
  <si>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</si>
  <si>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</si>
  <si>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</si>
  <si>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</si>
  <si>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</si>
  <si>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</si>
  <si>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</si>
  <si>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</si>
  <si>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</si>
  <si>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</si>
  <si>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</si>
  <si>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</si>
  <si>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</si>
  <si>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</si>
  <si>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</si>
  <si>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</si>
  <si>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</si>
  <si>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</si>
  <si>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</si>
  <si>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</si>
  <si>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</si>
  <si>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</si>
  <si>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</si>
  <si>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</si>
  <si>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</si>
  <si>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</si>
  <si>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</si>
  <si>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</si>
  <si>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</si>
  <si>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</si>
  <si>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IGW, E13 IGW</t>
  </si>
  <si>
    <t xml:space="preserve">K02, XG210 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</si>
  <si>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</si>
  <si>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</si>
  <si>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</si>
  <si>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</si>
  <si>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</si>
  <si>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</si>
  <si>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</si>
  <si>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</si>
  <si>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</si>
  <si>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</si>
  <si>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</si>
  <si>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EF10 Alcatel 7210</t>
  </si>
  <si>
    <t>E14 NOKIA 7750 SR12E(RA)</t>
  </si>
  <si>
    <t>A03 CIENA 6500- 7 SLOT</t>
  </si>
  <si>
    <t>E03 AWS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</si>
  <si>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</si>
  <si>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</si>
  <si>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</si>
  <si>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</si>
  <si>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</si>
  <si>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</si>
  <si>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</si>
  <si>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</si>
  <si>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</si>
  <si>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</si>
  <si>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</si>
  <si>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</si>
  <si>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</si>
  <si>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</si>
  <si>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</si>
  <si>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</si>
  <si>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</si>
  <si>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</si>
  <si>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</si>
  <si>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</si>
  <si>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</si>
  <si>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</si>
  <si>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</si>
  <si>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T02 Alcatel 7210</t>
  </si>
  <si>
    <t>MN06 RA</t>
  </si>
  <si>
    <t>M5a IGW, 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</si>
  <si>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</si>
  <si>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</si>
  <si>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</si>
  <si>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</si>
  <si>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</si>
  <si>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</si>
  <si>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</si>
  <si>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</si>
  <si>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</si>
  <si>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</si>
  <si>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</si>
  <si>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</si>
  <si>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</si>
  <si>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</si>
  <si>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</si>
  <si>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</si>
  <si>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</si>
  <si>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</si>
  <si>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</si>
  <si>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</si>
  <si>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</si>
  <si>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JN04 Juniper SRX 4200</t>
  </si>
  <si>
    <t>JQ4 Nokia 7750 SR-7B</t>
  </si>
  <si>
    <t>JQ5 Nokia 7750 SR-7B</t>
  </si>
  <si>
    <t>JS3 Nokia 7750 SR-2s</t>
  </si>
  <si>
    <t>JL/JM 04 Nokia 7210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</si>
  <si>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</si>
  <si>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</si>
  <si>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</si>
  <si>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</si>
  <si>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</si>
  <si>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</si>
  <si>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</si>
  <si>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</si>
  <si>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</si>
  <si>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</si>
  <si>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</si>
  <si>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</si>
  <si>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</si>
  <si>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</si>
  <si>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</si>
  <si>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</si>
  <si>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</si>
  <si>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</si>
  <si>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</si>
  <si>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</si>
  <si>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</si>
  <si>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</si>
  <si>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</si>
  <si>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</si>
  <si>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</si>
  <si>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</si>
  <si>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5/6D Nokia 7210</t>
  </si>
  <si>
    <t>20B FACEBOOK</t>
  </si>
  <si>
    <t>20C FACEBOOK</t>
  </si>
  <si>
    <t>20/21E QWILT</t>
  </si>
  <si>
    <t>20/21F NOKIA7750 SR-7S</t>
  </si>
  <si>
    <t>WS5 20/21G</t>
  </si>
  <si>
    <t>A02 Ciena 6500-14 slot</t>
  </si>
  <si>
    <t>NP11 Alcatel 7210</t>
  </si>
  <si>
    <t>EF19 RA</t>
  </si>
  <si>
    <t>P03 BT EAD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</si>
  <si>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</si>
  <si>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</si>
  <si>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</si>
  <si>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</si>
  <si>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</si>
  <si>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</si>
  <si>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</si>
  <si>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</si>
  <si>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</si>
  <si>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</si>
  <si>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</si>
  <si>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</si>
  <si>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</si>
  <si>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</si>
  <si>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</si>
  <si>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CAMN02_SEC_WALL_CBDB_01</t>
  </si>
  <si>
    <t>CAMN02</t>
  </si>
  <si>
    <t>CAMN02_SEC_WALL_CBDB_02</t>
  </si>
  <si>
    <t>CAMN02_SYS01_PER_01</t>
  </si>
  <si>
    <t>CAMN41_SEC_CBDB_BC01</t>
  </si>
  <si>
    <t>CAMN41</t>
  </si>
  <si>
    <t>CFDTN1_SEC_WALL_CBDB_1</t>
  </si>
  <si>
    <t>CFDTN1</t>
  </si>
  <si>
    <t>CFDTN1_SEC_WALL_CBDB_2</t>
  </si>
  <si>
    <t>CFDTN1_SEC_WALL_CBDB_3</t>
  </si>
  <si>
    <t>CFDTN1_SEC_WALL_CBDB_4</t>
  </si>
  <si>
    <t>CFDTN1_SYS01_PER_01</t>
  </si>
  <si>
    <t>KLNN01 DCDB01</t>
  </si>
  <si>
    <t>KLNN01</t>
  </si>
  <si>
    <t>EOS ONLY</t>
  </si>
  <si>
    <t>NRWN51_SEC_CBDB_BC01</t>
  </si>
  <si>
    <t>NRWN51</t>
  </si>
  <si>
    <t>NRW TN1_SEC_CBDB_P01</t>
  </si>
  <si>
    <t>NRWTN1</t>
  </si>
  <si>
    <t>NRW TN1_SEC_WALL_CBDB1</t>
  </si>
  <si>
    <t>NRW TN1_SEC_WALL_CBDB2</t>
  </si>
  <si>
    <t>NRWTN1_SYS01_PER01</t>
  </si>
  <si>
    <t>PTBTN1_SEC_DD770_DE16</t>
  </si>
  <si>
    <t>PTBTN1</t>
  </si>
  <si>
    <t>PTBTN1_SEC_DD770_JH16</t>
  </si>
  <si>
    <t>WTT_SEC_CBDB_01 - ignore</t>
  </si>
  <si>
    <t>WTT</t>
  </si>
  <si>
    <t>WTT_SEC_CBDB_02 - ignore</t>
  </si>
  <si>
    <t>WTT_SEC_DCDB_CD10</t>
  </si>
  <si>
    <t xml:space="preserve">BFTN03 - Ignore this line </t>
  </si>
  <si>
    <t>BFTN03</t>
  </si>
  <si>
    <t>No records</t>
  </si>
  <si>
    <t>6500-14 B08</t>
  </si>
  <si>
    <t>ACTN01_PDU1A_B</t>
  </si>
  <si>
    <t>ACTN01;DC SYS01</t>
  </si>
  <si>
    <t>ACTN01</t>
  </si>
  <si>
    <t>ACTN01_SEC_CBDB_ALAM1_04 - CAPPED - Do not Allocate</t>
  </si>
  <si>
    <t>ACTN01_SEC_DD770_ACAD1_01</t>
  </si>
  <si>
    <t>ACTN01_SEC_DD770_AEAF1_02</t>
  </si>
  <si>
    <t>ACTN01_SEC_DD770_AGAH1_03</t>
  </si>
  <si>
    <t>ACTN01_SEC_DD770_ATAS1_05</t>
  </si>
  <si>
    <t>BHWCN1_SYS_DCDB_WALL</t>
  </si>
  <si>
    <t>BHWCN1</t>
  </si>
  <si>
    <t>90A</t>
  </si>
  <si>
    <t>BTFTB1_PDU1A_B</t>
  </si>
  <si>
    <t>BTFTB1</t>
  </si>
  <si>
    <t>AB7 QWILT</t>
  </si>
  <si>
    <t>Capped_BTFTB1_SEC_DCDB_C11</t>
  </si>
  <si>
    <t>Capped_BTFTB1_SEC_DCDB_Suite K14</t>
  </si>
  <si>
    <t>CHTN07_SEC_DD770_00_AB09</t>
  </si>
  <si>
    <t>CHTN07</t>
  </si>
  <si>
    <t>CHTN07_SEC_DD770_01_CD09</t>
  </si>
  <si>
    <t xml:space="preserve">EF05 Alcatel 7210 </t>
  </si>
  <si>
    <t>CHTN07_SEC_DD770_02_JK01</t>
  </si>
  <si>
    <t>CHTN07_SEC_DD770_03_YZ01</t>
  </si>
  <si>
    <t>CHTN07_SEC_DD770_06_WALL_AM AN</t>
  </si>
  <si>
    <t>CHTN07_SEC_DD770_AA AB01</t>
  </si>
  <si>
    <t>CHTN07_SEC_DD770_AK00</t>
  </si>
  <si>
    <t>CHTN07_SEC_DD770_NP01</t>
  </si>
  <si>
    <t>CHTN07_SEC_DD770_UV01</t>
  </si>
  <si>
    <t>CHTN07_SEC_DD770_WX01</t>
  </si>
  <si>
    <t>CHTN07_SEC_WALL_Eaton_AG AH</t>
  </si>
  <si>
    <t>N/A</t>
  </si>
  <si>
    <t>CHTTN3_PDU1A_B</t>
  </si>
  <si>
    <t>CHTTN3</t>
  </si>
  <si>
    <t>CHTTN3_SEC_WALL_DCDB_ 02</t>
  </si>
  <si>
    <t>CHTTN3_SEC_WALL_DCDB_ 04</t>
  </si>
  <si>
    <t>CYNTN2_SEC_DD770_BE08_DB1</t>
  </si>
  <si>
    <t>CYNTN2</t>
  </si>
  <si>
    <t>CYNTN2_SEC_DD770_BG08_DB2</t>
  </si>
  <si>
    <t>CYNTN2_SEC_DD770_BM02_DB5</t>
  </si>
  <si>
    <t>CYNTN2_SEC_DD770_J01_DB3</t>
  </si>
  <si>
    <t>Waddon_DCDB</t>
  </si>
  <si>
    <t>WADN01</t>
  </si>
  <si>
    <t>DKTN08_SEC_DD770_CD01_01</t>
  </si>
  <si>
    <t>DKTN08</t>
  </si>
  <si>
    <t>DKTN08_SEC_DD770_EF01_02</t>
  </si>
  <si>
    <t>DKTN08_SEC_DD770_JK01_03</t>
  </si>
  <si>
    <t>DKTN08_SEC_DD770_LM01_04</t>
  </si>
  <si>
    <t>DKTN08_SEC_DD770_QR01_05</t>
  </si>
  <si>
    <t>HRWN02_SEC_DD770_CD01</t>
  </si>
  <si>
    <t>HRWN02</t>
  </si>
  <si>
    <t>HRWN02_SEC_DD770_GH01</t>
  </si>
  <si>
    <t>DCDB _C4.</t>
  </si>
  <si>
    <t>IODN01</t>
  </si>
  <si>
    <t>DCDB _E04</t>
  </si>
  <si>
    <t>DCDB _G04</t>
  </si>
  <si>
    <t>IODN02</t>
  </si>
  <si>
    <t>DCDB _J04</t>
  </si>
  <si>
    <t>MN02 Op-ex</t>
  </si>
  <si>
    <t>MN02 RLS&amp;WAVESERVER</t>
  </si>
  <si>
    <t>IGNN01_SEC_CBDB_EF11</t>
  </si>
  <si>
    <t>IGNN01</t>
  </si>
  <si>
    <t>IGNN01_SEC_DD770_ CD01</t>
  </si>
  <si>
    <t>IGNN01_SEC_DD770_ CD23</t>
  </si>
  <si>
    <t>IGNN01_SEC_DD770_ GH01</t>
  </si>
  <si>
    <t>LSWN01_SEC_DD770_DE01_03</t>
  </si>
  <si>
    <t>LSWN01</t>
  </si>
  <si>
    <t>LSWN01_SEC_DD770_FG01_02</t>
  </si>
  <si>
    <t>GF06 Alcatel7210 sas x</t>
  </si>
  <si>
    <t>LSWN01_SEC_DD770_JH01_01</t>
  </si>
  <si>
    <t xml:space="preserve">RS07 polatis </t>
  </si>
  <si>
    <t>LSWN01_SEC_DD770_PQ01_04</t>
  </si>
  <si>
    <t>LSWN02_SEC_DCDB_DC01</t>
  </si>
  <si>
    <t>LSWN02</t>
  </si>
  <si>
    <t>LSWN02_SEC_DCDB_EF01</t>
  </si>
  <si>
    <t>PRLN02;DC DB;SUITE G</t>
  </si>
  <si>
    <t>PRLN02</t>
  </si>
  <si>
    <t>RFDN11_SEC_CBDB_ CD01</t>
  </si>
  <si>
    <t>RFDN11</t>
  </si>
  <si>
    <t>SMHN02_SEC_DD770_JK01_02</t>
  </si>
  <si>
    <t>SMHN02</t>
  </si>
  <si>
    <t>SMHN02_SEC_DD770_LM01_01</t>
  </si>
  <si>
    <t>SQYN01_SEC_DD770_BC1</t>
  </si>
  <si>
    <t>SQYN01</t>
  </si>
  <si>
    <t>SQYN01_SEC_DD770_BL1</t>
  </si>
  <si>
    <t>SQYN01_SEC_DD770_BN1</t>
  </si>
  <si>
    <t>SQYN01_SEC_DD770_BQ1</t>
  </si>
  <si>
    <t>SQYN01_SEC_DD770_BS1</t>
  </si>
  <si>
    <t>SQYN01_SEC_DD770_BV1</t>
  </si>
  <si>
    <t>SQYN01_SEC_DD770_BW1</t>
  </si>
  <si>
    <t>SQYN01_SEC_DD770_BY1</t>
  </si>
  <si>
    <t>SQYN01_SEC_DD770_DE1</t>
  </si>
  <si>
    <t>SQYN01_SEC_DD770_DN1</t>
  </si>
  <si>
    <t>SQYN02_PDU1A_B</t>
  </si>
  <si>
    <t>SQYN02;DC SYS08A</t>
  </si>
  <si>
    <t>SQYN02</t>
  </si>
  <si>
    <t>GB10 ESA400</t>
  </si>
  <si>
    <t>SQYN02_SEC_DCDB_JJJK07</t>
  </si>
  <si>
    <t>SQYN02;DC SYS07</t>
  </si>
  <si>
    <t>SQYN02_SEC_DD770_FA1</t>
  </si>
  <si>
    <t>SQYN02_SEC_DD770_FE1</t>
  </si>
  <si>
    <t>SQYN02_SEC_DD770_GL1</t>
  </si>
  <si>
    <t>SQYN02_SEC_DD770_GR1</t>
  </si>
  <si>
    <t>SQYN02_SEC_DD770_HM13</t>
  </si>
  <si>
    <t>SQYN02;DC SYS06</t>
  </si>
  <si>
    <t>SQYN02_SEC_DD770_HP1</t>
  </si>
  <si>
    <t>SQYN02_SEC_DD770_HS1</t>
  </si>
  <si>
    <t>DCDB PER A.</t>
  </si>
  <si>
    <t>TELHS2</t>
  </si>
  <si>
    <t>DCDB PER B.</t>
  </si>
  <si>
    <t>TELHS1_EXP_SEC_DCDB_14_15_D</t>
  </si>
  <si>
    <t>TELHS1</t>
  </si>
  <si>
    <t>TELHS1_DCDB Wallbox.  - ignore</t>
  </si>
  <si>
    <t>n/a</t>
  </si>
  <si>
    <t>TELHS1_SEC_DCDB_14_15_H.</t>
  </si>
  <si>
    <t>VHXN02_SEC_DD770_CD1</t>
  </si>
  <si>
    <t>VHXN02</t>
  </si>
  <si>
    <t>VHXN02_SEC_DD770_GH1</t>
  </si>
  <si>
    <t>VXHINT_SEC_Eaton_BA11</t>
  </si>
  <si>
    <t>VXHINT</t>
  </si>
  <si>
    <t>WAHP03_SEC_CBDB_10_11_A</t>
  </si>
  <si>
    <t>WAHP03</t>
  </si>
  <si>
    <t>WAHP03_SEC_CBDB_12_13_A</t>
  </si>
  <si>
    <t>WAHP03_SEC_CBDB_16_17_A</t>
  </si>
  <si>
    <t>WAHP03_SEC_CBDB_18_19_A</t>
  </si>
  <si>
    <t>WAHP03_SEC_CBDB_2_3_A</t>
  </si>
  <si>
    <t>WAHP03_SEC_CBDB_20_21_A</t>
  </si>
  <si>
    <t>Wavesever20/21G</t>
  </si>
  <si>
    <t>WAHP03_SEC_CBDB_22_23_A</t>
  </si>
  <si>
    <t>WAHP03_SEC_CBDB_4_5_A</t>
  </si>
  <si>
    <t>WAHP03_SEC_CBDB_6_7_A</t>
  </si>
  <si>
    <t>WAHP03_SEC_CBDB_8_9_A</t>
  </si>
  <si>
    <t>CAPPED_WAHP06_SEC_CBDB00_1_2_D</t>
  </si>
  <si>
    <t>WAHP06</t>
  </si>
  <si>
    <t>CAPPED_WAHP06_SEC_CBDB01_1_2_P</t>
  </si>
  <si>
    <t>WAHP06_PDU1_A_B</t>
  </si>
  <si>
    <t>1S to V Op-Ex</t>
  </si>
  <si>
    <t>3K Op-Ex</t>
  </si>
  <si>
    <t>WAHP06_SEC_CBDB00_3_4_N</t>
  </si>
  <si>
    <t>DCDB Details WAIP06.</t>
  </si>
  <si>
    <t>WAIP06</t>
  </si>
  <si>
    <t>DCDB_BTNW01- ADVANCE DC 600  Suite 2D.</t>
  </si>
  <si>
    <t>BTNW01</t>
  </si>
  <si>
    <t>DCDB_BTNW01- ADVANCE DC 600  Suite 3D.</t>
  </si>
  <si>
    <t>BTNW02</t>
  </si>
  <si>
    <t>BCT - DCDB-Suite IJ01</t>
  </si>
  <si>
    <t>BCT</t>
  </si>
  <si>
    <t>IJ05 Alcatel 7210</t>
  </si>
  <si>
    <t>BCT_SEC_DCDB_WALL</t>
  </si>
  <si>
    <t>BCT_SYS_DCDB_WALL - Ignore</t>
  </si>
  <si>
    <t>BHMTF1 - DCDB.A - Suite.A-B Rack.10A</t>
  </si>
  <si>
    <t>BHMTF1</t>
  </si>
  <si>
    <t>BHMTF1 - DCDB.B - Suite.A-B Rack.9A</t>
  </si>
  <si>
    <t>BMGV02_SEC_CBDB00_2_3_A</t>
  </si>
  <si>
    <t>BMGV02</t>
  </si>
  <si>
    <t>BMGV02_SEC_CBDB01_6_7_A</t>
  </si>
  <si>
    <t>BMGV02_SEC_CBDB02_8_9_A</t>
  </si>
  <si>
    <t>BMGV02_SEC_CBDB03_10_11_A</t>
  </si>
  <si>
    <t>BMGV02_SEC_CBDB04_12_13_A</t>
  </si>
  <si>
    <t>BMGV02_SEC_CBDB05_14_15_A</t>
  </si>
  <si>
    <t>BMGV02_SEC_CBDB06_16_17_A</t>
  </si>
  <si>
    <t>BMGV03_SEC_CBDB_10_11_B</t>
  </si>
  <si>
    <t>BMGV03</t>
  </si>
  <si>
    <t>NO PANEL TO READ</t>
  </si>
  <si>
    <t>12th Novemeber 2020</t>
  </si>
  <si>
    <t>BMGV03_SEC_CBDB_12_13_B</t>
  </si>
  <si>
    <t>BMGV03_SEC_CBDB_2_3_B</t>
  </si>
  <si>
    <t>BMGV03_SEC_CBDB_6_7_B</t>
  </si>
  <si>
    <t>BMGV03_SEC_CBDB_8_9_B</t>
  </si>
  <si>
    <t>BHMN05_SEC_DCDB_AG01</t>
  </si>
  <si>
    <t>BHMN05</t>
  </si>
  <si>
    <t>BHMN05_SEC_WALL_DCDB_A</t>
  </si>
  <si>
    <t>BHMN05_SEC_WALL_DCDB_B</t>
  </si>
  <si>
    <t>BHMN05_SEC_WALL_DCDB_C</t>
  </si>
  <si>
    <t>BHMN05_SEC_WALL_DCDB_D</t>
  </si>
  <si>
    <t>BHMN08_PDU1A_B.</t>
  </si>
  <si>
    <t>BHMN08</t>
  </si>
  <si>
    <t xml:space="preserve">C6 WS5 &amp; ai </t>
  </si>
  <si>
    <t>NECCD1 (EATON RACKS)_Suite G 1&amp;2.</t>
  </si>
  <si>
    <t>NECCD1</t>
  </si>
  <si>
    <t>NONE</t>
  </si>
  <si>
    <t>21ST OCTOBER 2020</t>
  </si>
  <si>
    <t>NECCD1_DC-DB (Wall Mounted ).</t>
  </si>
  <si>
    <t>CELL01 - ADVANCE DC 600  Suite 2C.</t>
  </si>
  <si>
    <t>CELL01</t>
  </si>
  <si>
    <t>17th December 2020</t>
  </si>
  <si>
    <t>CELL01 - ADVANCE DC 600  Suite 3C.</t>
  </si>
  <si>
    <t>CELL02</t>
  </si>
  <si>
    <t>COV_SEC_DD770_AC01</t>
  </si>
  <si>
    <t>COV</t>
  </si>
  <si>
    <t>COV_SEC_DD770_AJ01</t>
  </si>
  <si>
    <t>22nd October 2020</t>
  </si>
  <si>
    <t>COV_SEC_DD770_RS04</t>
  </si>
  <si>
    <t>DBY_SEC_DD770_PQ1</t>
  </si>
  <si>
    <t>DBY</t>
  </si>
  <si>
    <t>EVMN01_DCDIST_GH04</t>
  </si>
  <si>
    <t>EVMN01</t>
  </si>
  <si>
    <t>5th November 2020</t>
  </si>
  <si>
    <t>AB 02  XG210</t>
  </si>
  <si>
    <t>EVMN01_SEC_DCDIST_GH02</t>
  </si>
  <si>
    <t>LMSCN2 - DCDB - Suite D and E - Wall Mounted.</t>
  </si>
  <si>
    <t>LMSCN2</t>
  </si>
  <si>
    <t>LMSCN2 - DCDB - Suite G - Wall Mounted.</t>
  </si>
  <si>
    <t>NO METER ON PANEL</t>
  </si>
  <si>
    <t>LCT_PDU1A_B</t>
  </si>
  <si>
    <t>LCT</t>
  </si>
  <si>
    <t>LCT_SEC_CBDB#02_NN01</t>
  </si>
  <si>
    <t>LCT_SEC_DD770_Q5</t>
  </si>
  <si>
    <t>NGM_SEC _DD770_NN07</t>
  </si>
  <si>
    <t>NGM</t>
  </si>
  <si>
    <t>I</t>
  </si>
  <si>
    <t>NGM_SEC_DD770_U</t>
  </si>
  <si>
    <t>NGMTL1_SEC_ L16</t>
  </si>
  <si>
    <t>NGMTL1</t>
  </si>
  <si>
    <t>Supply cable size
(sq mm)</t>
  </si>
  <si>
    <t>BSHN03_SEC_CBDB_CA11</t>
  </si>
  <si>
    <t>BSHN03</t>
  </si>
  <si>
    <t>BSHN03_SEC_DD770_AA01</t>
  </si>
  <si>
    <t>BSHN03_SEC_DD770_AC01</t>
  </si>
  <si>
    <t>BSHN03_SEC_DD770_AE01</t>
  </si>
  <si>
    <t>BSHN03_SEC_DD770_AG01</t>
  </si>
  <si>
    <t>BSHN03_SEC_DD770_BA01</t>
  </si>
  <si>
    <t>BSHN03_SEC_DD770_BC01</t>
  </si>
  <si>
    <t>BSHN03_SEC_DD770_BE01</t>
  </si>
  <si>
    <t>BSHN03_SEC_DD770_BG01</t>
  </si>
  <si>
    <t>BSHN03_SEC_DD770_CE01</t>
  </si>
  <si>
    <t>BSHN03_SEC_DD770_CG01</t>
  </si>
  <si>
    <t>BSHN03_SEC_DD770_GH14</t>
  </si>
  <si>
    <t>BSHN07_SEC_CBDB_E01</t>
  </si>
  <si>
    <t>BSHN07</t>
  </si>
  <si>
    <t>Facebook</t>
  </si>
  <si>
    <t>BSHN07_SEC_DD770_LL03</t>
  </si>
  <si>
    <t>BSHN08_PDU1A_B</t>
  </si>
  <si>
    <t>BSHN08</t>
  </si>
  <si>
    <t>Util rack</t>
  </si>
  <si>
    <t>Home BB</t>
  </si>
  <si>
    <t>SOLN02_SEC_DD770_DE01</t>
  </si>
  <si>
    <t>SOLN02</t>
  </si>
  <si>
    <t>SOLN02_SEC_DD770_GF01</t>
  </si>
  <si>
    <t>FG03 BT Util</t>
  </si>
  <si>
    <t>SOT_SEC_DCDB_ WALL_Suite GH - Rack 03</t>
  </si>
  <si>
    <t>SOT</t>
  </si>
  <si>
    <t>SOT_SEC_WALL_DCDB_01_No DCDB found</t>
  </si>
  <si>
    <t>SOT_SEC_WALL_DCDB_02_No DCDB found</t>
  </si>
  <si>
    <t>SOT_SEC_WALL_DCDBA&amp;B_No DCDB found</t>
  </si>
  <si>
    <t>WVHTF1_SEC_DCDB.1 - Suite.J Rack.0.</t>
  </si>
  <si>
    <t>WVHTF1</t>
  </si>
  <si>
    <t>23rd March 2021</t>
  </si>
  <si>
    <t>CHDCD1_SEC_CBDB_ D05</t>
  </si>
  <si>
    <t>CHDCD1</t>
  </si>
  <si>
    <t>DONTN1_DCDB _GH2</t>
  </si>
  <si>
    <t>DONTN1</t>
  </si>
  <si>
    <t>LDMS13_SYS_DCDB_3J</t>
  </si>
  <si>
    <t>LDMS13</t>
  </si>
  <si>
    <t>LDSCD1_SEC_DD770_AB1</t>
  </si>
  <si>
    <t>LDSCD1;DC SYS01</t>
  </si>
  <si>
    <t>LDSCD1</t>
  </si>
  <si>
    <t>LDSCD1_SEC_WALL_DD770</t>
  </si>
  <si>
    <t>LDSCD1_SYS_DCDB_01</t>
  </si>
  <si>
    <t>LDSCD1_SYS_DCDB_02</t>
  </si>
  <si>
    <t>LDSCD2_PDU1A_B</t>
  </si>
  <si>
    <t>LDSCD2</t>
  </si>
  <si>
    <t>XY06 Nokia 7750SR7s</t>
  </si>
  <si>
    <t>LDSCD2_SEC_CBDB_AB1</t>
  </si>
  <si>
    <t>LDSCD2_SEC_CBDB_CD1</t>
  </si>
  <si>
    <t>C13 6500-32</t>
  </si>
  <si>
    <t>LDSCD2_SEC_CBDB_EF1</t>
  </si>
  <si>
    <t>LDSCD2_SEC_CBDB_GH1</t>
  </si>
  <si>
    <t>G15 BTOSA</t>
  </si>
  <si>
    <t>LDSCD2_SEC_CBDB_JK1</t>
  </si>
  <si>
    <t>LDSCD2_SEC_CBDB_TU01</t>
  </si>
  <si>
    <t>XY05 HPDL360S</t>
  </si>
  <si>
    <t>Netflix TU12</t>
  </si>
  <si>
    <t>LDSCD2_SEC_CBDB_XY01 (this is actually the iPDU)</t>
  </si>
  <si>
    <t>LDSTS1_DCDB Eaton J10</t>
  </si>
  <si>
    <t>LDSTS1</t>
  </si>
  <si>
    <t>LDSTS1_DCDB Eaton M19</t>
  </si>
  <si>
    <t>LDSTS1 EOS DA</t>
  </si>
  <si>
    <t>LDSTS1 EOS EA</t>
  </si>
  <si>
    <t>LDSTS1 EOS FA</t>
  </si>
  <si>
    <t>LDSTS1 EOS GA</t>
  </si>
  <si>
    <t>LDSTS1 EOS HA</t>
  </si>
  <si>
    <t>LDSTS1 EOS JA</t>
  </si>
  <si>
    <t>LDSTS1 EOS KA</t>
  </si>
  <si>
    <t>LDSTS1 EOS LA</t>
  </si>
  <si>
    <t>LDSTS1 EOS M</t>
  </si>
  <si>
    <t>LDSTS1 EOS MA</t>
  </si>
  <si>
    <t>LDSTS1 EOS N</t>
  </si>
  <si>
    <t>LDSTS1 EOS NA</t>
  </si>
  <si>
    <t>IGNORE</t>
  </si>
  <si>
    <t>MDBTD1_EATON DC-DB-1.</t>
  </si>
  <si>
    <t>MDBTD1</t>
  </si>
  <si>
    <t>16/10/2020</t>
  </si>
  <si>
    <t>NULTB1_SEC_CBDB_Suite D.</t>
  </si>
  <si>
    <t>NULTB1</t>
  </si>
  <si>
    <t>NWCN05_PDU1A_B</t>
  </si>
  <si>
    <t>NWCN05;DC SYS01</t>
  </si>
  <si>
    <t>NWCN05</t>
  </si>
  <si>
    <t>NWCN05_SEC_DD770_AB01</t>
  </si>
  <si>
    <t>NWCN05_SEC_DD770_CD17</t>
  </si>
  <si>
    <t xml:space="preserve">K02,XG210 </t>
  </si>
  <si>
    <t>SHD_SEC_DD770_AB7</t>
  </si>
  <si>
    <t>SHD</t>
  </si>
  <si>
    <t>SHD_SEC_DD770_GH00</t>
  </si>
  <si>
    <t>SHD_SEC_WALL_CBDB4</t>
  </si>
  <si>
    <t>SNDTM1_PRI_WALL_DIST A3_RECT A</t>
  </si>
  <si>
    <t>SNDTM1</t>
  </si>
  <si>
    <t>SNDTM1_PRI_WALL_DIST B2_RECT B</t>
  </si>
  <si>
    <t>TGY_SEC_DD770_D08</t>
  </si>
  <si>
    <t>TGYN04</t>
  </si>
  <si>
    <t>TGY_SEC_DD770_V1</t>
  </si>
  <si>
    <t>TGY_SEC_WALL_CBDB</t>
  </si>
  <si>
    <t>TGY_SEC_Eaton_BD01_Room5</t>
  </si>
  <si>
    <t>TGYN02_SEC_DD770_N01</t>
  </si>
  <si>
    <t>TGYN02_SEC_WALL_DCDB5</t>
  </si>
  <si>
    <t>TGYN03_SEC_DD770_01</t>
  </si>
  <si>
    <t>TGYN04_SEC_EATON_D04</t>
  </si>
  <si>
    <t>YRK_SEC_DD770_WALL_1</t>
  </si>
  <si>
    <t>YRK</t>
  </si>
  <si>
    <t>YRKTH1_SEC_CBDB_ DE01</t>
  </si>
  <si>
    <t>YRKTH1</t>
  </si>
  <si>
    <t>BIFTS1_POWEC_C08</t>
  </si>
  <si>
    <t>BIFTS1</t>
  </si>
  <si>
    <t>BPL_SEC_DCDB_F05</t>
  </si>
  <si>
    <t>BPL</t>
  </si>
  <si>
    <t>DE3 UTILITY RACK</t>
  </si>
  <si>
    <t>CSL_SEC_WALL_DCDB_01</t>
  </si>
  <si>
    <t>CSL;DC SYS01</t>
  </si>
  <si>
    <t>CSL</t>
  </si>
  <si>
    <t>CSL_SYS01_PER_01</t>
  </si>
  <si>
    <t>CSLN13_SEC_CBDB_ BC0</t>
  </si>
  <si>
    <t>CSLN13</t>
  </si>
  <si>
    <t>CTRTK1_SEC_EATON_BC0</t>
  </si>
  <si>
    <t>CTRTK1</t>
  </si>
  <si>
    <t>CTRTS1_SEC_DCDB_GH10</t>
  </si>
  <si>
    <t>CTRTS1</t>
  </si>
  <si>
    <t>EBCTC1_EOS A</t>
  </si>
  <si>
    <t>EBCTC1</t>
  </si>
  <si>
    <t>D5 Ciena 6500</t>
  </si>
  <si>
    <t>DGS DB1</t>
  </si>
  <si>
    <t>DGS</t>
  </si>
  <si>
    <t>Not correct form</t>
  </si>
  <si>
    <t>DGS N2K</t>
  </si>
  <si>
    <t>KNLTS1_POWEC_PPS25_EXT CAB1</t>
  </si>
  <si>
    <t>KNLTS1</t>
  </si>
  <si>
    <t>KNLTS1_POWEC_PPS25_EXT CAB2</t>
  </si>
  <si>
    <t>KNLTS1_POWEC_PPS25_MAIN CAB</t>
  </si>
  <si>
    <t>LLDTE1_EOS KL00 - ignore</t>
  </si>
  <si>
    <t>LLDTE1</t>
  </si>
  <si>
    <t>LPLTB1_SEC_EATON_DC06</t>
  </si>
  <si>
    <t>LPLTB1</t>
  </si>
  <si>
    <t>MCRN11_SEC_CBDB_PQ18</t>
  </si>
  <si>
    <t>MCRN11</t>
  </si>
  <si>
    <t>26/03/2018</t>
  </si>
  <si>
    <t>MCRN11_SEC_DD770_BC01</t>
  </si>
  <si>
    <t>MCRN11_SEC_DD770_HJ01</t>
  </si>
  <si>
    <t>MCRN11_SEC_DD770_HJ19</t>
  </si>
  <si>
    <t>MCRN11_SEC_DD770_PQ01</t>
  </si>
  <si>
    <t>23.02.2017</t>
  </si>
  <si>
    <t>MCRN12_PDU1A_B</t>
  </si>
  <si>
    <t>MCRN12</t>
  </si>
  <si>
    <t>CC04 to 07 Op-ex</t>
  </si>
  <si>
    <t>CH2 7750 SR7s</t>
  </si>
  <si>
    <t>MCRN12_SEC_CBDB_ Q01_A Feed-Capped</t>
  </si>
  <si>
    <t>MCRN12_SEC_CBDB_ R01_B Feed-Capped</t>
  </si>
  <si>
    <t>MCRN12_SEC_CBDB_ALAM01</t>
  </si>
  <si>
    <t>MCRN12_SEC_DD770_ACAD01</t>
  </si>
  <si>
    <t>MCRN12_SEC_DD770_AEAF01</t>
  </si>
  <si>
    <t>MCRN12_SEC_DD770_CD01</t>
  </si>
  <si>
    <t>MCRN12_SEC_DD770_EF01</t>
  </si>
  <si>
    <t>MCRN12_SEC_DD770_GH01</t>
  </si>
  <si>
    <t>MCRN12_SEC_DD770_JK01</t>
  </si>
  <si>
    <t>MCRN12_SEC_Eaton_ BG01_A Feed-Capped</t>
  </si>
  <si>
    <t>NA</t>
  </si>
  <si>
    <t>CA2 AKAMAI</t>
  </si>
  <si>
    <t>MCRN12_SEC_Eaton_ BH01_B Feed-Capped</t>
  </si>
  <si>
    <t>MCRN12_PDU2A_B</t>
  </si>
  <si>
    <t>CCCD2 Wavesever</t>
  </si>
  <si>
    <t>MCRCD2_PDU1A_B</t>
  </si>
  <si>
    <t>MCRCD2</t>
  </si>
  <si>
    <t>SWY_SEC_CBDB_1</t>
  </si>
  <si>
    <t>SWY</t>
  </si>
  <si>
    <t>SWY_SEC_CBDB_2</t>
  </si>
  <si>
    <t>SWY_SEC_CBDB_4_Suite AH - Rack 5</t>
  </si>
  <si>
    <t>SWY_SEC_DD770_3_Suite AA - Rack 5</t>
  </si>
  <si>
    <t>SWY_SEC_DD770_5_Suite AB-AC - Rack 01</t>
  </si>
  <si>
    <t>WTNTK1_SEC_CBDB_J33</t>
  </si>
  <si>
    <t>WTNTK1</t>
  </si>
  <si>
    <t>BDFN02_PDU1A_B</t>
  </si>
  <si>
    <t>BDFN02;DC SYS01</t>
  </si>
  <si>
    <t>BDFN02</t>
  </si>
  <si>
    <t>BF07 PX</t>
  </si>
  <si>
    <t>BF03 Op Ex</t>
  </si>
  <si>
    <t>BF04 Op Ex</t>
  </si>
  <si>
    <t>BF05 Op Ex</t>
  </si>
  <si>
    <t>BDBE08 Waveserver</t>
  </si>
  <si>
    <t>BDFN02_SEC_DCDB_AJ01</t>
  </si>
  <si>
    <t>AGAH03</t>
  </si>
  <si>
    <t>BDFN02_SEC_DCDB_BD01</t>
  </si>
  <si>
    <t>BDFN02_SEC_DD770_AB01</t>
  </si>
  <si>
    <t>BDFN02_SEC_DD770_AV01</t>
  </si>
  <si>
    <t>MKSTN1_DCDB_QR7.</t>
  </si>
  <si>
    <t>MKSTN1</t>
  </si>
  <si>
    <t>MKSTN1_SEC_DD770_GH10</t>
  </si>
  <si>
    <t>STEDN1_Duvine Power Rack.</t>
  </si>
  <si>
    <t>STEDN1</t>
  </si>
  <si>
    <t>BFEC01_SEC_DB00_DCDIST_8A</t>
  </si>
  <si>
    <t>BFEC01</t>
  </si>
  <si>
    <t>BFEC01_SEC_DB00_DCDIST_8B</t>
  </si>
  <si>
    <t>BFEC01_SEC_EATON_C10</t>
  </si>
  <si>
    <t>DD770_1_BC01</t>
  </si>
  <si>
    <t>DD770_2_DE01</t>
  </si>
  <si>
    <t>DD770_3_FG01</t>
  </si>
  <si>
    <t>DD770_4_FG03</t>
  </si>
  <si>
    <t>ABN_SEC_DD770_GH02</t>
  </si>
  <si>
    <t>ABN</t>
  </si>
  <si>
    <t>Ciena 6500-14</t>
  </si>
  <si>
    <t>ABNTB1_DCDB _CD11</t>
  </si>
  <si>
    <t>ABNTB1</t>
  </si>
  <si>
    <t>ABNTB1_SYS_RACK2_PANEL A_01</t>
  </si>
  <si>
    <t>ABNTB1_SYS_RACK2_PANEL A_02</t>
  </si>
  <si>
    <t>ABNTB1_SYS_RACK3_PANEL B_01</t>
  </si>
  <si>
    <t>ABNTB1_SYS_RACK3_PANEL B_02</t>
  </si>
  <si>
    <t>ABNTD1 DC DB</t>
  </si>
  <si>
    <t>ABNTD1</t>
  </si>
  <si>
    <t>AYRN01_DCDB_A PPS10_DB1</t>
  </si>
  <si>
    <t>AYRN01</t>
  </si>
  <si>
    <t>AYRN01_DCDB_A PPS10_DB2</t>
  </si>
  <si>
    <t>DNDN71_SEC_EATON_BC01</t>
  </si>
  <si>
    <t>DNDN71</t>
  </si>
  <si>
    <t>DNDTC1;POWEC987932;DCDB01</t>
  </si>
  <si>
    <t>DNDTC1</t>
  </si>
  <si>
    <t>DNFNP1_SEC_EATON_C7</t>
  </si>
  <si>
    <t>DNFNP1</t>
  </si>
  <si>
    <t>EDBTG1_PDU1A_B</t>
  </si>
  <si>
    <t>EDBTG1</t>
  </si>
  <si>
    <t>BA6 QWILT</t>
  </si>
  <si>
    <t>BB09 Nokia RR 7 Cisco RR</t>
  </si>
  <si>
    <t>EDBTG1_SEC_DCDB_J02</t>
  </si>
  <si>
    <t>EDBTG1_SEC_DCDB_D11</t>
  </si>
  <si>
    <t>EDBTN1_SEC_EATON_EF5</t>
  </si>
  <si>
    <t>EDBTN1</t>
  </si>
  <si>
    <t>EDBTN1_DCDB_WALL_A</t>
  </si>
  <si>
    <t>EDBTN1_DCDB_WALL_B</t>
  </si>
  <si>
    <t>EDBTN1_SEC_EATON_CD15 CAPPED</t>
  </si>
  <si>
    <t>BTRTP1_SEC_EATON_GF03</t>
  </si>
  <si>
    <t>BTRTP1</t>
  </si>
  <si>
    <t>GLWN07_PDU1A_B</t>
  </si>
  <si>
    <t>GLWN07</t>
  </si>
  <si>
    <t xml:space="preserve">CD30 Ciena 6500 </t>
  </si>
  <si>
    <t>GLWN07_SEC_DD770_CD01</t>
  </si>
  <si>
    <t>Alcatel 7210 CD28</t>
  </si>
  <si>
    <t>GLWN07_SEC_DD770_EF01</t>
  </si>
  <si>
    <t>GLWN07_SEC_Eaton_CD21</t>
  </si>
  <si>
    <t>GLWN07_SEC_DCDB_LM15 - DO NOT USE [CAPPED]</t>
  </si>
  <si>
    <t>GLWN07_SEC_DD770_JK01- DO NOT USE</t>
  </si>
  <si>
    <t>GLWTO1_EOS_EF00</t>
  </si>
  <si>
    <t>GLWTO1</t>
  </si>
  <si>
    <t>GLWTO1_EATON_IJ00</t>
  </si>
  <si>
    <t>GLWTW1_DCDB_WALL_1 - IGNORE</t>
  </si>
  <si>
    <t>GLWTW1</t>
  </si>
  <si>
    <t>GLWTW1_SEC_EATON DCDB_ EF07B</t>
  </si>
  <si>
    <t>GH01 Alcatel 7210</t>
  </si>
  <si>
    <t>INVN41_SEC_EATON_CD01</t>
  </si>
  <si>
    <t>INVN41</t>
  </si>
  <si>
    <t>LIVN01_SEC_CBDB_AN01</t>
  </si>
  <si>
    <t>LIVN01</t>
  </si>
  <si>
    <t>LIVN01_SEC_DD770_AT05_DCDB4</t>
  </si>
  <si>
    <t>PTHTL1_SYS_EATON_DB01</t>
  </si>
  <si>
    <t>PTHTL1</t>
  </si>
  <si>
    <t>STGCD1_SYS_DCDB</t>
  </si>
  <si>
    <t>STGCD1</t>
  </si>
  <si>
    <t>ASH_SEC_WALL_DCDB_01</t>
  </si>
  <si>
    <t>ASH</t>
  </si>
  <si>
    <t>ASH_SEC_WALL_DCDB_02</t>
  </si>
  <si>
    <t>CBY_SEC_DD770_JK05</t>
  </si>
  <si>
    <t>CBY</t>
  </si>
  <si>
    <t>CBY_SEC_WALL_CBDB</t>
  </si>
  <si>
    <t>FKE_SEC_DD770_AB0.</t>
  </si>
  <si>
    <t>FKE</t>
  </si>
  <si>
    <t>HLWN02_SEC_DD770_EF01_01</t>
  </si>
  <si>
    <t>HLWN02</t>
  </si>
  <si>
    <t>HLWN02_SEC_DD770_JK01_02</t>
  </si>
  <si>
    <t>HHD_SEC_DD770_F0</t>
  </si>
  <si>
    <t>HHD</t>
  </si>
  <si>
    <t>IPWTN1_DCDB _RQ12</t>
  </si>
  <si>
    <t>IPWTN1</t>
  </si>
  <si>
    <t>RQ06 CIENA 6500-14SLOT</t>
  </si>
  <si>
    <t>IPWTN1_SEC_DCDB_01</t>
  </si>
  <si>
    <t>IPWTN1_SEC_DCDB_04</t>
  </si>
  <si>
    <t>IPWTN1_SYS_DCDB_WALL</t>
  </si>
  <si>
    <t>LTNDN1_SEC_DD770_BB_CC_05</t>
  </si>
  <si>
    <t>LTNDN1</t>
  </si>
  <si>
    <t>Alcatel 7210 DE07</t>
  </si>
  <si>
    <t>MDE_SEC_DUVINE DCDB</t>
  </si>
  <si>
    <t>MDE</t>
  </si>
  <si>
    <t>MDE_SEC_EATON DCDB</t>
  </si>
  <si>
    <t>46A</t>
  </si>
  <si>
    <t>RCR_SEC_CBDB_GH08</t>
  </si>
  <si>
    <t>RCR</t>
  </si>
  <si>
    <t>RCR_SEC_WALL_CBDB</t>
  </si>
  <si>
    <t>SOSTN1_SEC_DD770_WALL</t>
  </si>
  <si>
    <t>SOSTN1</t>
  </si>
  <si>
    <t>AZTCD1 POWER SYSTEM 2 DIST</t>
  </si>
  <si>
    <t>AZTCD1</t>
  </si>
  <si>
    <t>AZTCD1_SEC_EATON DCDB_01_FG07</t>
  </si>
  <si>
    <t>AZTCD2_SEC_DD770_TU11</t>
  </si>
  <si>
    <t>AZTCD2</t>
  </si>
  <si>
    <t>TU08 Alcatel 7210</t>
  </si>
  <si>
    <t>AZTCD2_SEC_DD770_Q1</t>
  </si>
  <si>
    <t>BTLCD1_SYS_H &amp; S Control cubical - ignore line</t>
  </si>
  <si>
    <t>BTLCD1</t>
  </si>
  <si>
    <t>BTLCD1 EOS Z</t>
  </si>
  <si>
    <t>BTLCD1_SEC_DCDB 2_Trident room - Ignore line</t>
  </si>
  <si>
    <t>BTLCD1_SEC_DCDB_B</t>
  </si>
  <si>
    <t>BTLCD1_SEC_DD770_BB1</t>
  </si>
  <si>
    <t>BTLCD1_SYS _N2K DCDB</t>
  </si>
  <si>
    <t>BTLCD1_SYS 2_H &amp; S_DCDB 2B &amp; 2C - Ignore line</t>
  </si>
  <si>
    <t>BTLCD1_SYS 3_DCDB_A</t>
  </si>
  <si>
    <t>BTLN08_SEC_CBDB_CT1</t>
  </si>
  <si>
    <t>BTLN08</t>
  </si>
  <si>
    <t>BTLN08_SEC_DD770_CA1</t>
  </si>
  <si>
    <t>BTLN08_SEC_DD770_CJ02</t>
  </si>
  <si>
    <t>BTLCD2_ PRI_DD604_ WALL</t>
  </si>
  <si>
    <t>BTLCD2;DC SYS01</t>
  </si>
  <si>
    <t>BTLCD2</t>
  </si>
  <si>
    <t>BTLN09_PDU1A_B</t>
  </si>
  <si>
    <t>BTLN09</t>
  </si>
  <si>
    <t>AC11 QWILT</t>
  </si>
  <si>
    <t>B13 ESA400</t>
  </si>
  <si>
    <t>BDEN02_SEC_DD770_CD01</t>
  </si>
  <si>
    <t>BDEN02</t>
  </si>
  <si>
    <t>BDEN02_SEC_DD770_QR01</t>
  </si>
  <si>
    <t>BDEN06 AB01 DD770</t>
  </si>
  <si>
    <t>BDEN06</t>
  </si>
  <si>
    <t>BDEN06 JK01 DD770</t>
  </si>
  <si>
    <t>BDEN06 QR01 DD770</t>
  </si>
  <si>
    <t>BDEN07_PDU1A_B</t>
  </si>
  <si>
    <t>BDEN07</t>
  </si>
  <si>
    <t>A 1 to 7 Amitie</t>
  </si>
  <si>
    <t>CDFN02_SEC_CBDB_AB05</t>
  </si>
  <si>
    <t>CDFN02</t>
  </si>
  <si>
    <t>23rd JUNE 2021</t>
  </si>
  <si>
    <t>CDFN02_SEC_CBDB_GH06</t>
  </si>
  <si>
    <t>CHMN21_SEC_EATON DCDB1</t>
  </si>
  <si>
    <t>CHMN21</t>
  </si>
  <si>
    <t>CTNN01_PDU1A_B</t>
  </si>
  <si>
    <t>CTNN01-DCSYS01A</t>
  </si>
  <si>
    <t>CTNN01</t>
  </si>
  <si>
    <t>S&amp;T 1 to 6 Amitie</t>
  </si>
  <si>
    <t>CTNN01_SEC_DD770_EF01</t>
  </si>
  <si>
    <t>CTNN01_SEC_DD770_N01</t>
  </si>
  <si>
    <t>CKNN03_PDU1A_B</t>
  </si>
  <si>
    <t>CKKN03</t>
  </si>
  <si>
    <t>CKNN03_SEC_DCSYS</t>
  </si>
  <si>
    <t>CKNN03</t>
  </si>
  <si>
    <t>NOT SPECIFIED</t>
  </si>
  <si>
    <t>CKNN03_SEC_DD770_CD01</t>
  </si>
  <si>
    <t>DVSTB1_DCDB</t>
  </si>
  <si>
    <t>DVSTB1</t>
  </si>
  <si>
    <t>EXR_SEC_DD770_ JK12</t>
  </si>
  <si>
    <t>EXR</t>
  </si>
  <si>
    <t>EXRN03_PDU1A_B</t>
  </si>
  <si>
    <t>EXRN03</t>
  </si>
  <si>
    <t>FRNN03_PDU1A_B</t>
  </si>
  <si>
    <t>FRNN03</t>
  </si>
  <si>
    <t>G&amp;H 1 to 6 Amitie</t>
  </si>
  <si>
    <t>FRNN03_DC SYS01A &amp; 01B_EF09</t>
  </si>
  <si>
    <t>FRNN03_SEC_DD770_CD1</t>
  </si>
  <si>
    <t>OKNN01_PDU1A_B</t>
  </si>
  <si>
    <t>OKNN01</t>
  </si>
  <si>
    <t>J&amp;K 1 to 6 Amitie</t>
  </si>
  <si>
    <t>OKNN01_SEC_DD770_CD01</t>
  </si>
  <si>
    <t>PLY_PDU1A_B</t>
  </si>
  <si>
    <t>PLY</t>
  </si>
  <si>
    <t>W&amp;X 1 to 6 Amitie</t>
  </si>
  <si>
    <t>PLY_SEC_DD770_EF12</t>
  </si>
  <si>
    <t>PLY_SEC_DD770_UV01</t>
  </si>
  <si>
    <t xml:space="preserve"> UV07 Ciena 6500 R8</t>
  </si>
  <si>
    <t>PCOTN1_SEC_DD770_XW01_7</t>
  </si>
  <si>
    <t>PCOTN1</t>
  </si>
  <si>
    <t>PCOTN1_SEC_WALL_CBDB_2</t>
  </si>
  <si>
    <t>PCOTN1 DCDB 3 WALL MOUNTED</t>
  </si>
  <si>
    <t>PCOTN1 DCDB 4 WALL MOUNTED</t>
  </si>
  <si>
    <t>PCOTN1 DCDB 5 WALL MOUNTED</t>
  </si>
  <si>
    <t>PCOTN2</t>
  </si>
  <si>
    <t>PCOTN1 DCDB 6 WALL MOUNTED</t>
  </si>
  <si>
    <t>PCOTN3</t>
  </si>
  <si>
    <t>PCOTN1_WALL_CBDB_1</t>
  </si>
  <si>
    <t>PCOTN4</t>
  </si>
  <si>
    <t>SDNN06_PDU1A_B</t>
  </si>
  <si>
    <t>SDNN06</t>
  </si>
  <si>
    <t>SDNN06_SEC_CBDB_QR16</t>
  </si>
  <si>
    <t>SDNN06_SEC_CBDB_UV16</t>
  </si>
  <si>
    <t>SDNN06_SEC_DD770_CD1</t>
  </si>
  <si>
    <t>CD03 Alcatel 7210</t>
  </si>
  <si>
    <t xml:space="preserve">CD2 Nokia 7750 SR12e ESA </t>
  </si>
  <si>
    <t>SDNN06_SEC_DD770_GH16</t>
  </si>
  <si>
    <t>YZ15 Home BB</t>
  </si>
  <si>
    <t>SDNN06_SEC_DD770_LM1</t>
  </si>
  <si>
    <t>No reading</t>
  </si>
  <si>
    <t>SDNN06_SEC_DD770_QR1</t>
  </si>
  <si>
    <t>QR03 to 09 Amitie</t>
  </si>
  <si>
    <t>SDNN06_SEC_DD770_WX1</t>
  </si>
  <si>
    <t>SDN_SEC_DD770_GH00</t>
  </si>
  <si>
    <t>SDN</t>
  </si>
  <si>
    <t>SDN_SEC_DD770_Z02</t>
  </si>
  <si>
    <t>DCDB @ c08</t>
  </si>
  <si>
    <t>SDNN11</t>
  </si>
  <si>
    <t>SDNN13_SEC_EATON_ WALL_New</t>
  </si>
  <si>
    <t>SDNN13</t>
  </si>
  <si>
    <t>TNTTN1_PDU1A_B</t>
  </si>
  <si>
    <t>TNTTN1;DC SYS01</t>
  </si>
  <si>
    <t>TNTTN1</t>
  </si>
  <si>
    <t>TNTTN1_SEC_DD770_ GH12</t>
  </si>
  <si>
    <t>DC DD770 TRON01</t>
  </si>
  <si>
    <t>TRON01</t>
  </si>
  <si>
    <t>BSG_SEC_DD770_BC17_02</t>
  </si>
  <si>
    <t>BSG</t>
  </si>
  <si>
    <t>BSG_SEC_DD770_HJ16_01</t>
  </si>
  <si>
    <t>BTN_SEC_DD770_EF09_02</t>
  </si>
  <si>
    <t>BTN</t>
  </si>
  <si>
    <t>BTN_SEC_DD770_YZ01_01</t>
  </si>
  <si>
    <t>GFDCD1_SEC_DCDB_T0</t>
  </si>
  <si>
    <t>GFDCD1</t>
  </si>
  <si>
    <t>GFDCD1_SEC_DD770_M09</t>
  </si>
  <si>
    <t>PTMN03_SEC_DD770_BCBD01</t>
  </si>
  <si>
    <t>PTMN03</t>
  </si>
  <si>
    <t>PTMN03_SEC_DD770_GH01</t>
  </si>
  <si>
    <t>PTMN03_SEC_DD770_LM01</t>
  </si>
  <si>
    <t>PTMN03_SEC_DD770_QR01</t>
  </si>
  <si>
    <t>PTMN03_SEC_DD770_UV01</t>
  </si>
  <si>
    <t>SHTN03_SEC_DD770_AD10</t>
  </si>
  <si>
    <t>SHTN03_SEC_Eaton_ ANAP0</t>
  </si>
  <si>
    <t>DCDB_WKGN01_CD1.</t>
  </si>
  <si>
    <t>WKGN01</t>
  </si>
  <si>
    <t>DCDB_WKGN01_EF1.</t>
  </si>
  <si>
    <t>ASMN02_SEC_DD770_CD1</t>
  </si>
  <si>
    <t>ASMN02</t>
  </si>
  <si>
    <t>ASMN02_SEC_DD770_EF1</t>
  </si>
  <si>
    <t>BKLN05_SEC_CBDB_BUBV01</t>
  </si>
  <si>
    <t>BKLN05</t>
  </si>
  <si>
    <t>BKLN05_SEC_CBDB_BWBX01</t>
  </si>
  <si>
    <t>BKLN05_SEC_DD770_ACAD01</t>
  </si>
  <si>
    <t>BKLN05_SEC_DD770_AGAH01</t>
  </si>
  <si>
    <t>BKLN05_SEC_DD770_BABB01</t>
  </si>
  <si>
    <t>BKLN05;DC SYS01</t>
  </si>
  <si>
    <t>BE/BF 15 Waveserver 5</t>
  </si>
  <si>
    <t>BKLN05_SEC_DD770_BLBM01</t>
  </si>
  <si>
    <t>CC/CD 07 HPE DL 380</t>
  </si>
  <si>
    <t>BKLN05_SEC_DD770_BQBR01</t>
  </si>
  <si>
    <t>BKLN05_SEC_DD770_BYBZ01</t>
  </si>
  <si>
    <t>BKLN05_SEC_DD770_CD01</t>
  </si>
  <si>
    <t>BKLN05_SEC_DD770_CJCK01</t>
  </si>
  <si>
    <t>BKLN05_SEC_DD770_GH01</t>
  </si>
  <si>
    <t>BKLN05_SEC_DD770_LM01</t>
  </si>
  <si>
    <t>BKLN05_SEC_DD770_UV01</t>
  </si>
  <si>
    <t>BKLN05_SEC_DD770_YZ01</t>
  </si>
  <si>
    <t>BKLN05_DCSYS04-PDU1</t>
  </si>
  <si>
    <t>BKLN05-DCSYS04</t>
  </si>
  <si>
    <t>BKLN05 Ext</t>
  </si>
  <si>
    <t>BKLN05_DCSYS04-PDU2</t>
  </si>
  <si>
    <t>BKLN05_DCSYS04-PDU3</t>
  </si>
  <si>
    <t>DCDB _DC CUBICLE IN POWER ROOM NEAR BATTERY</t>
  </si>
  <si>
    <t>DCT</t>
  </si>
  <si>
    <t>FMYN31_SEC_CBDB_ BC01</t>
  </si>
  <si>
    <t>FMYN31</t>
  </si>
  <si>
    <t>not showing on meter</t>
  </si>
  <si>
    <t>DCDB _2B</t>
  </si>
  <si>
    <t>IVER02</t>
  </si>
  <si>
    <t>unknown</t>
  </si>
  <si>
    <t>NBYCD1_SEC_CBDB_F9</t>
  </si>
  <si>
    <t>NBYCD1</t>
  </si>
  <si>
    <t>300</t>
  </si>
  <si>
    <t>NBYCD1_SEC_CBDB_GG11</t>
  </si>
  <si>
    <t>POLN02_PDUA_B</t>
  </si>
  <si>
    <t>POLN02</t>
  </si>
  <si>
    <t>EF13 RA</t>
  </si>
  <si>
    <t>POLN02_SEC_DD770_CD01</t>
  </si>
  <si>
    <t>POLN02_SEC_DD770_EF01</t>
  </si>
  <si>
    <t>E11 Ciena 6500 R8</t>
  </si>
  <si>
    <t>RDG_SEC_DD770_FO</t>
  </si>
  <si>
    <t>RDG</t>
  </si>
  <si>
    <t>RDGCD1_SEC_CDDB_A05</t>
  </si>
  <si>
    <t>RDGCD1;DC SYS01</t>
  </si>
  <si>
    <t>RDGCD1</t>
  </si>
  <si>
    <t>RDGCD2_SEC_CDDB_TU09</t>
  </si>
  <si>
    <t>RDGCD2</t>
  </si>
  <si>
    <t>SLO_SEC_DD770_AB0</t>
  </si>
  <si>
    <t>SLO</t>
  </si>
  <si>
    <t>SLO_SEC_DD770_AB00</t>
  </si>
  <si>
    <t>WHHN03_SEC_DD770_CD01_01</t>
  </si>
  <si>
    <t>WHHN03</t>
  </si>
  <si>
    <t>WHHN03_SEC_DD770_EF01_02</t>
  </si>
  <si>
    <t>WHHN03_SEC_Eaton CBDB_LM01</t>
  </si>
  <si>
    <t>OHB_SEC_DCDB01_WALL_OPP TO SUITE EF</t>
  </si>
  <si>
    <t>OHB</t>
  </si>
  <si>
    <t>OHB_SEC_DCDB03_WALL</t>
  </si>
  <si>
    <t>OHB_SEC_DCDB04_WALL</t>
  </si>
  <si>
    <t>OHB_SEC_DCDB05_WALL</t>
  </si>
  <si>
    <t>OHB_SEC_DCDB06_WALL</t>
  </si>
  <si>
    <t>SWNN03_DCDB 1</t>
  </si>
  <si>
    <t>SWNN03</t>
  </si>
  <si>
    <t>SWNN03_SYS01_PER_K - ignore</t>
  </si>
  <si>
    <t>SQYN02_SEC_DCDB_HVHU1</t>
  </si>
  <si>
    <t>LLDTE1_SEC_DCDB_Q4</t>
  </si>
  <si>
    <t>BSHN08_PDU2A_B</t>
  </si>
  <si>
    <t>BTLN09_PDU2A_B</t>
  </si>
  <si>
    <t>Nokia SEGW</t>
  </si>
  <si>
    <t>B13 Nokia SEGGW ESA</t>
  </si>
  <si>
    <t>LDSCD2_PDU2A_B</t>
  </si>
  <si>
    <t>XY 05 BT EAD</t>
  </si>
  <si>
    <t>AB7 W5</t>
  </si>
  <si>
    <t>MCRCD2_PDU2A_B</t>
  </si>
  <si>
    <t>T06 W5</t>
  </si>
  <si>
    <t>SQYN02_PDU2A_B</t>
  </si>
  <si>
    <t>CHTTN3_PDU2A_B</t>
  </si>
  <si>
    <t>STGCD1_Eaton DIST@G0</t>
  </si>
  <si>
    <t>SHDTR1_SEC_CBDB_N10</t>
  </si>
  <si>
    <t>SHDTR1</t>
  </si>
  <si>
    <t>SHDTR1_EOS_D</t>
  </si>
  <si>
    <t>SHDTR1_EOS_E</t>
  </si>
  <si>
    <t>SHDTR1_EOS_F</t>
  </si>
  <si>
    <t>SHDTR1_EOS_G</t>
  </si>
  <si>
    <t>SHDTR1_EOS_H</t>
  </si>
  <si>
    <t>SHDTR1_EOS_J</t>
  </si>
  <si>
    <t>SHDTR1_EOS_K</t>
  </si>
  <si>
    <t>SHDTR1_EOS_L</t>
  </si>
  <si>
    <t>SHDTR1_EOS_M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</si>
  <si>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</si>
  <si>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</si>
  <si>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</si>
  <si>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</si>
  <si>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</si>
  <si>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</si>
  <si>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</si>
  <si>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</si>
  <si>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</si>
  <si>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</si>
  <si>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</si>
  <si>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</si>
  <si>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</si>
  <si>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</si>
  <si>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</si>
  <si>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</si>
  <si>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</si>
  <si>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</si>
  <si>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</si>
  <si>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</si>
  <si>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</si>
  <si>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</si>
  <si>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</si>
  <si>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</si>
  <si>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</si>
  <si>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</si>
  <si>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</si>
  <si>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</si>
  <si>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</si>
  <si>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</si>
  <si>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</si>
  <si>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</si>
  <si>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</si>
  <si>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</si>
  <si>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</si>
  <si>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</si>
  <si>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</si>
  <si>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</si>
  <si>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</si>
  <si>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</si>
  <si>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</si>
  <si>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</si>
  <si>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</si>
  <si>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</si>
  <si>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</si>
  <si>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</si>
  <si>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</si>
  <si>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</si>
  <si>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</si>
  <si>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</si>
  <si>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</si>
  <si>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</si>
  <si>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</si>
  <si>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</si>
  <si>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</si>
  <si>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/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</si>
  <si>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</si>
  <si>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</si>
  <si>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</si>
  <si>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</si>
  <si>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</si>
  <si>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</si>
  <si>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</si>
  <si>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</si>
  <si>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</si>
  <si>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</si>
  <si>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</si>
  <si>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</si>
  <si>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</si>
  <si>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</si>
  <si>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</si>
  <si>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</si>
  <si>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</si>
  <si>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</si>
  <si>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</si>
  <si>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</si>
  <si>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</si>
  <si>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</si>
  <si>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</si>
  <si>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</si>
  <si>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</si>
  <si>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</si>
  <si>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</si>
  <si>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</si>
  <si>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</si>
  <si>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</si>
  <si>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</si>
  <si>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</si>
  <si>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</si>
  <si>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</si>
  <si>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</si>
  <si>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</si>
  <si>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</si>
  <si>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</si>
  <si>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</si>
  <si>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</si>
  <si>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</si>
  <si>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</si>
  <si>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</si>
  <si>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</si>
  <si>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</si>
  <si>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</si>
  <si>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</si>
  <si>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</si>
  <si>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</si>
  <si>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</si>
  <si>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</si>
  <si>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</si>
  <si>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</si>
  <si>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MIGRATING - CAPPED</t>
  </si>
  <si>
    <t>8</t>
  </si>
  <si>
    <t>2SLA1500</t>
  </si>
  <si>
    <t>215</t>
  </si>
  <si>
    <t>Dual</t>
  </si>
  <si>
    <t>DDm125-33 (2hr rate)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</si>
  <si>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</si>
  <si>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</si>
  <si>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</si>
  <si>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</si>
  <si>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</si>
  <si>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</si>
  <si>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</si>
  <si>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</si>
  <si>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</si>
  <si>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</si>
  <si>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93</t>
  </si>
  <si>
    <t>BIRMINGHAM</t>
  </si>
  <si>
    <t>BHMN07</t>
  </si>
  <si>
    <t>12.6</t>
  </si>
  <si>
    <t>P Core use only</t>
  </si>
  <si>
    <t>2CP2000</t>
  </si>
  <si>
    <t>110</t>
  </si>
  <si>
    <t>120</t>
  </si>
  <si>
    <t>BOREHAMWOOD</t>
  </si>
  <si>
    <t>NORTH WEST</t>
  </si>
  <si>
    <t>BARROW-IN-FURNESS</t>
  </si>
  <si>
    <t>GIS Migrated - Capped</t>
  </si>
  <si>
    <t>1</t>
  </si>
  <si>
    <t>Space; Power; Air Con</t>
  </si>
  <si>
    <t>BLACKBURN</t>
  </si>
  <si>
    <t>BKBN41</t>
  </si>
  <si>
    <t>BRACKNELL</t>
  </si>
  <si>
    <t>GIS MIGRATING</t>
  </si>
  <si>
    <t>12</t>
  </si>
  <si>
    <t>495</t>
  </si>
  <si>
    <t>664</t>
  </si>
  <si>
    <t>Eaton Powerware HDR48-ES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</si>
  <si>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</si>
  <si>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</si>
  <si>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</si>
  <si>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</si>
  <si>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</si>
  <si>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</si>
  <si>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</si>
  <si>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</si>
  <si>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</si>
  <si>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</si>
  <si>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</si>
  <si>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</si>
  <si>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</si>
  <si>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</si>
  <si>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</si>
  <si>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</si>
  <si>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</si>
  <si>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</si>
  <si>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</si>
  <si>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</si>
  <si>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</si>
  <si>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</si>
  <si>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</si>
  <si>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</si>
  <si>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</si>
  <si>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</si>
  <si>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</si>
  <si>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</si>
  <si>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</si>
  <si>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</si>
  <si>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</si>
  <si>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9.2</t>
  </si>
  <si>
    <t>GLASGOW</t>
  </si>
  <si>
    <t>Eaton Powerware R2948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</si>
  <si>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</si>
  <si>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</si>
  <si>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</si>
  <si>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</si>
  <si>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</si>
  <si>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</si>
  <si>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</si>
  <si>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</si>
  <si>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</si>
  <si>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</si>
  <si>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</si>
  <si>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</si>
  <si>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</si>
  <si>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</si>
  <si>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</si>
  <si>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</si>
  <si>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</si>
  <si>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</si>
  <si>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</si>
  <si>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</si>
  <si>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</si>
  <si>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</si>
  <si>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</si>
  <si>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</si>
  <si>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</si>
  <si>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</si>
  <si>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</si>
  <si>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</si>
  <si>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</si>
  <si>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</si>
  <si>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</si>
  <si>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</si>
  <si>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</si>
  <si>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</si>
  <si>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</si>
  <si>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</si>
  <si>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</si>
  <si>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</si>
  <si>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</si>
  <si>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</si>
  <si>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</si>
  <si>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</si>
  <si>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</si>
  <si>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</si>
  <si>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</si>
  <si>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</si>
  <si>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</si>
  <si>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</si>
  <si>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</si>
  <si>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</si>
  <si>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</si>
  <si>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</si>
  <si>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</si>
  <si>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</si>
  <si>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</si>
  <si>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</si>
  <si>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</si>
  <si>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</si>
  <si>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</si>
  <si>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</si>
  <si>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</si>
  <si>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</si>
  <si>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</si>
  <si>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DDm125-27</t>
  </si>
  <si>
    <t>ELGIN</t>
  </si>
  <si>
    <t>EGNTM1</t>
  </si>
  <si>
    <t>EVESHAM</t>
  </si>
  <si>
    <t>EXETER</t>
  </si>
  <si>
    <t>67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</si>
  <si>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</si>
  <si>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</si>
  <si>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</si>
  <si>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</si>
  <si>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</si>
  <si>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</si>
  <si>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</si>
  <si>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</si>
  <si>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</si>
  <si>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</si>
  <si>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</si>
  <si>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</si>
  <si>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</si>
  <si>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</si>
  <si>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</si>
  <si>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</si>
  <si>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</si>
  <si>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</si>
  <si>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</si>
  <si>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</si>
  <si>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</si>
  <si>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</si>
  <si>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</si>
  <si>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</si>
  <si>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</si>
  <si>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</si>
  <si>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</si>
  <si>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</si>
  <si>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</si>
  <si>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</si>
  <si>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</si>
  <si>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Eaton APR48</t>
  </si>
  <si>
    <t>SBS EON 1800</t>
  </si>
  <si>
    <t>56</t>
  </si>
  <si>
    <t>New lease signed March 2023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</si>
  <si>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</si>
  <si>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</si>
  <si>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</si>
  <si>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</si>
  <si>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</si>
  <si>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</si>
  <si>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</si>
  <si>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</si>
  <si>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</si>
  <si>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</si>
  <si>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</si>
  <si>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</si>
  <si>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</si>
  <si>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</si>
  <si>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</si>
  <si>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</si>
  <si>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</si>
  <si>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</si>
  <si>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</si>
  <si>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</si>
  <si>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</si>
  <si>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</si>
  <si>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</si>
  <si>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</si>
  <si>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</si>
  <si>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</si>
  <si>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</si>
  <si>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</si>
  <si>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</si>
  <si>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</si>
  <si>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</si>
  <si>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</si>
  <si>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</si>
  <si>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</si>
  <si>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</si>
  <si>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</si>
  <si>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</si>
  <si>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</si>
  <si>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</si>
  <si>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</si>
  <si>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</si>
  <si>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</si>
  <si>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</si>
  <si>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</si>
  <si>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</si>
  <si>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</si>
  <si>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</si>
  <si>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</si>
  <si>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</si>
  <si>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</si>
  <si>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</si>
  <si>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</si>
  <si>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</si>
  <si>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</si>
  <si>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</si>
  <si>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</si>
  <si>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</si>
  <si>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</si>
  <si>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</si>
  <si>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</si>
  <si>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</si>
  <si>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81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</si>
  <si>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</si>
  <si>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</si>
  <si>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</si>
  <si>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</si>
  <si>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</si>
  <si>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</si>
  <si>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</si>
  <si>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</si>
  <si>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</si>
  <si>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</si>
  <si>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</si>
  <si>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</si>
  <si>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</si>
  <si>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</si>
  <si>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</si>
  <si>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</si>
  <si>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</si>
  <si>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</si>
  <si>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</si>
  <si>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</si>
  <si>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</si>
  <si>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</si>
  <si>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</si>
  <si>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</si>
  <si>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140</t>
  </si>
  <si>
    <t>SUNDERLAND</t>
  </si>
  <si>
    <t>SOLIHULL</t>
  </si>
  <si>
    <t>SOUTHEND</t>
  </si>
  <si>
    <t>STOKE</t>
  </si>
  <si>
    <t>24</t>
  </si>
  <si>
    <t>250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</si>
  <si>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</si>
  <si>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</si>
  <si>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</si>
  <si>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</si>
  <si>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</si>
  <si>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</si>
  <si>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</si>
  <si>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</si>
  <si>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</si>
  <si>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</si>
  <si>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</si>
  <si>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</si>
  <si>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</si>
  <si>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</si>
  <si>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</si>
  <si>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</si>
  <si>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</si>
  <si>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</si>
  <si>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</si>
  <si>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</si>
  <si>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</si>
  <si>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</si>
  <si>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</si>
  <si>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</si>
  <si>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</si>
  <si>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</si>
  <si>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</si>
  <si>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</si>
  <si>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</si>
  <si>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</si>
  <si>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</si>
  <si>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</si>
  <si>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</si>
  <si>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</si>
  <si>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78</t>
  </si>
  <si>
    <t>WINTERTON</t>
  </si>
  <si>
    <t>37.8</t>
  </si>
  <si>
    <t>WOLVERHAMPTON</t>
  </si>
  <si>
    <t>14.8</t>
  </si>
  <si>
    <t>YORK</t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</si>
  <si>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</si>
  <si>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</si>
  <si>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</si>
  <si>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</si>
  <si>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</si>
  <si>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</si>
  <si>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</si>
  <si>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</si>
  <si>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</si>
  <si>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</si>
  <si>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</si>
  <si>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</si>
  <si>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</si>
  <si>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</si>
  <si>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</si>
  <si>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</si>
  <si>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</si>
  <si>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</si>
  <si>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</si>
  <si>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</si>
  <si>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</si>
  <si>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</si>
  <si>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</si>
  <si>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</si>
  <si>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</si>
  <si>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</si>
  <si>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</si>
  <si>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</si>
  <si>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</si>
  <si>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</si>
  <si>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</si>
  <si>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</si>
  <si>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</si>
  <si>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</si>
  <si>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</si>
  <si>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</si>
  <si>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</si>
  <si>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</si>
  <si>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</si>
  <si>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</si>
  <si>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</si>
  <si>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</si>
  <si>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</si>
  <si>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</si>
  <si>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</si>
  <si>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</si>
  <si>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</si>
  <si>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</si>
  <si>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</si>
  <si>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</si>
  <si>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</si>
  <si>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</si>
  <si>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</si>
  <si>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</si>
  <si>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</si>
  <si>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</si>
  <si>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</si>
  <si>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</si>
  <si>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</si>
  <si>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</si>
  <si>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</si>
  <si>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</si>
  <si>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</si>
  <si>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</si>
  <si>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</si>
  <si>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</si>
  <si>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</si>
  <si>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</si>
  <si>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</si>
  <si>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</si>
  <si>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</si>
  <si>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</si>
  <si>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</si>
  <si>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</si>
  <si>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</si>
  <si>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</si>
  <si>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</si>
  <si>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</si>
  <si>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</si>
  <si>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</si>
  <si>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</si>
  <si>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</si>
  <si>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</si>
  <si>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</si>
  <si>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</si>
  <si>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</si>
  <si>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</si>
  <si>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</si>
  <si>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</si>
  <si>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</si>
  <si>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</si>
  <si>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</si>
  <si>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</si>
  <si>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</si>
  <si>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</si>
  <si>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</si>
  <si>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</si>
  <si>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</si>
  <si>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</si>
  <si>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</si>
  <si>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</si>
  <si>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</si>
  <si>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</si>
  <si>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</si>
  <si>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</si>
  <si>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PCOTN1_Gemini</t>
  </si>
  <si>
    <t>BRN;DC SYS01</t>
  </si>
  <si>
    <t>SQYN02 - SYS8</t>
  </si>
  <si>
    <t>SQYN02;DC SYS08B</t>
  </si>
  <si>
    <t>SQYN02 - SYS9</t>
  </si>
  <si>
    <t>MCRCD2;DC SYS03 [Rect5] (Decommissioned)</t>
  </si>
  <si>
    <t>Rectifier Model</t>
  </si>
  <si>
    <t>Output (Amps)</t>
  </si>
  <si>
    <t>80% N</t>
  </si>
  <si>
    <t>Advance TRE 1500</t>
  </si>
  <si>
    <t>Advance TRE 2100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</si>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</sst>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2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vertAlign val="subscript"/>
      <sz val="14"/>
      <color rgb="FF000000"/>
      <name val="Segoe UI"/>
      <family val="2"/>
      <charset val="1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5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19" fillId="35" borderId="2" xfId="0" applyFont="1" applyFill="1" applyBorder="1" applyProtection="1"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49" fillId="0" borderId="2" xfId="0" applyFont="1" applyBorder="1" applyAlignment="1" applyProtection="1">
      <alignment wrapText="1"/>
      <protection locked="0"/>
    </xf>
    <xf numFmtId="2" fontId="4" fillId="7" borderId="2" xfId="0" applyNumberFormat="1" applyFont="1" applyFill="1" applyBorder="1" applyAlignment="1" applyProtection="1">
      <alignment horizont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50" fillId="9" borderId="2" xfId="0" applyFont="1" applyFill="1" applyBorder="1" applyAlignment="1" applyProtection="1">
      <alignment horizontal="center"/>
      <protection locked="0"/>
    </xf>
    <xf numFmtId="165" fontId="50" fillId="7" borderId="2" xfId="0" applyNumberFormat="1" applyFont="1" applyFill="1" applyBorder="1" applyAlignment="1" applyProtection="1">
      <alignment horizontal="center"/>
      <protection locked="0"/>
    </xf>
    <xf numFmtId="0" fontId="51" fillId="21" borderId="2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[3]!Table7[[#This Row],[Ah Rating]]/10</calculatedColumnFormula>
    </tableColumn>
    <tableColumn id="14" xr3:uid="{00000000-0010-0000-0300-00000E000000}" name="Temp" dataDxfId="0" dataCellStyle="Normal 2">
      <calculatedColumnFormula>[3]!Table7[[#This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5kW allocation reduced due to live reading of 2.5KW</text>
  </threadedComment>
  <threadedComment ref="J12" dT="2023-08-01T11:25:17.35" personId="{F6E7EC2D-8E6E-4BA1-BCDD-6D7FECF08119}" id="{8F776E6E-D5FD-4051-A34B-0A5841A164B0}" parentId="{B50293A4-B35C-4D1D-B69C-75BE815FA6F5}">
    <text>5kW allocation reduced due to live reading of 2.5KW</text>
  </threadedComment>
  <threadedComment ref="J12" dT="2023-09-05T12:15:30.94" personId="{F6E7EC2D-8E6E-4BA1-BCDD-6D7FECF08119}" id="{69263507-9C56-421C-BF96-9CA338228E78}" parentId="{B50293A4-B35C-4D1D-B69C-75BE815FA6F5}">
    <text>5kW allocation reduced due to live reading of 2.5KW</text>
  </threadedComment>
  <threadedComment ref="J12" dT="2023-10-20T08:31:43.20" personId="{F6E7EC2D-8E6E-4BA1-BCDD-6D7FECF08119}" id="{B800037C-4661-426A-ABFF-54C8211A29B9}" parentId="{B50293A4-B35C-4D1D-B69C-75BE815FA6F5}">
    <text>5kW allocation reduced due to live reading of 2.5KW</text>
  </threadedComment>
  <threadedComment ref="J12" dT="2023-11-08T08:55:30.95" personId="{F6E7EC2D-8E6E-4BA1-BCDD-6D7FECF08119}" id="{8B9A319F-0EAE-4BDA-8A36-9C845E6F1565}" parentId="{B50293A4-B35C-4D1D-B69C-75BE815FA6F5}">
    <text>5kW allocation reduced due to live reading of 2.5KW</text>
  </threadedComment>
  <threadedComment ref="J12" dT="2023-12-12T10:26:57.52" personId="{F6E7EC2D-8E6E-4BA1-BCDD-6D7FECF08119}" id="{3EC09FCD-4DBF-4EB5-99F4-FDAB59DD8FE6}" parentId="{B50293A4-B35C-4D1D-B69C-75BE815FA6F5}">
    <text>5kW allocation reduced due to live reading of 2.4kW</text>
  </threadedComment>
  <threadedComment ref="J12" dT="2024-01-10T01:22:01.50" personId="{F6E7EC2D-8E6E-4BA1-BCDD-6D7FECF08119}" id="{F4FDBE03-2BBD-4A33-B3F0-451C9771ACE5}" parentId="{B50293A4-B35C-4D1D-B69C-75BE815FA6F5}">
    <text>5kW allocation reduced due to live reading of 2.5kW</text>
  </threadedComment>
  <threadedComment ref="J12" dT="2024-02-12T22:08:23.59" personId="{F6E7EC2D-8E6E-4BA1-BCDD-6D7FECF08119}" id="{B2EA887D-DE29-45CC-B600-3AA34EFA5857}" parentId="{B50293A4-B35C-4D1D-B69C-75BE815FA6F5}">
    <text>5kW allocation reduced due to live reading of 2.4kW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8.5kW allocation reduced due to live reading of 3.1KW</text>
  </threadedComment>
  <threadedComment ref="L12" dT="2023-08-01T11:24:20.49" personId="{F6E7EC2D-8E6E-4BA1-BCDD-6D7FECF08119}" id="{4E6EE769-89C9-4581-9053-8C9D2D73984E}" parentId="{4B93C499-6A09-40F4-BF2E-413B300894D7}">
    <text>8.5kW allocation reduced due to live reading of 3.1KW</text>
  </threadedComment>
  <threadedComment ref="L12" dT="2023-09-05T12:14:51.64" personId="{F6E7EC2D-8E6E-4BA1-BCDD-6D7FECF08119}" id="{398A61B0-4975-42D3-B512-A040D196CF9E}" parentId="{4B93C499-6A09-40F4-BF2E-413B300894D7}">
    <text>8.5kW allocation reduced due to live reading of 3.1KW</text>
  </threadedComment>
  <threadedComment ref="L12" dT="2023-10-20T08:30:32.65" personId="{F6E7EC2D-8E6E-4BA1-BCDD-6D7FECF08119}" id="{E3E322E8-5491-4D70-8EBC-49692E619645}" parentId="{4B93C499-6A09-40F4-BF2E-413B300894D7}">
    <text>8.5kW allocation reduced due to live reading of 3.1KW</text>
  </threadedComment>
  <threadedComment ref="L12" dT="2023-11-08T08:54:54.27" personId="{F6E7EC2D-8E6E-4BA1-BCDD-6D7FECF08119}" id="{EB91279E-2213-4AF5-A494-54EB484B9594}" parentId="{4B93C499-6A09-40F4-BF2E-413B300894D7}">
    <text>8.5kW allocation reduced due to live reading of 3.1KW</text>
  </threadedComment>
  <threadedComment ref="L12" dT="2023-12-12T10:26:02.86" personId="{F6E7EC2D-8E6E-4BA1-BCDD-6D7FECF08119}" id="{4B2DBC6E-E5F8-4C63-AF24-FB19CC7C0D8C}" parentId="{4B93C499-6A09-40F4-BF2E-413B300894D7}">
    <text>8.5kW allocation reduced due to live reading of 3.1KW</text>
  </threadedComment>
  <threadedComment ref="L12" dT="2024-01-10T01:20:03.12" personId="{F6E7EC2D-8E6E-4BA1-BCDD-6D7FECF08119}" id="{970B4798-FB62-4CCD-B8E8-81B890BBBDE9}" parentId="{4B93C499-6A09-40F4-BF2E-413B300894D7}">
    <text>8.5kW allocation reduced due to live reading of 3.1KW</text>
  </threadedComment>
  <threadedComment ref="L12" dT="2024-02-12T22:07:52.96" personId="{F6E7EC2D-8E6E-4BA1-BCDD-6D7FECF08119}" id="{30D8C4E4-A960-4CBA-988E-6D0441ACB299}" parentId="{4B93C499-6A09-40F4-BF2E-413B300894D7}">
    <text>8.5kW allocation reduced due to live reading of 3.1KW</text>
  </threadedComment>
  <threadedComment ref="N12" dT="2023-09-05T12:09:53.40" personId="{F6E7EC2D-8E6E-4BA1-BCDD-6D7FECF08119}" id="{4BB3C74A-4259-411D-BCCC-A1891B45D543}">
    <text>2kW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2kW allocation reduced due to live reading of 0.4KW</text>
  </threadedComment>
  <threadedComment ref="N12" dT="2023-11-08T08:53:13.12" personId="{F6E7EC2D-8E6E-4BA1-BCDD-6D7FECF08119}" id="{0199C96B-010D-493D-A66C-137AF59A3C3B}" parentId="{4BB3C74A-4259-411D-BCCC-A1891B45D543}">
    <text>2kW allocation reduced due to live reading of 0.4KW</text>
  </threadedComment>
  <threadedComment ref="N12" dT="2023-12-12T10:22:55.69" personId="{F6E7EC2D-8E6E-4BA1-BCDD-6D7FECF08119}" id="{D2D0B48D-FFBF-408D-BA58-6D5C42E422C7}" parentId="{4BB3C74A-4259-411D-BCCC-A1891B45D543}">
    <text>2kW allocation reduced due to live reading of 0.4KW</text>
  </threadedComment>
  <threadedComment ref="N12" dT="2024-01-10T01:18:06.78" personId="{F6E7EC2D-8E6E-4BA1-BCDD-6D7FECF08119}" id="{C9E52CE7-A755-4662-BA21-32F7958A61DE}" parentId="{4BB3C74A-4259-411D-BCCC-A1891B45D543}">
    <text>2kW allocation reduced due to live reading of 0.4KW</text>
  </threadedComment>
  <threadedComment ref="N12" dT="2024-02-12T22:06:06.92" personId="{F6E7EC2D-8E6E-4BA1-BCDD-6D7FECF08119}" id="{9060EB4F-D3D0-4839-8892-6ED5F07B3756}" parentId="{4BB3C74A-4259-411D-BCCC-A1891B45D543}">
    <text>2kW allocation reduced due to live reading of 0.4KW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2kW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2kW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2kW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2kW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2kW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2kW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2kW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2kW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0CB9CDBC-2E3C-4683-AD6A-3E60E6BCE4AC}">
    <text>Live reading 74A, so 38kW allocation reduced by 4kW</text>
  </threadedComment>
  <threadedComment ref="J40" dT="2023-07-13T13:53:04.87" personId="{4232887B-6F74-4501-885D-8735C5662726}" id="{9CDE872D-A1EF-47D3-82A7-754C42B58C8D}" parentId="{0CB9CDBC-2E3C-4683-AD6A-3E60E6BCE4AC}">
    <text>19kW allocation reduced due to live reading of 2.6kW</text>
  </threadedComment>
  <threadedComment ref="J40" dT="2023-09-08T11:01:11.05" personId="{F6E7EC2D-8E6E-4BA1-BCDD-6D7FECF08119}" id="{620BF2D9-1E7D-49B5-972F-475DD369DB05}" parentId="{0CB9CDBC-2E3C-4683-AD6A-3E60E6BCE4AC}">
    <text>19kW allocation reduced due to live reading of 1.5kW</text>
  </threadedComment>
  <threadedComment ref="J40" dT="2023-11-02T13:27:28.37" personId="{F6E7EC2D-8E6E-4BA1-BCDD-6D7FECF08119}" id="{BABE260F-D5A2-46BD-9577-0EC96668636C}" parentId="{0CB9CDBC-2E3C-4683-AD6A-3E60E6BCE4AC}">
    <text>19kW allocation reduced due to live reading of 1.6kW</text>
  </threadedComment>
  <threadedComment ref="J40" dT="2023-12-12T12:22:08.85" personId="{F6E7EC2D-8E6E-4BA1-BCDD-6D7FECF08119}" id="{C7F823AA-E39E-4C48-91FA-6FDA2A0E6836}" parentId="{0CB9CDBC-2E3C-4683-AD6A-3E60E6BCE4AC}">
    <text>38kW allocation reduced due to live reading of 1.8kW</text>
  </threadedComment>
  <threadedComment ref="J40" dT="2024-02-14T11:31:29.37" personId="{F6E7EC2D-8E6E-4BA1-BCDD-6D7FECF08119}" id="{47CC7F97-FBBD-46DC-BE84-381C9A359284}" parentId="{0CB9CDBC-2E3C-4683-AD6A-3E60E6BCE4AC}">
    <text>38kW allocation reduced due to live reading of 1.8kW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J48" dT="2023-09-29T04:30:37.91" personId="{F6E7EC2D-8E6E-4BA1-BCDD-6D7FECF08119}" id="{69195F52-40F4-4159-9ABC-C693AFCA737B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8" dT="2023-12-18T12:03:40.78" personId="{4232887B-6F74-4501-885D-8735C5662726}" id="{761221DC-7BE9-4ADA-A22D-173C3DC87B35}" parentId="{69195F52-40F4-4159-9ABC-C693AFCA737B}">
    <text>2kW allocation reduced due to live reading of 1.4kW</text>
  </threadedComment>
  <threadedComment ref="AJ48" dT="2024-01-09T09:06:10.63" personId="{4232887B-6F74-4501-885D-8735C5662726}" id="{CB58F0C2-B23B-4B5F-B148-7DB6DFD8DB3F}" parentId="{69195F52-40F4-4159-9ABC-C693AFCA737B}">
    <text>2kW allocation reduced due to live reading of 1.4kW</text>
  </threadedComment>
  <threadedComment ref="AJ48" dT="2024-02-16T06:08:40.52" personId="{F6E7EC2D-8E6E-4BA1-BCDD-6D7FECF08119}" id="{F827CAE0-DC4F-46CF-A9D3-9C657D3B5B19}" parentId="{69195F52-40F4-4159-9ABC-C693AFCA737B}">
    <text>2kW allocation reduced due to live reading of 1.4kW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J49" dT="2023-09-29T04:30:49.83" personId="{F6E7EC2D-8E6E-4BA1-BCDD-6D7FECF08119}" id="{9989DD06-EAE6-47E6-9CB9-EBEB101FBDF9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9" dT="2023-11-13T11:14:56.68" personId="{4232887B-6F74-4501-885D-8735C5662726}" id="{6ED08833-DA2F-413D-93E7-9AB903EA1766}" parentId="{9989DD06-EAE6-47E6-9CB9-EBEB101FBDF9}">
    <text>2kW allocation reduced due to live reading of 1.4kW</text>
  </threadedComment>
  <threadedComment ref="AJ49" dT="2023-12-18T12:03:18.65" personId="{4232887B-6F74-4501-885D-8735C5662726}" id="{93E77956-5C61-4765-B075-F429414A7EB0}" parentId="{9989DD06-EAE6-47E6-9CB9-EBEB101FBDF9}">
    <text>2kW allocation reduced due to live reading of 1.4kW</text>
  </threadedComment>
  <threadedComment ref="AJ49" dT="2024-01-09T09:06:16.30" personId="{4232887B-6F74-4501-885D-8735C5662726}" id="{8D397F10-28C6-41BA-836D-63E5E46E8A17}" parentId="{9989DD06-EAE6-47E6-9CB9-EBEB101FBDF9}">
    <text>2kW allocation reduced due to live reading of 1.4kW</text>
  </threadedComment>
  <threadedComment ref="AJ49" dT="2024-02-16T06:09:11.38" personId="{F6E7EC2D-8E6E-4BA1-BCDD-6D7FECF08119}" id="{B4E3E716-8AEA-4E87-B5BF-6A539959ED54}" parentId="{9989DD06-EAE6-47E6-9CB9-EBEB101FBDF9}">
    <text>2kW allocation reduced due to live reading of 1.4kW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F54" dT="2022-06-22T11:58:23.03" personId="{A2EEB511-B106-4ABB-A0A9-198E22579A21}" id="{B3A6762B-DD0D-446F-AC5B-B064A14FB23E}">
    <text xml:space="preserve"> NCS-57C3 - 500W - 2 feeds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L54" dT="2023-06-08T11:32:17.70" personId="{7807B229-714C-4AA1-8F83-E7F46ACB7D83}" id="{2020A3A0-D8CE-413F-8D03-DD46062D2239}">
    <text>Live reading of .05 KW so original 4kW</text>
  </threadedComment>
  <threadedComment ref="AL54" dT="2023-09-05T13:26:53.28" personId="{F6E7EC2D-8E6E-4BA1-BCDD-6D7FECF08119}" id="{2B8A4F77-8997-46B7-ABE4-6D811F46237D}" parentId="{2020A3A0-D8CE-413F-8D03-DD46062D2239}">
    <text>4kW allocation reduced due to live reading of 0.1KW</text>
  </threadedComment>
  <threadedComment ref="AL54" dT="2023-11-22T13:16:10.40" personId="{4232887B-6F74-4501-885D-8735C5662726}" id="{3ED6AA22-93A6-4EAC-A8B8-2D90A2B147FC}" parentId="{2020A3A0-D8CE-413F-8D03-DD46062D2239}">
    <text>4kW allocation reduced due to live reading of 0.1KW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4" dT="2023-11-08T13:17:17.89" personId="{A4663B00-DB85-420B-AE65-1E515148FDF2}" id="{A5E770EF-5604-40D0-8448-22AB38648D0E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J143" personId="{31CF382B-C4A6-482E-AE04-28CACDB6A63A}" id="{7EA7E13D-EBAA-4956-9A7D-4313AECC0325}">
    <text>Jul-21 Was 5kW but confirmed currently running at 3.5kW</text>
  </threadedComment>
  <threadedComment ref="J143" dT="2023-07-10T18:06:42.07" personId="{4232887B-6F74-4501-885D-8735C5662726}" id="{018BF77E-24B3-4899-B8CB-A14566E42872}" parentId="{7EA7E13D-EBAA-4956-9A7D-4313AECC0325}">
    <text>2.5kW allocation reduced due to live reading of 1.9kW</text>
  </threadedComment>
  <threadedComment ref="J143" dT="2023-08-03T11:34:36.46" personId="{4232887B-6F74-4501-885D-8735C5662726}" id="{8D07EC7C-7734-42D4-95D1-A1522D195F92}" parentId="{7EA7E13D-EBAA-4956-9A7D-4313AECC0325}">
    <text>2.5kW allocation reduced due to live reading of 1.9kW</text>
  </threadedComment>
  <threadedComment ref="J143" dT="2023-09-13T09:53:21.03" personId="{4232887B-6F74-4501-885D-8735C5662726}" id="{C4B0099B-C699-4ABF-A7A0-4B7117F66428}" parentId="{7EA7E13D-EBAA-4956-9A7D-4313AECC0325}">
    <text>2.5kW allocation reduced due to live reading of 1.9kW</text>
  </threadedComment>
  <threadedComment ref="J143" dT="2023-10-23T10:23:12.03" personId="{F6E7EC2D-8E6E-4BA1-BCDD-6D7FECF08119}" id="{3D3F74B4-87EA-4CCB-A85E-087A8D10F298}" parentId="{7EA7E13D-EBAA-4956-9A7D-4313AECC0325}">
    <text>2.5kW allocation reduced due to live reading of 2.3kW</text>
  </threadedComment>
  <threadedComment ref="J143" dT="2023-11-22T10:07:10.29" personId="{4232887B-6F74-4501-885D-8735C5662726}" id="{D300BFF6-FBBA-4102-A820-D09480BB5EBF}" parentId="{7EA7E13D-EBAA-4956-9A7D-4313AECC0325}">
    <text>2.5kW allocation reduced due to live reading of 2.4kW</text>
  </threadedComment>
  <threadedComment ref="J143" dT="2023-12-18T13:15:04.50" personId="{F6E7EC2D-8E6E-4BA1-BCDD-6D7FECF08119}" id="{DD5B7955-A6CE-4B6B-AD82-6B20509C23EE}" parentId="{7EA7E13D-EBAA-4956-9A7D-4313AECC0325}">
    <text>2.5kW allocation reduced due to live reading of 2.4kW</text>
  </threadedComment>
  <threadedComment ref="J143" dT="2024-01-10T13:20:58.28" personId="{F6E7EC2D-8E6E-4BA1-BCDD-6D7FECF08119}" id="{B5A92D3B-3614-4051-8680-C7B877C0AF0A}" parentId="{7EA7E13D-EBAA-4956-9A7D-4313AECC0325}">
    <text>2.5kW allocation reduced due to live reading of 2.4kW</text>
  </threadedComment>
  <threadedComment ref="J143" dT="2024-02-14T13:35:22.25" personId="{F6E7EC2D-8E6E-4BA1-BCDD-6D7FECF08119}" id="{144C77FD-2D3E-47A4-8290-0996D2261C4A}" parentId="{7EA7E13D-EBAA-4956-9A7D-4313AECC0325}">
    <text>2.5kW allocation reduced due to live reading of 2.5kW</text>
  </threadedComment>
  <threadedComment ref="L143" personId="{31CF382B-C4A6-482E-AE04-28CACDB6A63A}" id="{B0B8CB4E-3DA6-4AA3-8D07-810DD43B6A92}">
    <text>Jul-21 Was 8kW, confirmed currently running at 6kW</text>
  </threadedComment>
  <threadedComment ref="L143" dT="2023-07-10T18:12:37.07" personId="{4232887B-6F74-4501-885D-8735C5662726}" id="{C595CE26-277C-46C3-8270-DE4EC4CD7A3B}" parentId="{B0B8CB4E-3DA6-4AA3-8D07-810DD43B6A92}">
    <text>4kW allocation reduced due to live reading of 3.4kW</text>
  </threadedComment>
  <threadedComment ref="L143" dT="2023-08-03T11:36:44.36" personId="{4232887B-6F74-4501-885D-8735C5662726}" id="{5D522D5B-2717-488D-A9D3-9B3C6E1EBF4C}" parentId="{B0B8CB4E-3DA6-4AA3-8D07-810DD43B6A92}">
    <text>4kW allocation reduced due to live reading of 3.5kW</text>
  </threadedComment>
  <threadedComment ref="L143" dT="2023-09-13T09:56:19.18" personId="{4232887B-6F74-4501-885D-8735C5662726}" id="{28B198A5-1A76-4719-AF48-4FA9D5146D7D}" parentId="{B0B8CB4E-3DA6-4AA3-8D07-810DD43B6A92}">
    <text>4kW allocation reduced due to live reading of 3.5kW</text>
  </threadedComment>
  <threadedComment ref="L143" dT="2023-09-13T09:56:24.94" personId="{4232887B-6F74-4501-885D-8735C5662726}" id="{4438D3E6-A6A2-47D8-B95D-FF80376D183B}" parentId="{B0B8CB4E-3DA6-4AA3-8D07-810DD43B6A92}">
    <text>4kW allocation reduced due to live reading of 3.5kW</text>
  </threadedComment>
  <threadedComment ref="L143" dT="2023-10-23T10:46:42.03" personId="{F6E7EC2D-8E6E-4BA1-BCDD-6D7FECF08119}" id="{C17B7A4C-D6F8-4A91-B663-9DB3F80701EB}" parentId="{B0B8CB4E-3DA6-4AA3-8D07-810DD43B6A92}">
    <text>4kW allocation reduced due to live reading of 3.7kW</text>
  </threadedComment>
  <threadedComment ref="L143" dT="2023-11-22T10:09:45.98" personId="{4232887B-6F74-4501-885D-8735C5662726}" id="{EAF2AA53-970E-4CF3-AFFF-96D0A80EB942}" parentId="{B0B8CB4E-3DA6-4AA3-8D07-810DD43B6A92}">
    <text>4kW allocation reduced due to live reading of 3.8kW</text>
  </threadedComment>
  <threadedComment ref="L143" dT="2023-12-18T13:34:09.45" personId="{F6E7EC2D-8E6E-4BA1-BCDD-6D7FECF08119}" id="{1E6C84B5-09AE-40F1-A8E0-1BF3B0F96652}" parentId="{B0B8CB4E-3DA6-4AA3-8D07-810DD43B6A92}">
    <text>4kW allocation reduced due to live reading of 3.8kW</text>
  </threadedComment>
  <threadedComment ref="L143" dT="2024-01-10T13:21:34.14" personId="{F6E7EC2D-8E6E-4BA1-BCDD-6D7FECF08119}" id="{D4C00D01-8780-4FFB-A7D7-5A1C98F9EC3B}" parentId="{B0B8CB4E-3DA6-4AA3-8D07-810DD43B6A92}">
    <text>4kW allocation reduced due to live reading of 3.8kW</text>
  </threadedComment>
  <threadedComment ref="L143" dT="2024-02-14T13:34:50.66" personId="{F6E7EC2D-8E6E-4BA1-BCDD-6D7FECF08119}" id="{E1807F63-8C1B-4487-BD1B-2B98E693D8E9}" parentId="{B0B8CB4E-3DA6-4AA3-8D07-810DD43B6A92}">
    <text>4kW allocation reduced due to live reading of 3.9kW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12kW allocation reduced due to live reading of 1.7kW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Z219" dT="2023-12-19T11:05:04.45" personId="{F6E7EC2D-8E6E-4BA1-BCDD-6D7FECF08119}" id="{996FBB2B-9D64-4735-8C64-78A3B0987BEF}">
    <text>2.7kW allocation reduced due to live reading of 0.7kW</text>
  </threadedComment>
  <threadedComment ref="Z219" dT="2024-01-10T16:47:39.77" personId="{F6E7EC2D-8E6E-4BA1-BCDD-6D7FECF08119}" id="{D44F2D8D-5400-461C-BCA4-62C3434C1BA3}" parentId="{996FBB2B-9D64-4735-8C64-78A3B0987BEF}">
    <text>2.7kW allocation reduced due to live reading of 0.7kW</text>
  </threadedComment>
  <threadedComment ref="Z219" dT="2024-02-14T17:05:05.15" personId="{F6E7EC2D-8E6E-4BA1-BCDD-6D7FECF08119}" id="{E43933DE-7A3B-4652-87C4-C4903705D95D}" parentId="{996FBB2B-9D64-4735-8C64-78A3B0987BEF}">
    <text>2.7kW allocation reduced due to live reading of 0.7kW</text>
  </threadedComment>
  <threadedComment ref="AD219" dT="2023-07-12T08:27:10.91" personId="{4232887B-6F74-4501-885D-8735C5662726}" id="{88B3D8F4-72EB-49CF-9D72-1CE65AA33270}">
    <text>2kW allocation reduced due to live reading of 0.3kW</text>
  </threadedComment>
  <threadedComment ref="AD219" dT="2023-08-07T15:07:12.23" personId="{4232887B-6F74-4501-885D-8735C5662726}" id="{11F84476-5F1D-4184-80E2-D80659ECAA83}" parentId="{88B3D8F4-72EB-49CF-9D72-1CE65AA33270}">
    <text>2kW allocation reduced due to live reading of 0.3kW</text>
  </threadedComment>
  <threadedComment ref="AD219" dT="2023-09-11T14:40:55.49" personId="{F6E7EC2D-8E6E-4BA1-BCDD-6D7FECF08119}" id="{7B710D19-57D5-4DBB-9330-90CF86BA977D}" parentId="{88B3D8F4-72EB-49CF-9D72-1CE65AA33270}">
    <text>2kW allocation reduced due to live reading of 0.3kW</text>
  </threadedComment>
  <threadedComment ref="AD219" dT="2023-10-20T15:29:07.58" personId="{F6E7EC2D-8E6E-4BA1-BCDD-6D7FECF08119}" id="{45594A80-185F-48C0-A7BD-89C44B03036C}" parentId="{88B3D8F4-72EB-49CF-9D72-1CE65AA33270}">
    <text>2kW allocation reduced due to live reading of 0.3kW</text>
  </threadedComment>
  <threadedComment ref="AD219" dT="2023-11-10T11:24:54.80" personId="{F6E7EC2D-8E6E-4BA1-BCDD-6D7FECF08119}" id="{C26B8248-ACF3-4F0F-9402-410F310AE229}" parentId="{88B3D8F4-72EB-49CF-9D72-1CE65AA33270}">
    <text>2kW allocation reduced due to live reading of 0.4kW</text>
  </threadedComment>
  <threadedComment ref="AD219" dT="2023-12-15T11:43:33.87" personId="{F6E7EC2D-8E6E-4BA1-BCDD-6D7FECF08119}" id="{B6EE420C-0610-4F54-9D81-71E7B6879869}" parentId="{88B3D8F4-72EB-49CF-9D72-1CE65AA33270}">
    <text>2kW allocation reduced due to live reading of 0.4kW</text>
  </threadedComment>
  <threadedComment ref="AD219" dT="2024-01-10T16:49:41.17" personId="{F6E7EC2D-8E6E-4BA1-BCDD-6D7FECF08119}" id="{B9776D3B-38A7-4359-8C79-C536A8C73CB2}" parentId="{88B3D8F4-72EB-49CF-9D72-1CE65AA33270}">
    <text>2kW allocation reduced due to live reading of 0.4kW</text>
  </threadedComment>
  <threadedComment ref="AD219" dT="2024-02-14T17:06:11.75" personId="{F6E7EC2D-8E6E-4BA1-BCDD-6D7FECF08119}" id="{5DC640B9-59F8-429A-AA26-5B6BC34E6CE2}" parentId="{88B3D8F4-72EB-49CF-9D72-1CE65AA33270}">
    <text>2kW allocation reduced due to live reading of 0.4kW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Z220" dT="2023-12-19T11:05:26.25" personId="{F6E7EC2D-8E6E-4BA1-BCDD-6D7FECF08119}" id="{9C4EAA34-DF34-4A20-947F-CB32D2DF395B}">
    <text>2.7kW allocation reduced due to live reading of 0.7kW</text>
  </threadedComment>
  <threadedComment ref="Z220" dT="2024-01-10T16:47:54.99" personId="{F6E7EC2D-8E6E-4BA1-BCDD-6D7FECF08119}" id="{6E1648CE-D444-4FE5-A699-7FF3E75A9630}" parentId="{9C4EAA34-DF34-4A20-947F-CB32D2DF395B}">
    <text>2.7kW allocation reduced due to live reading of 0.7kW</text>
  </threadedComment>
  <threadedComment ref="Z220" dT="2024-02-14T17:05:16.70" personId="{F6E7EC2D-8E6E-4BA1-BCDD-6D7FECF08119}" id="{4125C00C-3966-477D-BF93-885575578A1D}" parentId="{9C4EAA34-DF34-4A20-947F-CB32D2DF395B}">
    <text>2.7kW allocation reduced due to live reading of 0.7kW</text>
  </threadedComment>
  <threadedComment ref="AD220" dT="2023-07-12T08:27:10.91" personId="{4232887B-6F74-4501-885D-8735C5662726}" id="{760A5B33-2111-40D2-8FC5-742A7AE7F862}">
    <text>2kW allocation reduced due to live reading of 0.3kW</text>
  </threadedComment>
  <threadedComment ref="AD220" dT="2023-08-07T15:07:12.23" personId="{4232887B-6F74-4501-885D-8735C5662726}" id="{071E9767-4553-44A7-A9F5-BF8D7892C68F}" parentId="{760A5B33-2111-40D2-8FC5-742A7AE7F862}">
    <text>2kW allocation reduced due to live reading of 0.3kW</text>
  </threadedComment>
  <threadedComment ref="AD220" dT="2023-09-11T14:40:55.49" personId="{F6E7EC2D-8E6E-4BA1-BCDD-6D7FECF08119}" id="{8E6943D1-EADC-4E83-A12C-8C333CA613C4}" parentId="{760A5B33-2111-40D2-8FC5-742A7AE7F862}">
    <text>2kW allocation reduced due to live reading of 0.3kW</text>
  </threadedComment>
  <threadedComment ref="AD220" dT="2023-10-20T15:29:07.58" personId="{F6E7EC2D-8E6E-4BA1-BCDD-6D7FECF08119}" id="{9ADC29FD-7320-4920-85B7-79DC046DE860}" parentId="{760A5B33-2111-40D2-8FC5-742A7AE7F862}">
    <text>2kW allocation reduced due to live reading of 0.3kW</text>
  </threadedComment>
  <threadedComment ref="AD220" dT="2023-11-10T11:24:54.80" personId="{F6E7EC2D-8E6E-4BA1-BCDD-6D7FECF08119}" id="{2F25757F-A087-4CB8-BE6A-21AB99A0141D}" parentId="{760A5B33-2111-40D2-8FC5-742A7AE7F862}">
    <text>2kW allocation reduced due to live reading of 0.4kW</text>
  </threadedComment>
  <threadedComment ref="AD220" dT="2023-12-15T11:43:39.28" personId="{F6E7EC2D-8E6E-4BA1-BCDD-6D7FECF08119}" id="{F4D83B1B-7653-41DB-B41C-889F4A452FA1}" parentId="{760A5B33-2111-40D2-8FC5-742A7AE7F862}">
    <text>2kW allocation reduced due to live reading of 0.4kW</text>
  </threadedComment>
  <threadedComment ref="AD220" dT="2024-01-10T16:49:43.93" personId="{F6E7EC2D-8E6E-4BA1-BCDD-6D7FECF08119}" id="{8169832A-883A-46F1-AFB6-243BC0605BE6}" parentId="{760A5B33-2111-40D2-8FC5-742A7AE7F862}">
    <text>2kW allocation reduced due to live reading of 0.4kW</text>
  </threadedComment>
  <threadedComment ref="AD220" dT="2024-02-14T17:06:19.97" personId="{F6E7EC2D-8E6E-4BA1-BCDD-6D7FECF08119}" id="{77AF1971-8F53-4C01-81BD-8F350DF96084}" parentId="{760A5B33-2111-40D2-8FC5-742A7AE7F862}">
    <text>2kW allocation reduced due to live reading of 0.4kW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Q221" dT="2024-02-21T08:23:58.93" personId="{1E6DD3F2-E860-47E0-8C0E-4DFC2954E528}" id="{834ED47B-857E-469C-A1AB-99DF6E09CA7A}">
    <text>Addition nokia 7210 is planned in JL/JM04 under ORMT_SAP_240115_12_10335416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Q222" dT="2024-02-21T08:28:51.52" personId="{1E6DD3F2-E860-47E0-8C0E-4DFC2954E528}" id="{A2A5966C-4319-4DC5-853E-135BCD027BCC}">
    <text>Addition nokia 7210 is planned in JL/JM04 under ORMT_SAP_240115_12_10335416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AA240" dT="2024-01-30T10:26:58.77" personId="{1E6DD3F2-E860-47E0-8C0E-4DFC2954E528}" id="{7400D51E-2221-4022-9FAB-B6980CA48CF1}">
    <text>Addition nokia 7210 is planned in 5/6D under ORMT_SAP_240115_12_10335416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AA241" dT="2024-01-30T10:27:10.22" personId="{1E6DD3F2-E860-47E0-8C0E-4DFC2954E528}" id="{4D1DF346-6C97-4694-9285-6F1F9D62761F}">
    <text>Addition nokia 7210 is planned in 5/6D under ORMT_SAP_240115_12_10335416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U117" dT="2024-01-30T10:24:22.27" personId="{1E6DD3F2-E860-47E0-8C0E-4DFC2954E528}" id="{1D507A5F-721F-480A-81B6-A8B1C3D2D489}">
    <text>Addition nokia 7210 is planned in 5/6D under ORMT_SAP_240115_12_10335416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3.5kW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J176" dT="2023-09-29T04:30:49.83" personId="{F6E7EC2D-8E6E-4BA1-BCDD-6D7FECF08119}" id="{8779149F-0232-4034-9D12-6BEC808DF6D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176" dT="2023-11-13T11:14:56.68" personId="{4232887B-6F74-4501-885D-8735C5662726}" id="{4629600D-94C2-46B1-BDAF-4590F1EFA15E}" parentId="{8779149F-0232-4034-9D12-6BEC808DF6D7}">
    <text>4kW allocation reduced due to live reading of 1.4kW</text>
  </threadedComment>
  <threadedComment ref="AJ176" dT="2023-12-18T12:04:15.14" personId="{4232887B-6F74-4501-885D-8735C5662726}" id="{2A9DEEF1-5354-4EC1-8696-B6EE4876C72B}" parentId="{8779149F-0232-4034-9D12-6BEC808DF6D7}">
    <text>4kW allocation reduced due to live reading of 2.8kW</text>
  </threadedComment>
  <threadedComment ref="AJ176" dT="2024-02-16T06:09:22.15" personId="{F6E7EC2D-8E6E-4BA1-BCDD-6D7FECF08119}" id="{DBE0279A-703C-427E-B198-6052D7D99BC1}" parentId="{8779149F-0232-4034-9D12-6BEC808DF6D7}">
    <text>4kW allocation reduced due to live reading of 2.8kW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1kW allocation reduced due to live reading of 0.2kW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6kW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R436" dT="2023-11-13T12:55:34.76" personId="{F6E7EC2D-8E6E-4BA1-BCDD-6D7FECF08119}" id="{A1C07965-5D53-45C7-980A-D0F051F5CB0D}">
    <text>Allocated under ORMT_SAP_231109_20_10335416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V441" dT="2023-07-13T14:20:38.74" personId="{4232887B-6F74-4501-885D-8735C5662726}" id="{D3AABDFD-423F-43B7-8C4F-E65EE1DADE75}">
    <text>4kW allocation reduced due to live reading of 1.6kW</text>
  </threadedComment>
  <threadedComment ref="V441" dT="2023-11-02T13:37:21.24" personId="{F6E7EC2D-8E6E-4BA1-BCDD-6D7FECF08119}" id="{B00A8147-5F35-4027-B9FB-D3D678F688E8}" parentId="{D3AABDFD-423F-43B7-8C4F-E65EE1DADE75}">
    <text>4kW allocation reduced due to live reading of 1.2kW</text>
  </threadedComment>
  <threadedComment ref="V441" dT="2023-12-12T12:32:40.24" personId="{F6E7EC2D-8E6E-4BA1-BCDD-6D7FECF08119}" id="{A1C4AA39-6D2C-49B6-AB59-F17EB65EE39E}" parentId="{D3AABDFD-423F-43B7-8C4F-E65EE1DADE75}">
    <text>4kW allocation reduced due to live reading of 1.2kW</text>
  </threadedComment>
  <threadedComment ref="V441" dT="2024-01-10T02:03:55.04" personId="{F6E7EC2D-8E6E-4BA1-BCDD-6D7FECF08119}" id="{767E847E-EC76-473A-ABC5-CAF4D07E59AD}" parentId="{D3AABDFD-423F-43B7-8C4F-E65EE1DADE75}">
    <text>4kW allocation reduced due to live reading of 1.2kW</text>
  </threadedComment>
  <threadedComment ref="V441" dT="2024-02-14T11:20:24.64" personId="{F6E7EC2D-8E6E-4BA1-BCDD-6D7FECF08119}" id="{53F33B4F-2DDF-4A90-B270-017FF9364471}" parentId="{D3AABDFD-423F-43B7-8C4F-E65EE1DADE75}">
    <text>4kW allocation reduced due to live reading of 1.2kW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10.9kW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71"/>
  <sheetViews>
    <sheetView zoomScale="70" zoomScaleNormal="70" workbookViewId="0">
      <pane xSplit="1" ySplit="7" topLeftCell="B13" activePane="bottomRight" state="frozen"/>
      <selection pane="bottomRight" activeCell="B13" sqref="B13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10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1">
        <v>45342</v>
      </c>
    </row>
    <row r="2" spans="1:19">
      <c r="A2" s="27" t="s">
        <v>3</v>
      </c>
      <c r="C2" s="70">
        <f ca="1">All!B2</f>
        <v>247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45323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9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45323</v>
      </c>
      <c r="D10" s="5"/>
      <c r="E10" s="17">
        <f>VLOOKUP(A10,All!A:AM,30,0)</f>
        <v>41.143829535365491</v>
      </c>
      <c r="F10" s="17">
        <f>VLOOKUP(A10,All!A:AM,28,0)</f>
        <v>15.570799999999998</v>
      </c>
      <c r="G10" s="17">
        <f>VLOOKUP(A10,All!A:AM,31,0)</f>
        <v>19.547785884562593</v>
      </c>
      <c r="H10" s="17">
        <f>VLOOKUP(A10,All!A:AM,29,0)</f>
        <v>5.4119999999999999</v>
      </c>
      <c r="I10" s="6">
        <f>VLOOKUP(A10,All!A:AM,33,0)</f>
        <v>29.706632331035877</v>
      </c>
      <c r="J10" s="6">
        <f>VLOOKUP(A10,All!A:AM,32,0)</f>
        <v>9.4131999999999998</v>
      </c>
      <c r="K10" s="20">
        <f>VLOOKUP(A10,All!A:AM,39,0)</f>
        <v>34.002962962962961</v>
      </c>
      <c r="L10" s="20">
        <f>VLOOKUP(A10,All!A:AM,38,0)</f>
        <v>11.475999999999999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45323</v>
      </c>
      <c r="D11" s="5"/>
      <c r="E11" s="17">
        <f>VLOOKUP(A11,All!A:AM,30,0)</f>
        <v>34.196155526430758</v>
      </c>
      <c r="F11" s="17">
        <f>VLOOKUP(A11,All!A:AM,28,0)</f>
        <v>7.63964</v>
      </c>
      <c r="G11" s="17">
        <f>VLOOKUP(A11,All!A:AM,31,0)</f>
        <v>-6.8712833859172111</v>
      </c>
      <c r="H11" s="17">
        <f>VLOOKUP(A11,All!A:AM,29,0)</f>
        <v>-0.94519999999999982</v>
      </c>
      <c r="I11" s="6">
        <f>VLOOKUP(A11,All!A:AM,33,0)</f>
        <v>35.670902471469581</v>
      </c>
      <c r="J11" s="6">
        <f>VLOOKUP(A11,All!A:AM,32,0)</f>
        <v>8.1517999999999997</v>
      </c>
      <c r="K11" s="20">
        <f>VLOOKUP(A11,All!A:AM,39,0)</f>
        <v>67.331111111111113</v>
      </c>
      <c r="L11" s="20">
        <f>VLOOKUP(A11,All!A:AM,38,0)</f>
        <v>30.298999999999999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45323</v>
      </c>
      <c r="D12" s="5"/>
      <c r="E12" s="17">
        <f>VLOOKUP(A12,All!A:AM,30,0)</f>
        <v>48.253231232257001</v>
      </c>
      <c r="F12" s="17">
        <f>VLOOKUP(A12,All!A:AM,28,0)</f>
        <v>45.430339999999994</v>
      </c>
      <c r="G12" s="17">
        <f>VLOOKUP(A12,All!A:AM,31,0)</f>
        <v>22.89668968289514</v>
      </c>
      <c r="H12" s="17">
        <f>VLOOKUP(A12,All!A:AM,29,0)</f>
        <v>14.4678</v>
      </c>
      <c r="I12" s="6">
        <f>VLOOKUP(A12,All!A:AM,33,0)</f>
        <v>45.187547815129953</v>
      </c>
      <c r="J12" s="6">
        <f>VLOOKUP(A12,All!A:AM,32,0)</f>
        <v>40.164500000000196</v>
      </c>
      <c r="K12" s="330">
        <f>VLOOKUP(A12,All!A:AM,39,0)</f>
        <v>82.84141008478359</v>
      </c>
      <c r="L12" s="330">
        <f>VLOOKUP(A12,All!A:AM,38,0)</f>
        <v>464.11900000000003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6.7</v>
      </c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45323</v>
      </c>
      <c r="D13" s="5"/>
      <c r="E13" s="17">
        <f>VLOOKUP(A13,All!A:AM,30,0)</f>
        <v>49.642506030812157</v>
      </c>
      <c r="F13" s="17">
        <f>VLOOKUP(A13,All!A:AM,28,0)</f>
        <v>46.738339999999994</v>
      </c>
      <c r="G13" s="17">
        <f>VLOOKUP(A13,All!A:AM,31,0)</f>
        <v>24.966725908529089</v>
      </c>
      <c r="H13" s="17">
        <f>VLOOKUP(A13,All!A:AM,29,0)</f>
        <v>15.7758</v>
      </c>
      <c r="I13" s="6">
        <f>VLOOKUP(A13,All!A:AM,33,0)</f>
        <v>46.659128752081479</v>
      </c>
      <c r="J13" s="6">
        <f>VLOOKUP(A13,All!A:AM,32,0)</f>
        <v>41.472500000000196</v>
      </c>
      <c r="K13" s="331"/>
      <c r="L13" s="331"/>
      <c r="M13" s="96"/>
      <c r="N13" s="96"/>
      <c r="O13" s="96"/>
      <c r="P13" s="96"/>
      <c r="Q13" s="96"/>
      <c r="R13" s="12">
        <f>VLOOKUP(A13,'SYS Allocations'!A:G,7,0)</f>
        <v>6.7</v>
      </c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</row>
    <row r="17" spans="1:18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</row>
    <row r="18" spans="1:18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</row>
    <row r="19" spans="1:18">
      <c r="A19" s="35" t="s">
        <v>35</v>
      </c>
      <c r="B19" s="41" t="str">
        <f>VLOOKUP(A19,All!A:AM,2,0)</f>
        <v>MIDLANDS</v>
      </c>
      <c r="C19" s="42">
        <f>VLOOKUP(A19,All!A:AM,11,0)</f>
        <v>45323</v>
      </c>
      <c r="D19" s="5"/>
      <c r="E19" s="17">
        <f>VLOOKUP(A19,All!A:AM,30,0)</f>
        <v>35.238538376698244</v>
      </c>
      <c r="F19" s="17">
        <f>VLOOKUP(A19,All!A:AM,28,0)</f>
        <v>4.4985799999999996</v>
      </c>
      <c r="G19" s="17">
        <f>VLOOKUP(A19,All!A:AM,31,0)</f>
        <v>-32.718501930377975</v>
      </c>
      <c r="H19" s="17">
        <f>VLOOKUP(A19,All!A:AM,29,0)</f>
        <v>-2.0381500000000004</v>
      </c>
      <c r="I19" s="6">
        <f>VLOOKUP(A19,All!A:AM,33,0)</f>
        <v>45.47654848580769</v>
      </c>
      <c r="J19" s="6">
        <f>VLOOKUP(A19,All!A:AM,32,0)</f>
        <v>6.8956999999999908</v>
      </c>
      <c r="K19" s="20">
        <f>VLOOKUP(A19,All!A:AM,39,0)</f>
        <v>69.379629629629633</v>
      </c>
      <c r="L19" s="20">
        <f>VLOOKUP(A19,All!A:AM,38,0)</f>
        <v>18.732500000000002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</row>
    <row r="20" spans="1:18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</row>
    <row r="21" spans="1:18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16.539245667686036</v>
      </c>
      <c r="F21" s="17">
        <f>VLOOKUP(A21,All!A:AM,28,0)</f>
        <v>6.49</v>
      </c>
      <c r="G21" s="17">
        <f>VLOOKUP(A21,All!A:AM,31,0)</f>
        <v>7.6506176129306072</v>
      </c>
      <c r="H21" s="17">
        <f>VLOOKUP(A21,All!A:AM,29,0)</f>
        <v>2.7131500000000006</v>
      </c>
      <c r="I21" s="6">
        <f>VLOOKUP(A21,All!A:AM,33,0)</f>
        <v>-17.809145586923471</v>
      </c>
      <c r="J21" s="6">
        <f>VLOOKUP(A21,All!A:AM,32,0)</f>
        <v>-4.9508000000000294</v>
      </c>
      <c r="K21" s="20">
        <f>VLOOKUP(A21,All!A:AM,39,0)</f>
        <v>61.836508768863254</v>
      </c>
      <c r="L21" s="20">
        <f>VLOOKUP(A21,All!A:AM,38,0)</f>
        <v>53.064999999999998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5.5</v>
      </c>
    </row>
    <row r="22" spans="1:18">
      <c r="A22" s="37" t="s">
        <v>38</v>
      </c>
      <c r="B22" s="41" t="str">
        <f>VLOOKUP(A22,All!A:AM,2,0)</f>
        <v>NORTHERN HOME COUNTIES</v>
      </c>
      <c r="C22" s="42">
        <f>VLOOKUP(A22,All!A:AM,11,0)</f>
        <v>45323</v>
      </c>
      <c r="D22" s="5"/>
      <c r="E22" s="17">
        <f>VLOOKUP(A22,All!A:AM,30,0)</f>
        <v>41.023520020361651</v>
      </c>
      <c r="F22" s="17">
        <f>VLOOKUP(A22,All!A:AM,28,0)</f>
        <v>42.551400000000001</v>
      </c>
      <c r="G22" s="17">
        <f>VLOOKUP(A22,All!A:AM,31,0)</f>
        <v>24.475819743474833</v>
      </c>
      <c r="H22" s="17">
        <f>VLOOKUP(A22,All!A:AM,29,0)</f>
        <v>19.824900000000003</v>
      </c>
      <c r="I22" s="6">
        <f>VLOOKUP(A22,All!A:AM,33,0)</f>
        <v>38.8583045480717</v>
      </c>
      <c r="J22" s="6">
        <f>VLOOKUP(A22,All!A:AM,32,0)</f>
        <v>38.878200000000305</v>
      </c>
      <c r="K22" s="330">
        <f>VLOOKUP(A22,All!A:AM,39,0)</f>
        <v>17.068527131782947</v>
      </c>
      <c r="L22" s="330">
        <f>VLOOKUP(A22,All!A:AM,38,0)</f>
        <v>27.523000000000003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12.45</v>
      </c>
    </row>
    <row r="23" spans="1:18">
      <c r="A23" s="37" t="s">
        <v>39</v>
      </c>
      <c r="B23" s="41" t="str">
        <f>VLOOKUP(A23,All!A:AM,2,0)</f>
        <v>NORTHERN HOME COUNTIES</v>
      </c>
      <c r="C23" s="42">
        <f>VLOOKUP(A23,All!A:AM,11,0)</f>
        <v>45323</v>
      </c>
      <c r="D23" s="5"/>
      <c r="E23" s="17">
        <f>VLOOKUP(A23,All!A:AM,30,0)</f>
        <v>24.22210524556742</v>
      </c>
      <c r="F23" s="17">
        <f>VLOOKUP(A23,All!A:AM,28,0)</f>
        <v>23.191599999999998</v>
      </c>
      <c r="G23" s="17">
        <f>VLOOKUP(A23,All!A:AM,31,0)</f>
        <v>-11.309870823233405</v>
      </c>
      <c r="H23" s="17">
        <f>VLOOKUP(A23,All!A:AM,29,0)</f>
        <v>-7.371999999999999</v>
      </c>
      <c r="I23" s="6">
        <f>VLOOKUP(A23,All!A:AM,33,0)</f>
        <v>48.912829178989007</v>
      </c>
      <c r="J23" s="6">
        <f>VLOOKUP(A23,All!A:AM,32,0)</f>
        <v>69.466000000000193</v>
      </c>
      <c r="K23" s="331"/>
      <c r="L23" s="331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11.95</v>
      </c>
    </row>
    <row r="24" spans="1:18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</row>
    <row r="25" spans="1:18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17.538978292475061</v>
      </c>
      <c r="F25" s="17">
        <f>VLOOKUP(A25,All!A:AM,28,0)</f>
        <v>6.9969999999999999</v>
      </c>
      <c r="G25" s="17">
        <f>VLOOKUP(A25,All!A:AM,31,0)</f>
        <v>-1.4478451931231207</v>
      </c>
      <c r="H25" s="17">
        <f>VLOOKUP(A25,All!A:AM,29,0)</f>
        <v>-0.46950000000000003</v>
      </c>
      <c r="I25" s="6">
        <f>VLOOKUP(A25,All!A:AM,33,0)</f>
        <v>-16.974597485350166</v>
      </c>
      <c r="J25" s="6">
        <f>VLOOKUP(A25,All!A:AM,32,0)</f>
        <v>-4.7737999999999978</v>
      </c>
      <c r="K25" s="20">
        <f>VLOOKUP(A25,All!A:AM,39,0)</f>
        <v>39.079629629629629</v>
      </c>
      <c r="L25" s="20">
        <f>VLOOKUP(A25,All!A:AM,38,0)</f>
        <v>21.103000000000002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18.399999999999999</v>
      </c>
    </row>
    <row r="26" spans="1:18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-3.5334783008305313</v>
      </c>
      <c r="F26" s="17">
        <f>VLOOKUP(A26,All!A:AM,28,0)</f>
        <v>-1.3532599999999988</v>
      </c>
      <c r="G26" s="17">
        <f>VLOOKUP(A26,All!A:AM,31,0)</f>
        <v>-82.618087027007107</v>
      </c>
      <c r="H26" s="17">
        <f>VLOOKUP(A26,All!A:AM,29,0)</f>
        <v>-17.938700000000001</v>
      </c>
      <c r="I26" s="6">
        <f>VLOOKUP(A26,All!A:AM,33,0)</f>
        <v>6.0052435948493308</v>
      </c>
      <c r="J26" s="6">
        <f>VLOOKUP(A26,All!A:AM,32,0)</f>
        <v>2.5333000000000006</v>
      </c>
      <c r="K26" s="20">
        <f>VLOOKUP(A26,All!A:AM,39,0)</f>
        <v>43.151971326164883</v>
      </c>
      <c r="L26" s="20">
        <f>VLOOKUP(A26,All!A:AM,38,0)</f>
        <v>30.098500000000005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14.2</v>
      </c>
    </row>
    <row r="27" spans="1:18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</row>
    <row r="28" spans="1:18">
      <c r="A28" s="38" t="s">
        <v>44</v>
      </c>
      <c r="B28" s="41" t="str">
        <f>VLOOKUP(A28,All!A:AM,2,0)</f>
        <v>MIDLANDS</v>
      </c>
      <c r="C28" s="42">
        <f>VLOOKUP(A28,All!A:AM,11,0)</f>
        <v>45323</v>
      </c>
      <c r="D28" s="5"/>
      <c r="E28" s="17">
        <f>VLOOKUP(A28,All!A:AM,30,0)</f>
        <v>63.058894864494363</v>
      </c>
      <c r="F28" s="17">
        <f>VLOOKUP(A28,All!A:AM,28,0)</f>
        <v>58.363579999999999</v>
      </c>
      <c r="G28" s="17">
        <f>VLOOKUP(A28,All!A:AM,31,0)</f>
        <v>59.598877907443907</v>
      </c>
      <c r="H28" s="17">
        <f>VLOOKUP(A28,All!A:AM,29,0)</f>
        <v>50.437100000000001</v>
      </c>
      <c r="I28" s="6">
        <f>VLOOKUP(A28,All!A:AM,33,0)</f>
        <v>28.871505413924755</v>
      </c>
      <c r="J28" s="6">
        <f>VLOOKUP(A28,All!A:AM,32,0)</f>
        <v>13.87814</v>
      </c>
      <c r="K28" s="20">
        <f>VLOOKUP(A28,All!A:AM,39,0)</f>
        <v>58.556969696969702</v>
      </c>
      <c r="L28" s="20">
        <f>VLOOKUP(A28,All!A:AM,38,0)</f>
        <v>48.3095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</row>
    <row r="29" spans="1:18">
      <c r="A29" s="38" t="s">
        <v>45</v>
      </c>
      <c r="B29" s="41" t="str">
        <f>VLOOKUP(A29,All!A:AM,2,0)</f>
        <v>MIDLANDS</v>
      </c>
      <c r="C29" s="42">
        <f>VLOOKUP(A29,All!A:AM,11,0)</f>
        <v>45323</v>
      </c>
      <c r="D29" s="5"/>
      <c r="E29" s="17">
        <f>VLOOKUP(A29,All!A:AM,30,0)</f>
        <v>61.1745911147299</v>
      </c>
      <c r="F29" s="17">
        <f>VLOOKUP(A29,All!A:AM,28,0)</f>
        <v>56.619579999999999</v>
      </c>
      <c r="G29" s="17">
        <f>VLOOKUP(A29,All!A:AM,31,0)</f>
        <v>56.701561344023453</v>
      </c>
      <c r="H29" s="17">
        <f>VLOOKUP(A29,All!A:AM,29,0)</f>
        <v>47.058100000000003</v>
      </c>
      <c r="I29" s="6">
        <f>VLOOKUP(A29,All!A:AM,33,0)</f>
        <v>32.619106550860302</v>
      </c>
      <c r="J29" s="6">
        <f>VLOOKUP(A29,All!A:AM,32,0)</f>
        <v>17.395900000000001</v>
      </c>
      <c r="K29" s="20">
        <f>VLOOKUP(A29,All!A:AM,39,0)</f>
        <v>56.443030303030305</v>
      </c>
      <c r="L29" s="20">
        <f>VLOOKUP(A29,All!A:AM,38,0)</f>
        <v>46.5655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</row>
    <row r="30" spans="1:18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61.735839558162468</v>
      </c>
      <c r="F30" s="17">
        <f>VLOOKUP(A30,All!A:AM,28,0)</f>
        <v>23.643740000000001</v>
      </c>
      <c r="G30" s="17">
        <f>VLOOKUP(A30,All!A:AM,31,0)</f>
        <v>43.793915498143654</v>
      </c>
      <c r="H30" s="17">
        <f>VLOOKUP(A30,All!A:AM,29,0)</f>
        <v>11.4183</v>
      </c>
      <c r="I30" s="6">
        <f>VLOOKUP(A30,All!A:AM,33,0)</f>
        <v>58.78195175734664</v>
      </c>
      <c r="J30" s="6">
        <f>VLOOKUP(A30,All!A:AM,32,0)</f>
        <v>20.899099999999997</v>
      </c>
      <c r="K30" s="20">
        <f>VLOOKUP(A30,All!A:AM,39,0)</f>
        <v>67.434444444444452</v>
      </c>
      <c r="L30" s="20">
        <f>VLOOKUP(A30,All!A:AM,38,0)</f>
        <v>30.345500000000001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9.15</v>
      </c>
    </row>
    <row r="31" spans="1:18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60.569989639210576</v>
      </c>
      <c r="F31" s="17">
        <f>VLOOKUP(A31,All!A:AM,28,0)</f>
        <v>23.197240000000001</v>
      </c>
      <c r="G31" s="17">
        <f>VLOOKUP(A31,All!A:AM,31,0)</f>
        <v>42.081402841275199</v>
      </c>
      <c r="H31" s="17">
        <f>VLOOKUP(A31,All!A:AM,29,0)</f>
        <v>10.9718</v>
      </c>
      <c r="I31" s="6">
        <f>VLOOKUP(A31,All!A:AM,33,0)</f>
        <v>57.526101435578944</v>
      </c>
      <c r="J31" s="6">
        <f>VLOOKUP(A31,All!A:AM,32,0)</f>
        <v>20.452599999999997</v>
      </c>
      <c r="K31" s="20">
        <f>VLOOKUP(A31,All!A:AM,39,0)</f>
        <v>66.442222222222227</v>
      </c>
      <c r="L31" s="20">
        <f>VLOOKUP(A31,All!A:AM,38,0)</f>
        <v>29.899000000000001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7.58</v>
      </c>
    </row>
    <row r="32" spans="1:18">
      <c r="A32" s="38" t="s">
        <v>48</v>
      </c>
      <c r="B32" s="41" t="str">
        <f>VLOOKUP(A32,All!A:AM,2,0)</f>
        <v>MIDLANDS</v>
      </c>
      <c r="C32" s="42">
        <f>VLOOKUP(A32,All!A:AM,11,0)</f>
        <v>45323</v>
      </c>
      <c r="D32" s="5"/>
      <c r="E32" s="17">
        <f>VLOOKUP(A32,All!A:AM,30,0)</f>
        <v>75.404822780367979</v>
      </c>
      <c r="F32" s="17">
        <f>VLOOKUP(A32,All!A:AM,28,0)</f>
        <v>30.082000000000001</v>
      </c>
      <c r="G32" s="17">
        <f>VLOOKUP(A32,All!A:AM,31,0)</f>
        <v>65.041418010154089</v>
      </c>
      <c r="H32" s="17">
        <f>VLOOKUP(A32,All!A:AM,29,0)</f>
        <v>18.255500000000001</v>
      </c>
      <c r="I32" s="6">
        <f>VLOOKUP(A32,All!A:AM,33,0)</f>
        <v>72.402232122766748</v>
      </c>
      <c r="J32" s="6">
        <f>VLOOKUP(A32,All!A:AM,32,0)</f>
        <v>25.741600000000002</v>
      </c>
      <c r="K32" s="20">
        <f>VLOOKUP(A32,All!A:AM,39,0)</f>
        <v>89.097777777777765</v>
      </c>
      <c r="L32" s="20">
        <f>VLOOKUP(A32,All!A:AM,38,0)</f>
        <v>80.187999999999988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</row>
    <row r="33" spans="1:18">
      <c r="A33" s="38" t="s">
        <v>49</v>
      </c>
      <c r="B33" s="41" t="str">
        <f>VLOOKUP(A33,All!A:AM,2,0)</f>
        <v>MIDLANDS</v>
      </c>
      <c r="C33" s="42">
        <f>VLOOKUP(A33,All!A:AM,11,0)</f>
        <v>45323</v>
      </c>
      <c r="D33" s="5"/>
      <c r="E33" s="17">
        <f>VLOOKUP(A33,All!A:AM,30,0)</f>
        <v>70.703614578633378</v>
      </c>
      <c r="F33" s="17">
        <f>VLOOKUP(A33,All!A:AM,28,0)</f>
        <v>27.078240000000001</v>
      </c>
      <c r="G33" s="17">
        <f>VLOOKUP(A33,All!A:AM,31,0)</f>
        <v>56.966647233898918</v>
      </c>
      <c r="H33" s="17">
        <f>VLOOKUP(A33,All!A:AM,29,0)</f>
        <v>14.852799999999998</v>
      </c>
      <c r="I33" s="6">
        <f>VLOOKUP(A33,All!A:AM,33,0)</f>
        <v>68.442014310787087</v>
      </c>
      <c r="J33" s="6">
        <f>VLOOKUP(A33,All!A:AM,32,0)</f>
        <v>24.333600000000001</v>
      </c>
      <c r="K33" s="20">
        <f>VLOOKUP(A33,All!A:AM,39,0)</f>
        <v>87.533333333333331</v>
      </c>
      <c r="L33" s="20">
        <f>VLOOKUP(A33,All!A:AM,38,0)</f>
        <v>78.78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</row>
    <row r="34" spans="1:18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</row>
    <row r="35" spans="1:18">
      <c r="A35" s="35" t="s">
        <v>51</v>
      </c>
      <c r="B35" s="41" t="str">
        <f>VLOOKUP(A35,All!A:AM,2,0)</f>
        <v>NORTH WEST</v>
      </c>
      <c r="C35" s="42">
        <f>VLOOKUP(A35,All!A:AM,11,0)</f>
        <v>45323</v>
      </c>
      <c r="D35" s="5"/>
      <c r="E35" s="17">
        <f>VLOOKUP(A35,All!A:AM,30,0)</f>
        <v>58.695652173913039</v>
      </c>
      <c r="F35" s="17">
        <f>VLOOKUP(A35,All!A:AM,28,0)</f>
        <v>2.9430000000000001</v>
      </c>
      <c r="G35" s="17">
        <f>VLOOKUP(A35,All!A:AM,31,0)</f>
        <v>65.454545454545453</v>
      </c>
      <c r="H35" s="17">
        <f>VLOOKUP(A35,All!A:AM,29,0)</f>
        <v>3.9239999999999999</v>
      </c>
      <c r="I35" s="6">
        <f>VLOOKUP(A35,All!A:AM,33,0)</f>
        <v>52.060185185185183</v>
      </c>
      <c r="J35" s="6">
        <f>VLOOKUP(A35,All!A:AM,32,0)</f>
        <v>2.2490000000000001</v>
      </c>
      <c r="K35" s="20">
        <f>VLOOKUP(A35,All!A:AM,39,0)</f>
        <v>44.773333333333333</v>
      </c>
      <c r="L35" s="20">
        <f>VLOOKUP(A35,All!A:AM,38,0)</f>
        <v>1.6789999999999998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</row>
    <row r="36" spans="1:18">
      <c r="A36" s="35" t="s">
        <v>52</v>
      </c>
      <c r="B36" s="41" t="str">
        <f>VLOOKUP(A36,All!A:AM,2,0)</f>
        <v>NORTH WEST</v>
      </c>
      <c r="C36" s="42">
        <f>VLOOKUP(A36,All!A:AM,11,0)</f>
        <v>45323</v>
      </c>
      <c r="D36" s="5"/>
      <c r="E36" s="17">
        <f>VLOOKUP(A36,All!A:AM,30,0)</f>
        <v>53.020034341003651</v>
      </c>
      <c r="F36" s="17">
        <f>VLOOKUP(A36,All!A:AM,28,0)</f>
        <v>6.76858</v>
      </c>
      <c r="G36" s="17">
        <f>VLOOKUP(A36,All!A:AM,31,0)</f>
        <v>36.682467457058095</v>
      </c>
      <c r="H36" s="17">
        <f>VLOOKUP(A36,All!A:AM,29,0)</f>
        <v>3.4745999999999997</v>
      </c>
      <c r="I36" s="6">
        <f>VLOOKUP(A36,All!A:AM,33,0)</f>
        <v>40.670504906615818</v>
      </c>
      <c r="J36" s="6">
        <f>VLOOKUP(A36,All!A:AM,32,0)</f>
        <v>4.1112999999999804</v>
      </c>
      <c r="K36" s="20">
        <f>VLOOKUP(A36,All!A:AM,39,0)</f>
        <v>73.344444444444449</v>
      </c>
      <c r="L36" s="20">
        <f>VLOOKUP(A36,All!A:AM,38,0)</f>
        <v>16.502500000000001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</row>
    <row r="37" spans="1:18">
      <c r="A37" s="40" t="s">
        <v>53</v>
      </c>
      <c r="B37" s="41" t="str">
        <f>VLOOKUP(A37,All!A:AM,2,0)</f>
        <v>THAMES VALLEY</v>
      </c>
      <c r="C37" s="42">
        <f>VLOOKUP(A37,All!A:AM,11,0)</f>
        <v>45323</v>
      </c>
      <c r="D37" s="19"/>
      <c r="E37" s="17">
        <f>VLOOKUP(A37,All!A:AM,30,0)</f>
        <v>8.9347186711452018</v>
      </c>
      <c r="F37" s="17">
        <f>VLOOKUP(A37,All!A:AM,28,0)</f>
        <v>8.5546000000000006</v>
      </c>
      <c r="G37" s="17">
        <f>VLOOKUP(A37,All!A:AM,31,0)</f>
        <v>-0.2402795980777587</v>
      </c>
      <c r="H37" s="17">
        <f>VLOOKUP(A37,All!A:AM,29,0)</f>
        <v>-0.20899999999999608</v>
      </c>
      <c r="I37" s="6">
        <f>VLOOKUP(A37,All!A:AM,33,0)</f>
        <v>-63.492117066438688</v>
      </c>
      <c r="J37" s="6">
        <f>VLOOKUP(A37,All!A:AM,32,0)</f>
        <v>-33.860600000000019</v>
      </c>
      <c r="K37" s="330">
        <f>VLOOKUP(A37,All!A:AM,39,0)</f>
        <v>23.500846432889965</v>
      </c>
      <c r="L37" s="332">
        <f>VLOOKUP(A37,All!A:AM,38,0)</f>
        <v>97.176000000000002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32.799999999999997</v>
      </c>
    </row>
    <row r="38" spans="1:18">
      <c r="A38" s="40" t="s">
        <v>54</v>
      </c>
      <c r="B38" s="41" t="str">
        <f>VLOOKUP(A38,All!A:AM,2,0)</f>
        <v>THAMES VALLEY</v>
      </c>
      <c r="C38" s="42">
        <f>VLOOKUP(A38,All!A:AM,11,0)</f>
        <v>45323</v>
      </c>
      <c r="D38" s="19"/>
      <c r="E38" s="17">
        <f>VLOOKUP(A38,All!A:AM,30,0)</f>
        <v>-5.2415015863466756</v>
      </c>
      <c r="F38" s="17">
        <f>VLOOKUP(A38,All!A:AM,28,0)</f>
        <v>-4.6839399999999998</v>
      </c>
      <c r="G38" s="17">
        <f>VLOOKUP(A38,All!A:AM,31,0)</f>
        <v>-103.11015221410186</v>
      </c>
      <c r="H38" s="17">
        <f>VLOOKUP(A38,All!A:AM,29,0)</f>
        <v>-47.743300000000005</v>
      </c>
      <c r="I38" s="6">
        <f>VLOOKUP(A38,All!A:AM,33,0)</f>
        <v>11.826556710619178</v>
      </c>
      <c r="J38" s="6">
        <f>VLOOKUP(A38,All!A:AM,32,0)</f>
        <v>12.6143000000001</v>
      </c>
      <c r="K38" s="332"/>
      <c r="L38" s="332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19</v>
      </c>
    </row>
    <row r="39" spans="1:18">
      <c r="A39" s="38" t="s">
        <v>55</v>
      </c>
      <c r="B39" s="41" t="str">
        <f>VLOOKUP(A39,All!A:AM,2,0)</f>
        <v>THAMES VALLEY</v>
      </c>
      <c r="C39" s="42">
        <f>VLOOKUP(A39,All!A:AM,11,0)</f>
        <v>45323</v>
      </c>
      <c r="D39" s="19"/>
      <c r="E39" s="17">
        <f>VLOOKUP(A39,All!A:AM,30,0)</f>
        <v>44.224766513348584</v>
      </c>
      <c r="F39" s="17">
        <f>VLOOKUP(A39,All!A:AM,28,0)</f>
        <v>107.11150000000001</v>
      </c>
      <c r="G39" s="17">
        <f>VLOOKUP(A39,All!A:AM,31,0)</f>
        <v>21.437357332906842</v>
      </c>
      <c r="H39" s="17">
        <f>VLOOKUP(A39,All!A:AM,29,0)</f>
        <v>36.86099999999999</v>
      </c>
      <c r="I39" s="6">
        <f>VLOOKUP(A39,All!A:AM,33,0)</f>
        <v>36.674720234612899</v>
      </c>
      <c r="J39" s="6">
        <f>VLOOKUP(A39,All!A:AM,32,0)</f>
        <v>78.235099999999989</v>
      </c>
      <c r="K39" s="331"/>
      <c r="L39" s="331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64.400000000000006</v>
      </c>
    </row>
    <row r="40" spans="1:18">
      <c r="A40" s="38" t="s">
        <v>56</v>
      </c>
      <c r="B40" s="41" t="str">
        <f>VLOOKUP(A40,All!A:AM,2,0)</f>
        <v>THAMES VALLEY</v>
      </c>
      <c r="C40" s="42">
        <f>VLOOKUP(A40,All!A:AM,11,0)</f>
        <v>45323</v>
      </c>
      <c r="D40" s="19"/>
      <c r="E40" s="17">
        <f>VLOOKUP(A40,All!A:AM,30,0)</f>
        <v>50.592903327029951</v>
      </c>
      <c r="F40" s="17">
        <f>VLOOKUP(A40,All!A:AM,28,0)</f>
        <v>122.535</v>
      </c>
      <c r="G40" s="17">
        <f>VLOOKUP(A40,All!A:AM,31,0)</f>
        <v>30.407246397883075</v>
      </c>
      <c r="H40" s="17">
        <f>VLOOKUP(A40,All!A:AM,29,0)</f>
        <v>52.284499999999994</v>
      </c>
      <c r="I40" s="6">
        <f>VLOOKUP(A40,All!A:AM,33,0)</f>
        <v>43.904883518593529</v>
      </c>
      <c r="J40" s="6">
        <f>VLOOKUP(A40,All!A:AM,32,0)</f>
        <v>93.658600000000007</v>
      </c>
      <c r="K40" s="20">
        <f>VLOOKUP(A40,All!A:AM,39,0)</f>
        <v>67.767542087542097</v>
      </c>
      <c r="L40" s="20">
        <f>VLOOKUP(A40,All!A:AM,38,0)</f>
        <v>251.58700000000002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64.400000000000006</v>
      </c>
    </row>
    <row r="41" spans="1:18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0">
        <f>VLOOKUP(A41,All!A:AM,39,0)</f>
        <v>71.014074074074074</v>
      </c>
      <c r="L41" s="330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</row>
    <row r="42" spans="1:18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1"/>
      <c r="L42" s="331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</row>
    <row r="43" spans="1:18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</row>
    <row r="44" spans="1:18">
      <c r="A44" s="35" t="s">
        <v>60</v>
      </c>
      <c r="B44" s="41" t="str">
        <f>VLOOKUP(A44,All!A:AM,2,0)</f>
        <v>NORTH WEST</v>
      </c>
      <c r="C44" s="42">
        <f>VLOOKUP(A44,All!A:AM,11,0)</f>
        <v>45323</v>
      </c>
      <c r="D44" s="5"/>
      <c r="E44" s="17">
        <f>VLOOKUP(A44,All!A:AM,30,0)</f>
        <v>0.8998846944402622</v>
      </c>
      <c r="F44" s="17">
        <f>VLOOKUP(A44,All!A:AM,28,0)</f>
        <v>7.1799999999999642E-2</v>
      </c>
      <c r="G44" s="17">
        <f>VLOOKUP(A44,All!A:AM,31,0)</f>
        <v>-28.391653811804829</v>
      </c>
      <c r="H44" s="17">
        <f>VLOOKUP(A44,All!A:AM,29,0)</f>
        <v>-1.7485000000000004</v>
      </c>
      <c r="I44" s="6">
        <f>VLOOKUP(A44,All!A:AM,33,0)</f>
        <v>-26.011984445719794</v>
      </c>
      <c r="J44" s="6">
        <f>VLOOKUP(A44,All!A:AM,32,0)</f>
        <v>-1.6322000000000205</v>
      </c>
      <c r="K44" s="20">
        <f>VLOOKUP(A44,All!A:AM,39,0)</f>
        <v>-31.783333333333342</v>
      </c>
      <c r="L44" s="20">
        <f>VLOOKUP(A44,All!A:AM,38,0)</f>
        <v>-1.9070000000000005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</row>
    <row r="45" spans="1:18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</row>
    <row r="46" spans="1:18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45323</v>
      </c>
      <c r="D46" s="5"/>
      <c r="E46" s="17">
        <f>VLOOKUP(A46,All!A:AM,30,0)</f>
        <v>33.949967413646156</v>
      </c>
      <c r="F46" s="17">
        <f>VLOOKUP(A46,All!A:AM,28,0)</f>
        <v>0.54176000000000002</v>
      </c>
      <c r="G46" s="17">
        <f>VLOOKUP(A46,All!A:AM,31,0)</f>
        <v>1020.9248530256579</v>
      </c>
      <c r="H46" s="17">
        <f>VLOOKUP(A46,All!A:AM,29,0)</f>
        <v>-1.1684501635</v>
      </c>
      <c r="I46" s="6">
        <f>VLOOKUP(A46,All!A:AM,33,0)</f>
        <v>74.976258309591643</v>
      </c>
      <c r="J46" s="6">
        <f>VLOOKUP(A46,All!A:AM,32,0)</f>
        <v>3.1579999999999999</v>
      </c>
      <c r="K46" s="20">
        <f>VLOOKUP(A46,All!A:AM,39,0)</f>
        <v>71.893333333333345</v>
      </c>
      <c r="L46" s="20">
        <f>VLOOKUP(A46,All!A:AM,38,0)</f>
        <v>2.6960000000000002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</row>
    <row r="47" spans="1:18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38.457224143981556</v>
      </c>
      <c r="F47" s="17">
        <f>VLOOKUP(A47,All!A:AM,28,0)</f>
        <v>12.273700000000002</v>
      </c>
      <c r="G47" s="17">
        <f>VLOOKUP(A47,All!A:AM,31,0)</f>
        <v>12.525607909503874</v>
      </c>
      <c r="H47" s="17">
        <f>VLOOKUP(A47,All!A:AM,29,0)</f>
        <v>2.8125</v>
      </c>
      <c r="I47" s="6">
        <f>VLOOKUP(A47,All!A:AM,33,0)</f>
        <v>30.159085737042727</v>
      </c>
      <c r="J47" s="6">
        <f>VLOOKUP(A47,All!A:AM,32,0)</f>
        <v>8.4817</v>
      </c>
      <c r="K47" s="20">
        <f>VLOOKUP(A47,All!A:AM,39,0)</f>
        <v>40.480303030303027</v>
      </c>
      <c r="L47" s="20">
        <f>VLOOKUP(A47,All!A:AM,38,0)</f>
        <v>13.358499999999999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4</v>
      </c>
    </row>
    <row r="48" spans="1:18">
      <c r="A48" s="40" t="s">
        <v>64</v>
      </c>
      <c r="B48" s="41" t="str">
        <f>VLOOKUP(A48,All!A:AM,2,0)</f>
        <v>MIDLANDS</v>
      </c>
      <c r="C48" s="42">
        <f>VLOOKUP(A48,All!A:AM,11,0)</f>
        <v>45323</v>
      </c>
      <c r="D48" s="5"/>
      <c r="E48" s="17">
        <f>VLOOKUP(A48,All!A:AM,30,0)</f>
        <v>40.315700242004951</v>
      </c>
      <c r="F48" s="17">
        <f>VLOOKUP(A48,All!A:AM,28,0)</f>
        <v>35.383800000000001</v>
      </c>
      <c r="G48" s="17">
        <f>VLOOKUP(A48,All!A:AM,31,0)</f>
        <v>-18.223365719895735</v>
      </c>
      <c r="H48" s="17">
        <f>VLOOKUP(A48,All!A:AM,29,0)</f>
        <v>-8.0745000000000022</v>
      </c>
      <c r="I48" s="6">
        <f>VLOOKUP(A48,All!A:AM,33,0)</f>
        <v>50.888236352999499</v>
      </c>
      <c r="J48" s="6">
        <f>VLOOKUP(A48,All!A:AM,32,0)</f>
        <v>54.277800000000092</v>
      </c>
      <c r="K48" s="20">
        <f>VLOOKUP(A48,All!A:AM,39,0)</f>
        <v>48.263703703703705</v>
      </c>
      <c r="L48" s="20">
        <f>VLOOKUP(A48,All!A:AM,38,0)</f>
        <v>48.866999999999997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21.1</v>
      </c>
    </row>
    <row r="49" spans="1:18">
      <c r="A49" s="40" t="s">
        <v>65</v>
      </c>
      <c r="B49" s="41" t="str">
        <f>VLOOKUP(A49,All!A:AM,2,0)</f>
        <v>MIDLANDS</v>
      </c>
      <c r="C49" s="42">
        <f>VLOOKUP(A49,All!A:AM,11,0)</f>
        <v>45323</v>
      </c>
      <c r="D49" s="5"/>
      <c r="E49" s="17">
        <f>VLOOKUP(A49,All!A:AM,30,0)</f>
        <v>30.649744550331103</v>
      </c>
      <c r="F49" s="17">
        <f>VLOOKUP(A49,All!A:AM,28,0)</f>
        <v>26.900299999999998</v>
      </c>
      <c r="G49" s="17">
        <f>VLOOKUP(A49,All!A:AM,31,0)</f>
        <v>-37.369804890709453</v>
      </c>
      <c r="H49" s="17">
        <f>VLOOKUP(A49,All!A:AM,29,0)</f>
        <v>-16.558</v>
      </c>
      <c r="I49" s="6">
        <f>VLOOKUP(A49,All!A:AM,33,0)</f>
        <v>42.934517648470752</v>
      </c>
      <c r="J49" s="6">
        <f>VLOOKUP(A49,All!A:AM,32,0)</f>
        <v>45.794300000000092</v>
      </c>
      <c r="K49" s="20">
        <f>VLOOKUP(A49,All!A:AM,39,0)</f>
        <v>39.884938271604938</v>
      </c>
      <c r="L49" s="20">
        <f>VLOOKUP(A49,All!A:AM,38,0)</f>
        <v>40.383499999999998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20.7</v>
      </c>
    </row>
    <row r="50" spans="1:18">
      <c r="A50" s="40" t="s">
        <v>66</v>
      </c>
      <c r="B50" s="41" t="str">
        <f>VLOOKUP(A50,All!A:AM,2,0)</f>
        <v>MIDLANDS</v>
      </c>
      <c r="C50" s="42">
        <f>VLOOKUP(A50,All!A:AM,11,0)</f>
        <v>45323</v>
      </c>
      <c r="D50" s="5"/>
      <c r="E50" s="17">
        <f>VLOOKUP(A50,All!A:AM,30,0)</f>
        <v>46.593700579262318</v>
      </c>
      <c r="F50" s="17">
        <f>VLOOKUP(A50,All!A:AM,28,0)</f>
        <v>40.893799999999999</v>
      </c>
      <c r="G50" s="17">
        <f>VLOOKUP(A50,All!A:AM,31,0)</f>
        <v>29.096863489566392</v>
      </c>
      <c r="H50" s="17">
        <f>VLOOKUP(A50,All!A:AM,29,0)</f>
        <v>19.235499999999998</v>
      </c>
      <c r="I50" s="6">
        <f>VLOOKUP(A50,All!A:AM,33,0)</f>
        <v>34.081218217002117</v>
      </c>
      <c r="J50" s="6">
        <f>VLOOKUP(A50,All!A:AM,32,0)</f>
        <v>24.2342000000002</v>
      </c>
      <c r="K50" s="20">
        <f>VLOOKUP(A50,All!A:AM,39,0)</f>
        <v>53.705679012345676</v>
      </c>
      <c r="L50" s="20">
        <f>VLOOKUP(A50,All!A:AM,38,0)</f>
        <v>54.376999999999995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</row>
    <row r="51" spans="1:18">
      <c r="A51" s="35" t="s">
        <v>67</v>
      </c>
      <c r="B51" s="41" t="str">
        <f>VLOOKUP(A51,All!A:AM,2,0)</f>
        <v>MIDLANDS</v>
      </c>
      <c r="C51" s="42">
        <f>VLOOKUP(A51,All!A:AM,11,0)</f>
        <v>45323</v>
      </c>
      <c r="D51" s="5"/>
      <c r="E51" s="17">
        <f>VLOOKUP(A51,All!A:AM,30,0)</f>
        <v>60.992158216137959</v>
      </c>
      <c r="F51" s="17">
        <f>VLOOKUP(A51,All!A:AM,28,0)</f>
        <v>127.24549999999999</v>
      </c>
      <c r="G51" s="17">
        <f>VLOOKUP(A51,All!A:AM,31,0)</f>
        <v>59.033739822051061</v>
      </c>
      <c r="H51" s="17">
        <f>VLOOKUP(A51,All!A:AM,29,0)</f>
        <v>117.27199999999999</v>
      </c>
      <c r="I51" s="6">
        <f>VLOOKUP(A51,All!A:AM,33,0)</f>
        <v>15.34969576838472</v>
      </c>
      <c r="J51" s="6">
        <f>VLOOKUP(A51,All!A:AM,32,0)</f>
        <v>14.756780000000202</v>
      </c>
      <c r="K51" s="330">
        <f>VLOOKUP(A51,All!A:AM,39,0)</f>
        <v>60.669259259259256</v>
      </c>
      <c r="L51" s="330">
        <f>VLOOKUP(A51,All!A:AM,38,0)</f>
        <v>245.71049999999997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14.399999999999999</v>
      </c>
    </row>
    <row r="52" spans="1:18">
      <c r="A52" s="35" t="s">
        <v>68</v>
      </c>
      <c r="B52" s="41" t="str">
        <f>VLOOKUP(A52,All!A:AM,2,0)</f>
        <v>MIDLANDS</v>
      </c>
      <c r="C52" s="42">
        <f>VLOOKUP(A52,All!A:AM,11,0)</f>
        <v>45323</v>
      </c>
      <c r="D52" s="5"/>
      <c r="E52" s="17">
        <f>VLOOKUP(A52,All!A:AM,30,0)</f>
        <v>62.656140653609796</v>
      </c>
      <c r="F52" s="17">
        <f>VLOOKUP(A52,All!A:AM,28,0)</f>
        <v>130.71699999999998</v>
      </c>
      <c r="G52" s="17">
        <f>VLOOKUP(A52,All!A:AM,31,0)</f>
        <v>60.781263764614074</v>
      </c>
      <c r="H52" s="17">
        <f>VLOOKUP(A52,All!A:AM,29,0)</f>
        <v>120.74349999999998</v>
      </c>
      <c r="I52" s="6">
        <f>VLOOKUP(A52,All!A:AM,33,0)</f>
        <v>18.960677897273733</v>
      </c>
      <c r="J52" s="6">
        <f>VLOOKUP(A52,All!A:AM,32,0)</f>
        <v>18.228280000000201</v>
      </c>
      <c r="K52" s="331"/>
      <c r="L52" s="331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12.399999999999999</v>
      </c>
    </row>
    <row r="53" spans="1:18">
      <c r="A53" s="35" t="s">
        <v>69</v>
      </c>
      <c r="B53" s="41" t="str">
        <f>VLOOKUP(A53,All!A:AM,2,0)</f>
        <v>LONDON</v>
      </c>
      <c r="C53" s="42">
        <f>VLOOKUP(A53,All!A:AM,11,0)</f>
        <v>45323</v>
      </c>
      <c r="D53" s="5"/>
      <c r="E53" s="17">
        <f>VLOOKUP(A53,All!A:AM,30,0)</f>
        <v>19.280685161832704</v>
      </c>
      <c r="F53" s="17">
        <f>VLOOKUP(A53,All!A:AM,28,0)</f>
        <v>15.99902</v>
      </c>
      <c r="G53" s="17">
        <f>VLOOKUP(A53,All!A:AM,31,0)</f>
        <v>-11.40319071791153</v>
      </c>
      <c r="H53" s="17">
        <f>VLOOKUP(A53,All!A:AM,29,0)</f>
        <v>-6.8560999999999996</v>
      </c>
      <c r="I53" s="6">
        <f>VLOOKUP(A53,All!A:AM,33,0)</f>
        <v>4.7327473402742362</v>
      </c>
      <c r="J53" s="6">
        <f>VLOOKUP(A53,All!A:AM,32,0)</f>
        <v>3.3275000000000099</v>
      </c>
      <c r="K53" s="20">
        <f>VLOOKUP(A53,All!A:AM,39,0)</f>
        <v>51.985304659498205</v>
      </c>
      <c r="L53" s="20">
        <f>VLOOKUP(A53,All!A:AM,38,0)</f>
        <v>72.519499999999994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</row>
    <row r="54" spans="1:18">
      <c r="A54" s="35" t="s">
        <v>70</v>
      </c>
      <c r="B54" s="41" t="str">
        <f>VLOOKUP(A54,All!A:AM,2,0)</f>
        <v>LONDON</v>
      </c>
      <c r="C54" s="42">
        <f>VLOOKUP(A54,All!A:AM,11,0)</f>
        <v>45323</v>
      </c>
      <c r="D54" s="5"/>
      <c r="E54" s="17">
        <f>VLOOKUP(A54,All!A:AM,30,0)</f>
        <v>29.998872010828705</v>
      </c>
      <c r="F54" s="17">
        <f>VLOOKUP(A54,All!A:AM,28,0)</f>
        <v>28.722600000000007</v>
      </c>
      <c r="G54" s="17">
        <f>VLOOKUP(A54,All!A:AM,31,0)</f>
        <v>-2.8243993740603139</v>
      </c>
      <c r="H54" s="17">
        <f>VLOOKUP(A54,All!A:AM,29,0)</f>
        <v>-1.840999999999994</v>
      </c>
      <c r="I54" s="6">
        <f>VLOOKUP(A54,All!A:AM,33,0)</f>
        <v>24.594977723774988</v>
      </c>
      <c r="J54" s="6">
        <f>VLOOKUP(A54,All!A:AM,32,0)</f>
        <v>21.86100000000021</v>
      </c>
      <c r="K54" s="20">
        <f>VLOOKUP(A54,All!A:AM,39,0)</f>
        <v>51.954838709677432</v>
      </c>
      <c r="L54" s="20">
        <f>VLOOKUP(A54,All!A:AM,38,0)</f>
        <v>72.477000000000018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34.649999999999991</v>
      </c>
    </row>
    <row r="55" spans="1:18">
      <c r="A55" s="39" t="s">
        <v>71</v>
      </c>
      <c r="B55" s="41" t="str">
        <f>VLOOKUP(A55,All!A:AM,2,0)</f>
        <v>SOUTH WEST</v>
      </c>
      <c r="C55" s="42">
        <f>VLOOKUP(A55,All!A:AM,11,0)</f>
        <v>45323</v>
      </c>
      <c r="D55" s="5"/>
      <c r="E55" s="17">
        <f>VLOOKUP(A55,All!A:AM,30,0)</f>
        <v>51.437954247587271</v>
      </c>
      <c r="F55" s="17">
        <f>VLOOKUP(A55,All!A:AM,28,0)</f>
        <v>34.537500000000001</v>
      </c>
      <c r="G55" s="17">
        <f>VLOOKUP(A55,All!A:AM,31,0)</f>
        <v>33.523955147808358</v>
      </c>
      <c r="H55" s="17">
        <f>VLOOKUP(A55,All!A:AM,29,0)</f>
        <v>16.4435</v>
      </c>
      <c r="I55" s="6">
        <f>VLOOKUP(A55,All!A:AM,33,0)</f>
        <v>42.029178756329401</v>
      </c>
      <c r="J55" s="6">
        <f>VLOOKUP(A55,All!A:AM,32,0)</f>
        <v>23.6399000000001</v>
      </c>
      <c r="K55" s="20">
        <f>VLOOKUP(A55,All!A:AM,39,0)</f>
        <v>62.841595441595452</v>
      </c>
      <c r="L55" s="20">
        <f>VLOOKUP(A55,All!A:AM,38,0)</f>
        <v>55.143500000000003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</row>
    <row r="56" spans="1:18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</row>
    <row r="57" spans="1:18">
      <c r="A57" s="39" t="s">
        <v>73</v>
      </c>
      <c r="B57" s="41" t="str">
        <f>VLOOKUP(A57,All!A:AM,2,0)</f>
        <v>SOUTH WEST</v>
      </c>
      <c r="C57" s="42">
        <f>VLOOKUP(A57,All!A:AM,11,0)</f>
        <v>45048</v>
      </c>
      <c r="D57" s="5"/>
      <c r="E57" s="17">
        <f>VLOOKUP(A57,All!A:AM,30,0)</f>
        <v>20.803766344449162</v>
      </c>
      <c r="F57" s="17">
        <f>VLOOKUP(A57,All!A:AM,28,0)</f>
        <v>18.258800000000008</v>
      </c>
      <c r="G57" s="17">
        <f>VLOOKUP(A57,All!A:AM,31,0)</f>
        <v>-25.900902940670356</v>
      </c>
      <c r="H57" s="17">
        <f>VLOOKUP(A57,All!A:AM,29,0)</f>
        <v>-14.299499999999995</v>
      </c>
      <c r="I57" s="6">
        <f>VLOOKUP(A57,All!A:AM,33,0)</f>
        <v>21.799198955942757</v>
      </c>
      <c r="J57" s="6">
        <f>VLOOKUP(A57,All!A:AM,32,0)</f>
        <v>19.376000000000204</v>
      </c>
      <c r="K57" s="20">
        <f>VLOOKUP(A57,All!A:AM,39,0)</f>
        <v>34.734272300469492</v>
      </c>
      <c r="L57" s="20">
        <f>VLOOKUP(A57,All!A:AM,38,0)</f>
        <v>36.992000000000004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43.129999999999995</v>
      </c>
    </row>
    <row r="58" spans="1:18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57.571157316889753</v>
      </c>
      <c r="F58" s="17">
        <f>VLOOKUP(A58,All!A:AM,28,0)</f>
        <v>29.398320000000002</v>
      </c>
      <c r="G58" s="17">
        <f>VLOOKUP(A58,All!A:AM,31,0)</f>
        <v>36.616504399925105</v>
      </c>
      <c r="H58" s="17">
        <f>VLOOKUP(A58,All!A:AM,29,0)</f>
        <v>12.516400000000001</v>
      </c>
      <c r="I58" s="6">
        <f>VLOOKUP(A58,All!A:AM,33,0)</f>
        <v>52.863930659983296</v>
      </c>
      <c r="J58" s="6">
        <f>VLOOKUP(A58,All!A:AM,32,0)</f>
        <v>24.2988</v>
      </c>
      <c r="K58" s="20">
        <f>VLOOKUP(A58,All!A:AM,39,0)</f>
        <v>63.889999999999993</v>
      </c>
      <c r="L58" s="20">
        <f>VLOOKUP(A58,All!A:AM,38,0)</f>
        <v>38.333999999999996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2.7</v>
      </c>
    </row>
    <row r="59" spans="1:18">
      <c r="A59" s="35" t="s">
        <v>75</v>
      </c>
      <c r="B59" s="41" t="str">
        <f>VLOOKUP(A59,All!A:AM,2,0)</f>
        <v>MIDLANDS</v>
      </c>
      <c r="C59" s="42">
        <f>VLOOKUP(A59,All!A:AM,11,0)</f>
        <v>45323</v>
      </c>
      <c r="D59" s="5"/>
      <c r="E59" s="17">
        <f>VLOOKUP(A59,All!A:AM,30,0)</f>
        <v>64.383294301327084</v>
      </c>
      <c r="F59" s="17">
        <f>VLOOKUP(A59,All!A:AM,28,0)</f>
        <v>7.1918199999999999</v>
      </c>
      <c r="G59" s="17">
        <f>VLOOKUP(A59,All!A:AM,31,0)</f>
        <v>53.265044814340591</v>
      </c>
      <c r="H59" s="17">
        <f>VLOOKUP(A59,All!A:AM,29,0)</f>
        <v>4.5343999999999998</v>
      </c>
      <c r="I59" s="6">
        <f>VLOOKUP(A59,All!A:AM,33,0)</f>
        <v>55.616912092815554</v>
      </c>
      <c r="J59" s="6">
        <f>VLOOKUP(A59,All!A:AM,32,0)</f>
        <v>4.9854999999999698</v>
      </c>
      <c r="K59" s="20">
        <f>VLOOKUP(A59,All!A:AM,39,0)</f>
        <v>42.340579710144929</v>
      </c>
      <c r="L59" s="20">
        <f>VLOOKUP(A59,All!A:AM,38,0)</f>
        <v>2.9215000000000004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</row>
    <row r="60" spans="1:18">
      <c r="A60" s="35" t="s">
        <v>76</v>
      </c>
      <c r="B60" s="41" t="str">
        <f>VLOOKUP(A60,All!A:AM,2,0)</f>
        <v>SCOTLAND</v>
      </c>
      <c r="C60" s="42">
        <f>VLOOKUP(A60,All!A:AM,11,0)</f>
        <v>45294</v>
      </c>
      <c r="D60" s="5"/>
      <c r="E60" s="17">
        <f>VLOOKUP(A60,All!A:AM,30,0)</f>
        <v>69.370860927152322</v>
      </c>
      <c r="F60" s="17">
        <f>VLOOKUP(A60,All!A:AM,28,0)</f>
        <v>18.2684</v>
      </c>
      <c r="G60" s="17">
        <f>VLOOKUP(A60,All!A:AM,31,0)</f>
        <v>47.887323943661968</v>
      </c>
      <c r="H60" s="17">
        <f>VLOOKUP(A60,All!A:AM,29,0)</f>
        <v>7.4119999999999999</v>
      </c>
      <c r="I60" s="6">
        <f>VLOOKUP(A60,All!A:AM,33,0)</f>
        <v>71.319053308300624</v>
      </c>
      <c r="J60" s="6">
        <f>VLOOKUP(A60,All!A:AM,32,0)</f>
        <v>20.057200000000002</v>
      </c>
      <c r="K60" s="20">
        <f>VLOOKUP(A60,All!A:AM,39,0)</f>
        <v>91.037777777777777</v>
      </c>
      <c r="L60" s="20">
        <f>VLOOKUP(A60,All!A:AM,38,0)</f>
        <v>81.933999999999997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</row>
    <row r="61" spans="1:18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</row>
    <row r="62" spans="1:18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</row>
    <row r="63" spans="1:18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</row>
    <row r="64" spans="1:18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</row>
    <row r="65" spans="1:18">
      <c r="A65" s="35" t="s">
        <v>81</v>
      </c>
      <c r="B65" s="41" t="str">
        <f>VLOOKUP(A65,All!A:AM,2,0)</f>
        <v>WALES</v>
      </c>
      <c r="C65" s="42">
        <f>VLOOKUP(A65,All!A:AM,11,0)</f>
        <v>45323</v>
      </c>
      <c r="D65" s="5"/>
      <c r="E65" s="17">
        <f>VLOOKUP(A65,All!A:AM,30,0)</f>
        <v>50.734831919972542</v>
      </c>
      <c r="F65" s="17">
        <f>VLOOKUP(A65,All!A:AM,28,0)</f>
        <v>21.049759999999999</v>
      </c>
      <c r="G65" s="17">
        <f>VLOOKUP(A65,All!A:AM,31,0)</f>
        <v>32.007637498253622</v>
      </c>
      <c r="H65" s="17">
        <f>VLOOKUP(A65,All!A:AM,29,0)</f>
        <v>9.6221999999999994</v>
      </c>
      <c r="I65" s="6">
        <f>VLOOKUP(A65,All!A:AM,33,0)</f>
        <v>42.509338013590749</v>
      </c>
      <c r="J65" s="6">
        <f>VLOOKUP(A65,All!A:AM,32,0)</f>
        <v>15.113600000000002</v>
      </c>
      <c r="K65" s="20">
        <f>VLOOKUP(A65,All!A:AM,39,0)</f>
        <v>9.1555555555555497</v>
      </c>
      <c r="L65" s="20">
        <f>VLOOKUP(A65,All!A:AM,38,0)</f>
        <v>2.0599999999999987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</row>
    <row r="66" spans="1:18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</row>
    <row r="67" spans="1:18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</row>
    <row r="68" spans="1:18">
      <c r="A68" s="35" t="s">
        <v>84</v>
      </c>
      <c r="B68" s="41" t="str">
        <f>VLOOKUP(A68,All!A:AM,2,0)</f>
        <v>NORTH EAST</v>
      </c>
      <c r="C68" s="42">
        <f>VLOOKUP(A68,All!A:AM,11,0)</f>
        <v>45323</v>
      </c>
      <c r="D68" s="5"/>
      <c r="E68" s="17">
        <f>VLOOKUP(A68,All!A:AM,30,0)</f>
        <v>74.385245901639351</v>
      </c>
      <c r="F68" s="17">
        <f>VLOOKUP(A68,All!A:AM,28,0)</f>
        <v>11.870100000000001</v>
      </c>
      <c r="G68" s="17">
        <f>VLOOKUP(A68,All!A:AM,31,0)</f>
        <v>71.590909090909079</v>
      </c>
      <c r="H68" s="17">
        <f>VLOOKUP(A68,All!A:AM,29,0)</f>
        <v>10.3005</v>
      </c>
      <c r="I68" s="6">
        <f>VLOOKUP(A68,All!A:AM,33,0)</f>
        <v>53.159378437843834</v>
      </c>
      <c r="J68" s="6">
        <f>VLOOKUP(A68,All!A:AM,32,0)</f>
        <v>4.63890000000002</v>
      </c>
      <c r="K68" s="20">
        <f>VLOOKUP(A68,All!A:AM,39,0)</f>
        <v>31.874999999999996</v>
      </c>
      <c r="L68" s="20">
        <f>VLOOKUP(A68,All!A:AM,38,0)</f>
        <v>1.9124999999999996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</row>
    <row r="69" spans="1:18">
      <c r="A69" s="35" t="s">
        <v>85</v>
      </c>
      <c r="B69" s="41" t="str">
        <f>VLOOKUP(A69,All!A:AM,2,0)</f>
        <v>SOUTH WEST</v>
      </c>
      <c r="C69" s="42">
        <f>VLOOKUP(A69,All!A:AM,11,0)</f>
        <v>45323</v>
      </c>
      <c r="D69" s="5"/>
      <c r="E69" s="17">
        <f>VLOOKUP(A69,All!A:AM,30,0)</f>
        <v>77.231329690346087</v>
      </c>
      <c r="F69" s="17">
        <f>VLOOKUP(A69,All!A:AM,28,0)</f>
        <v>7.3945600000000002</v>
      </c>
      <c r="G69" s="17">
        <f>VLOOKUP(A69,All!A:AM,31,0)</f>
        <v>60.238568588469185</v>
      </c>
      <c r="H69" s="17">
        <f>VLOOKUP(A69,All!A:AM,29,0)</f>
        <v>3.3027000000000002</v>
      </c>
      <c r="I69" s="6">
        <f>VLOOKUP(A69,All!A:AM,33,0)</f>
        <v>78.434631212408789</v>
      </c>
      <c r="J69" s="6">
        <f>VLOOKUP(A69,All!A:AM,32,0)</f>
        <v>7.9287999999999803</v>
      </c>
      <c r="K69" s="20">
        <f>VLOOKUP(A69,All!A:AM,39,0)</f>
        <v>80.62222222222222</v>
      </c>
      <c r="L69" s="20">
        <f>VLOOKUP(A69,All!A:AM,38,0)</f>
        <v>9.07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</row>
    <row r="70" spans="1:18">
      <c r="A70" s="39" t="s">
        <v>86</v>
      </c>
      <c r="B70" s="41" t="str">
        <f>VLOOKUP(A70,All!A:AM,2,0)</f>
        <v>LONDON</v>
      </c>
      <c r="C70" s="42">
        <f>VLOOKUP(A70,All!A:AM,11,0)</f>
        <v>44595</v>
      </c>
      <c r="D70" s="5"/>
      <c r="E70" s="17">
        <f>VLOOKUP(A70,All!A:AM,30,0)</f>
        <v>34.958658964775175</v>
      </c>
      <c r="F70" s="17">
        <f>VLOOKUP(A70,All!A:AM,28,0)</f>
        <v>30.865000000000002</v>
      </c>
      <c r="G70" s="17">
        <f>VLOOKUP(A70,All!A:AM,31,0)</f>
        <v>26.058264928375987</v>
      </c>
      <c r="H70" s="17">
        <f>VLOOKUP(A70,All!A:AM,29,0)</f>
        <v>20.237499999999997</v>
      </c>
      <c r="I70" s="6">
        <f>VLOOKUP(A70,All!A:AM,33,0)</f>
        <v>-7.677797278850373</v>
      </c>
      <c r="J70" s="6">
        <f>VLOOKUP(A70,All!A:AM,32,0)</f>
        <v>-4.0946000000000193</v>
      </c>
      <c r="K70" s="330">
        <f>VLOOKUP(A70,All!A:AM,39,0)</f>
        <v>11.371111111111102</v>
      </c>
      <c r="L70" s="330">
        <f>VLOOKUP(A70,All!A:AM,38,0)</f>
        <v>20.467999999999982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11.1</v>
      </c>
    </row>
    <row r="71" spans="1:18">
      <c r="A71" s="39" t="s">
        <v>87</v>
      </c>
      <c r="B71" s="41" t="str">
        <f>VLOOKUP(A71,All!A:AM,2,0)</f>
        <v>LONDON</v>
      </c>
      <c r="C71" s="42">
        <f>VLOOKUP(A71,All!A:AM,11,0)</f>
        <v>44484.625</v>
      </c>
      <c r="D71" s="19"/>
      <c r="E71" s="17">
        <f>VLOOKUP(A71,All!A:AM,30,0)</f>
        <v>19.660251467417815</v>
      </c>
      <c r="F71" s="17">
        <f>VLOOKUP(A71,All!A:AM,28,0)</f>
        <v>24.986999999999998</v>
      </c>
      <c r="G71" s="17">
        <f>VLOOKUP(A71,All!A:AM,31,0)</f>
        <v>-9.2433198705432371</v>
      </c>
      <c r="H71" s="17">
        <f>VLOOKUP(A71,All!A:AM,29,0)</f>
        <v>-8.6395</v>
      </c>
      <c r="I71" s="6">
        <f>VLOOKUP(A71,All!A:AM,33,0)</f>
        <v>4.2694223182275772</v>
      </c>
      <c r="J71" s="6">
        <f>VLOOKUP(A71,All!A:AM,32,0)</f>
        <v>4.5538000000000798</v>
      </c>
      <c r="K71" s="331"/>
      <c r="L71" s="331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</row>
    <row r="72" spans="1:18">
      <c r="A72" s="35" t="s">
        <v>88</v>
      </c>
      <c r="B72" s="41" t="str">
        <f>VLOOKUP(A72,All!A:AM,2,0)</f>
        <v>LONDON</v>
      </c>
      <c r="C72" s="42">
        <f>VLOOKUP(A72,All!A:AM,11,0)</f>
        <v>44804</v>
      </c>
      <c r="D72" s="19"/>
      <c r="E72" s="17">
        <f>VLOOKUP(A72,All!A:AM,30,0)</f>
        <v>59.483915270202885</v>
      </c>
      <c r="F72" s="17">
        <f>VLOOKUP(A72,All!A:AM,28,0)</f>
        <v>36.07038</v>
      </c>
      <c r="G72" s="17">
        <f>VLOOKUP(A72,All!A:AM,31,0)</f>
        <v>42.994668040261168</v>
      </c>
      <c r="H72" s="17">
        <f>VLOOKUP(A72,All!A:AM,29,0)</f>
        <v>18.530099999999997</v>
      </c>
      <c r="I72" s="6">
        <f>VLOOKUP(A72,All!A:AM,33,0)</f>
        <v>53.931528734080366</v>
      </c>
      <c r="J72" s="6">
        <f>VLOOKUP(A72,All!A:AM,32,0)</f>
        <v>28.761899999999997</v>
      </c>
      <c r="K72" s="330">
        <f>VLOOKUP(A72,All!A:AM,39,0)</f>
        <v>74.965903307888027</v>
      </c>
      <c r="L72" s="330">
        <f>VLOOKUP(A72,All!A:AM,38,0)</f>
        <v>147.30799999999999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8.6</v>
      </c>
    </row>
    <row r="73" spans="1:18">
      <c r="A73" s="35" t="s">
        <v>89</v>
      </c>
      <c r="B73" s="41" t="str">
        <f>VLOOKUP(A73,All!A:AM,2,0)</f>
        <v>LONDON</v>
      </c>
      <c r="C73" s="42">
        <f>VLOOKUP(A73,All!A:AM,11,0)</f>
        <v>44979</v>
      </c>
      <c r="D73" s="19"/>
      <c r="E73" s="17">
        <f>VLOOKUP(A73,All!A:AM,30,0)</f>
        <v>59.393214386545417</v>
      </c>
      <c r="F73" s="17">
        <f>VLOOKUP(A73,All!A:AM,28,0)</f>
        <v>36.015380000000007</v>
      </c>
      <c r="G73" s="17">
        <f>VLOOKUP(A73,All!A:AM,31,0)</f>
        <v>42.867053686198631</v>
      </c>
      <c r="H73" s="17">
        <f>VLOOKUP(A73,All!A:AM,29,0)</f>
        <v>18.475100000000001</v>
      </c>
      <c r="I73" s="6">
        <f>VLOOKUP(A73,All!A:AM,33,0)</f>
        <v>53.828398061893409</v>
      </c>
      <c r="J73" s="6">
        <f>VLOOKUP(A73,All!A:AM,32,0)</f>
        <v>28.706900000000001</v>
      </c>
      <c r="K73" s="331"/>
      <c r="L73" s="331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9.1999999999999993</v>
      </c>
    </row>
    <row r="74" spans="1:18">
      <c r="A74" s="37" t="s">
        <v>90</v>
      </c>
      <c r="B74" s="41" t="str">
        <f>VLOOKUP(A74,All!A:AM,2,0)</f>
        <v>SOUTH WEST</v>
      </c>
      <c r="C74" s="42">
        <f>VLOOKUP(A74,All!A:AM,11,0)</f>
        <v>45323</v>
      </c>
      <c r="D74" s="19"/>
      <c r="E74" s="17">
        <f>VLOOKUP(A74,All!A:AM,30,0)</f>
        <v>68.73884912665622</v>
      </c>
      <c r="F74" s="17">
        <f>VLOOKUP(A74,All!A:AM,28,0)</f>
        <v>18.647419999999997</v>
      </c>
      <c r="G74" s="17">
        <f>VLOOKUP(A74,All!A:AM,31,0)</f>
        <v>62.791605789776199</v>
      </c>
      <c r="H74" s="17">
        <f>VLOOKUP(A74,All!A:AM,29,0)</f>
        <v>14.311400000000001</v>
      </c>
      <c r="I74" s="6">
        <f>VLOOKUP(A74,All!A:AM,33,0)</f>
        <v>51.28836963514383</v>
      </c>
      <c r="J74" s="6">
        <f>VLOOKUP(A74,All!A:AM,32,0)</f>
        <v>8.9291</v>
      </c>
      <c r="K74" s="20">
        <f>VLOOKUP(A74,All!A:AM,39,0)</f>
        <v>92.461777777777769</v>
      </c>
      <c r="L74" s="20">
        <f>VLOOKUP(A74,All!A:AM,38,0)</f>
        <v>104.01949999999999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</row>
    <row r="75" spans="1:18">
      <c r="A75" s="37" t="s">
        <v>91</v>
      </c>
      <c r="B75" s="41" t="str">
        <f>VLOOKUP(A75,All!A:AM,2,0)</f>
        <v>SOUTH WEST</v>
      </c>
      <c r="C75" s="42">
        <f>VLOOKUP(A75,All!A:AM,11,0)</f>
        <v>45323</v>
      </c>
      <c r="D75" s="19"/>
      <c r="E75" s="17">
        <f>VLOOKUP(A75,All!A:AM,30,0)</f>
        <v>63.482272138814913</v>
      </c>
      <c r="F75" s="17">
        <f>VLOOKUP(A75,All!A:AM,28,0)</f>
        <v>17.221419999999998</v>
      </c>
      <c r="G75" s="17">
        <f>VLOOKUP(A75,All!A:AM,31,0)</f>
        <v>56.53499708229679</v>
      </c>
      <c r="H75" s="17">
        <f>VLOOKUP(A75,All!A:AM,29,0)</f>
        <v>12.885400000000001</v>
      </c>
      <c r="I75" s="6">
        <f>VLOOKUP(A75,All!A:AM,33,0)</f>
        <v>43.097486444260639</v>
      </c>
      <c r="J75" s="6">
        <f>VLOOKUP(A75,All!A:AM,32,0)</f>
        <v>7.5031000000000008</v>
      </c>
      <c r="K75" s="20">
        <f>VLOOKUP(A75,All!A:AM,39,0)</f>
        <v>91.194222222222223</v>
      </c>
      <c r="L75" s="20">
        <f>VLOOKUP(A75,All!A:AM,38,0)</f>
        <v>102.59350000000001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</row>
    <row r="76" spans="1:18">
      <c r="A76" s="35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38.145424217150655</v>
      </c>
      <c r="F76" s="17">
        <f>VLOOKUP(A76,All!A:AM,28,0)</f>
        <v>20.124000000000002</v>
      </c>
      <c r="G76" s="17">
        <f>VLOOKUP(A76,All!A:AM,31,0)</f>
        <v>1.8438862986915314</v>
      </c>
      <c r="H76" s="17">
        <f>VLOOKUP(A76,All!A:AM,29,0)</f>
        <v>0.61299999999999955</v>
      </c>
      <c r="I76" s="6">
        <f>VLOOKUP(A76,All!A:AM,33,0)</f>
        <v>38.811634639905193</v>
      </c>
      <c r="J76" s="6">
        <f>VLOOKUP(A76,All!A:AM,32,0)</f>
        <v>20.698399999999999</v>
      </c>
      <c r="K76" s="330">
        <f>VLOOKUP(A76,All!A:AM,39,0)</f>
        <v>45.575555555555553</v>
      </c>
      <c r="L76" s="330">
        <f>VLOOKUP(A76,All!A:AM,38,0)</f>
        <v>41.018000000000001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16.5</v>
      </c>
    </row>
    <row r="77" spans="1:18">
      <c r="A77" s="35" t="s">
        <v>93</v>
      </c>
      <c r="B77" s="41" t="str">
        <f>VLOOKUP(A77,All!A:AM,2,0)</f>
        <v>MIDLANDS</v>
      </c>
      <c r="C77" s="42">
        <f>VLOOKUP(A77,All!A:AM,11,0)</f>
        <v>45223</v>
      </c>
      <c r="D77" s="5"/>
      <c r="E77" s="17">
        <f>VLOOKUP(A77,All!A:AM,30,0)</f>
        <v>69.008264462809905</v>
      </c>
      <c r="F77" s="17">
        <f>VLOOKUP(A77,All!A:AM,28,0)</f>
        <v>36.405999999999999</v>
      </c>
      <c r="G77" s="17">
        <f>VLOOKUP(A77,All!A:AM,31,0)</f>
        <v>50.819672131147541</v>
      </c>
      <c r="H77" s="17">
        <f>VLOOKUP(A77,All!A:AM,29,0)</f>
        <v>16.895</v>
      </c>
      <c r="I77" s="6">
        <f>VLOOKUP(A77,All!A:AM,33,0)</f>
        <v>69.342063813509753</v>
      </c>
      <c r="J77" s="6">
        <f>VLOOKUP(A77,All!A:AM,32,0)</f>
        <v>36.980400000000003</v>
      </c>
      <c r="K77" s="331"/>
      <c r="L77" s="331"/>
      <c r="M77" s="96"/>
      <c r="N77" s="96"/>
      <c r="O77" s="96"/>
      <c r="P77" s="96"/>
      <c r="Q77" s="96"/>
      <c r="R77" s="12">
        <f>VLOOKUP(A77,'SYS Allocations'!A:G,7,0)</f>
        <v>0</v>
      </c>
    </row>
    <row r="78" spans="1:18">
      <c r="A78" s="35" t="s">
        <v>94</v>
      </c>
      <c r="B78" s="41" t="str">
        <f>VLOOKUP(A78,All!A:AM,2,0)</f>
        <v>THAMES VALLEY</v>
      </c>
      <c r="C78" s="42">
        <f>VLOOKUP(A78,All!A:AM,11,0)</f>
        <v>45323</v>
      </c>
      <c r="D78" s="5"/>
      <c r="E78" s="17">
        <f>VLOOKUP(A78,All!A:AM,30,0)</f>
        <v>60</v>
      </c>
      <c r="F78" s="17">
        <f>VLOOKUP(A78,All!A:AM,28,0)</f>
        <v>6.867</v>
      </c>
      <c r="G78" s="17">
        <f>VLOOKUP(A78,All!A:AM,31,0)</f>
        <v>52.136752136752136</v>
      </c>
      <c r="H78" s="17">
        <f>VLOOKUP(A78,All!A:AM,29,0)</f>
        <v>4.9867499999999998</v>
      </c>
      <c r="I78" s="6">
        <f>VLOOKUP(A78,All!A:AM,33,0)</f>
        <v>48.929049531458993</v>
      </c>
      <c r="J78" s="6">
        <f>VLOOKUP(A78,All!A:AM,32,0)</f>
        <v>4.3859999999999699</v>
      </c>
      <c r="K78" s="20">
        <f>VLOOKUP(A78,All!A:AM,39,0)</f>
        <v>56.4</v>
      </c>
      <c r="L78" s="20">
        <f>VLOOKUP(A78,All!A:AM,38,0)</f>
        <v>5.9219999999999997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</row>
    <row r="79" spans="1:18">
      <c r="A79" s="35" t="s">
        <v>95</v>
      </c>
      <c r="B79" s="41" t="str">
        <f>VLOOKUP(A79,All!A:AM,2,0)</f>
        <v>NORTH WEST</v>
      </c>
      <c r="C79" s="42">
        <f>VLOOKUP(A79,All!A:AM,11,0)</f>
        <v>45323</v>
      </c>
      <c r="D79" s="5"/>
      <c r="E79" s="17">
        <f>VLOOKUP(A79,All!A:AM,30,0)</f>
        <v>34.811625808392229</v>
      </c>
      <c r="F79" s="17">
        <f>VLOOKUP(A79,All!A:AM,28,0)</f>
        <v>4.4440799999999996</v>
      </c>
      <c r="G79" s="17">
        <f>VLOOKUP(A79,All!A:AM,31,0)</f>
        <v>12.141974852461441</v>
      </c>
      <c r="H79" s="17">
        <f>VLOOKUP(A79,All!A:AM,29,0)</f>
        <v>1.1501000000000001</v>
      </c>
      <c r="I79" s="6">
        <f>VLOOKUP(A79,All!A:AM,33,0)</f>
        <v>17.675688509021644</v>
      </c>
      <c r="J79" s="6">
        <f>VLOOKUP(A79,All!A:AM,32,0)</f>
        <v>1.78679999999998</v>
      </c>
      <c r="K79" s="20">
        <f>VLOOKUP(A79,All!A:AM,39,0)</f>
        <v>72.260000000000005</v>
      </c>
      <c r="L79" s="20">
        <f>VLOOKUP(A79,All!A:AM,38,0)</f>
        <v>21.678000000000001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2</v>
      </c>
    </row>
    <row r="80" spans="1:18">
      <c r="A80" s="37" t="s">
        <v>96</v>
      </c>
      <c r="B80" s="41" t="str">
        <f>VLOOKUP(A80,All!A:AM,2,0)</f>
        <v>SOUTH WEST</v>
      </c>
      <c r="C80" s="42">
        <f>VLOOKUP(A80,All!A:AM,11,0)</f>
        <v>45294</v>
      </c>
      <c r="D80" s="5"/>
      <c r="E80" s="17">
        <f>VLOOKUP(A80,All!A:AM,30,0)</f>
        <v>61.413370431643848</v>
      </c>
      <c r="F80" s="17">
        <f>VLOOKUP(A80,All!A:AM,28,0)</f>
        <v>15.680160000000001</v>
      </c>
      <c r="G80" s="17">
        <f>VLOOKUP(A80,All!A:AM,31,0)</f>
        <v>52.628238416709941</v>
      </c>
      <c r="H80" s="17">
        <f>VLOOKUP(A80,All!A:AM,29,0)</f>
        <v>10.9452</v>
      </c>
      <c r="I80" s="6">
        <f>VLOOKUP(A80,All!A:AM,33,0)</f>
        <v>43.410532120209538</v>
      </c>
      <c r="J80" s="6">
        <f>VLOOKUP(A80,All!A:AM,32,0)</f>
        <v>7.5575999999999999</v>
      </c>
      <c r="K80" s="20">
        <f>VLOOKUP(A80,All!A:AM,39,0)</f>
        <v>63.184848484848487</v>
      </c>
      <c r="L80" s="20">
        <f>VLOOKUP(A80,All!A:AM,38,0)</f>
        <v>31.276500000000002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6.8</v>
      </c>
    </row>
    <row r="81" spans="1:18">
      <c r="A81" s="37" t="s">
        <v>97</v>
      </c>
      <c r="B81" s="41" t="str">
        <f>VLOOKUP(A81,All!A:AM,2,0)</f>
        <v>SOUTH WEST</v>
      </c>
      <c r="C81" s="42">
        <f>VLOOKUP(A81,All!A:AM,11,0)</f>
        <v>45294</v>
      </c>
      <c r="D81" s="5"/>
      <c r="E81" s="17">
        <f>VLOOKUP(A81,All!A:AM,30,0)</f>
        <v>67.211939765378247</v>
      </c>
      <c r="F81" s="17">
        <f>VLOOKUP(A81,All!A:AM,28,0)</f>
        <v>17.16066</v>
      </c>
      <c r="G81" s="17">
        <f>VLOOKUP(A81,All!A:AM,31,0)</f>
        <v>59.74698517108073</v>
      </c>
      <c r="H81" s="17">
        <f>VLOOKUP(A81,All!A:AM,29,0)</f>
        <v>12.425700000000001</v>
      </c>
      <c r="I81" s="6">
        <f>VLOOKUP(A81,All!A:AM,33,0)</f>
        <v>51.914460987041629</v>
      </c>
      <c r="J81" s="6">
        <f>VLOOKUP(A81,All!A:AM,32,0)</f>
        <v>9.0381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6.9</v>
      </c>
    </row>
    <row r="82" spans="1:18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</row>
    <row r="83" spans="1:18">
      <c r="A83" s="35" t="s">
        <v>99</v>
      </c>
      <c r="B83" s="41" t="str">
        <f>VLOOKUP(A83,All!A:AM,2,0)</f>
        <v>NORTH WEST</v>
      </c>
      <c r="C83" s="42">
        <f>VLOOKUP(A83,All!A:AM,11,0)</f>
        <v>45323</v>
      </c>
      <c r="D83" s="5"/>
      <c r="E83" s="17">
        <f>VLOOKUP(A83,All!A:AM,30,0)</f>
        <v>2.9224319446533298</v>
      </c>
      <c r="F83" s="17">
        <f>VLOOKUP(A83,All!A:AM,28,0)</f>
        <v>0.37307999999999986</v>
      </c>
      <c r="G83" s="17">
        <f>VLOOKUP(A83,All!A:AM,31,0)</f>
        <v>-30.836878833627178</v>
      </c>
      <c r="H83" s="17">
        <f>VLOOKUP(A83,All!A:AM,29,0)</f>
        <v>-2.9209000000000001</v>
      </c>
      <c r="I83" s="6">
        <f>VLOOKUP(A83,All!A:AM,33,0)</f>
        <v>-22.596153846154039</v>
      </c>
      <c r="J83" s="6">
        <f>VLOOKUP(A83,All!A:AM,32,0)</f>
        <v>-2.2842000000000198</v>
      </c>
      <c r="K83" s="20">
        <f>VLOOKUP(A83,All!A:AM,39,0)</f>
        <v>33.903999999999996</v>
      </c>
      <c r="L83" s="20">
        <f>VLOOKUP(A83,All!A:AM,38,0)</f>
        <v>6.3569999999999993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</row>
    <row r="84" spans="1:18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</row>
    <row r="85" spans="1:18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</row>
    <row r="86" spans="1:18">
      <c r="A86" s="35" t="s">
        <v>102</v>
      </c>
      <c r="B86" s="41" t="str">
        <f>VLOOKUP(A86,All!A:AM,2,0)</f>
        <v>THAMES VALLEY</v>
      </c>
      <c r="C86" s="42">
        <f>VLOOKUP(A86,All!A:AM,11,0)</f>
        <v>45044</v>
      </c>
      <c r="D86" s="5"/>
      <c r="E86" s="17">
        <f>VLOOKUP(A86,All!A:AM,30,0)</f>
        <v>48.138329560347898</v>
      </c>
      <c r="F86" s="17">
        <f>VLOOKUP(A86,All!A:AM,28,0)</f>
        <v>8.0804999999999989</v>
      </c>
      <c r="G86" s="17">
        <f>VLOOKUP(A86,All!A:AM,31,0)</f>
        <v>40.477737012174515</v>
      </c>
      <c r="H86" s="17">
        <f>VLOOKUP(A86,All!A:AM,29,0)</f>
        <v>5.9201199999999989</v>
      </c>
      <c r="I86" s="6">
        <f>VLOOKUP(A86,All!A:AM,33,0)</f>
        <v>33.820622757404436</v>
      </c>
      <c r="J86" s="6">
        <f>VLOOKUP(A86,All!A:AM,32,0)</f>
        <v>4.448900000000009</v>
      </c>
      <c r="K86" s="20">
        <f>VLOOKUP(A86,All!A:AM,39,0)</f>
        <v>80.654444444444437</v>
      </c>
      <c r="L86" s="20">
        <f>VLOOKUP(A86,All!A:AM,38,0)</f>
        <v>36.294499999999999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</row>
    <row r="87" spans="1:18">
      <c r="A87" s="39" t="s">
        <v>103</v>
      </c>
      <c r="B87" s="41" t="str">
        <f>VLOOKUP(A87,All!A:AM,2,0)</f>
        <v>SCOTLAND</v>
      </c>
      <c r="C87" s="42">
        <f>VLOOKUP(A87,All!A:AM,11,0)</f>
        <v>45323</v>
      </c>
      <c r="D87" s="5"/>
      <c r="E87" s="17">
        <f>VLOOKUP(A87,All!A:AM,30,0)</f>
        <v>26.47480108000487</v>
      </c>
      <c r="F87" s="17">
        <f>VLOOKUP(A87,All!A:AM,28,0)</f>
        <v>2.9573200000000002</v>
      </c>
      <c r="G87" s="17">
        <f>VLOOKUP(A87,All!A:AM,31,0)</f>
        <v>28.647136502641082</v>
      </c>
      <c r="H87" s="17">
        <f>VLOOKUP(A87,All!A:AM,29,0)</f>
        <v>3.2973999999999997</v>
      </c>
      <c r="I87" s="6">
        <f>VLOOKUP(A87,All!A:AM,33,0)</f>
        <v>29.742889600612916</v>
      </c>
      <c r="J87" s="6">
        <f>VLOOKUP(A87,All!A:AM,32,0)</f>
        <v>3.4769199999999696</v>
      </c>
      <c r="K87" s="20">
        <f>VLOOKUP(A87,All!A:AM,39,0)</f>
        <v>21.780952380952382</v>
      </c>
      <c r="L87" s="20">
        <f>VLOOKUP(A87,All!A:AM,38,0)</f>
        <v>2.2869999999999999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2</v>
      </c>
    </row>
    <row r="88" spans="1:18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</row>
    <row r="89" spans="1:18">
      <c r="A89" s="35" t="s">
        <v>105</v>
      </c>
      <c r="B89" s="41" t="str">
        <f>VLOOKUP(A89,All!A:AM,2,0)</f>
        <v>NORTH WEST</v>
      </c>
      <c r="C89" s="42">
        <f>VLOOKUP(A89,All!A:AM,11,0)</f>
        <v>45323</v>
      </c>
      <c r="D89" s="5"/>
      <c r="E89" s="17">
        <f>VLOOKUP(A89,All!A:AM,30,0)</f>
        <v>84</v>
      </c>
      <c r="F89" s="17">
        <f>VLOOKUP(A89,All!A:AM,28,0)</f>
        <v>13.734</v>
      </c>
      <c r="G89" s="17">
        <f>VLOOKUP(A89,All!A:AM,31,0)</f>
        <v>84.364820846905545</v>
      </c>
      <c r="H89" s="17">
        <f>VLOOKUP(A89,All!A:AM,29,0)</f>
        <v>14.115500000000001</v>
      </c>
      <c r="I89" s="6">
        <f>VLOOKUP(A89,All!A:AM,33,0)</f>
        <v>60.36940081442696</v>
      </c>
      <c r="J89" s="6">
        <f>VLOOKUP(A89,All!A:AM,32,0)</f>
        <v>3.9849600000000098</v>
      </c>
      <c r="K89" s="20">
        <f>VLOOKUP(A89,All!A:AM,39,0)</f>
        <v>65.12</v>
      </c>
      <c r="L89" s="20">
        <f>VLOOKUP(A89,All!A:AM,38,0)</f>
        <v>4.8840000000000003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</row>
    <row r="90" spans="1:18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73.68421052631578</v>
      </c>
      <c r="H90" s="17">
        <f>VLOOKUP(A90,All!A:AM,29,0)</f>
        <v>6.1040000000000001</v>
      </c>
      <c r="I90" s="6">
        <f>VLOOKUP(A90,All!A:AM,33,0)</f>
        <v>62.785425543537706</v>
      </c>
      <c r="J90" s="6">
        <f>VLOOKUP(A90,All!A:AM,32,0)</f>
        <v>3.6779200000000101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</row>
    <row r="91" spans="1:18">
      <c r="A91" s="35" t="s">
        <v>107</v>
      </c>
      <c r="B91" s="41" t="str">
        <f>VLOOKUP(A91,All!A:AM,2,0)</f>
        <v>LONDON</v>
      </c>
      <c r="C91" s="42">
        <f>VLOOKUP(A91,All!A:AM,11,0)</f>
        <v>44154</v>
      </c>
      <c r="D91" s="5"/>
      <c r="E91" s="17">
        <f>VLOOKUP(A91,All!A:AM,30,0)</f>
        <v>17.692692927925666</v>
      </c>
      <c r="F91" s="17">
        <f>VLOOKUP(A91,All!A:AM,28,0)</f>
        <v>13.551979999999999</v>
      </c>
      <c r="G91" s="17">
        <f>VLOOKUP(A91,All!A:AM,31,0)</f>
        <v>-20.900900555368047</v>
      </c>
      <c r="H91" s="17">
        <f>VLOOKUP(A91,All!A:AM,29,0)</f>
        <v>-10.898900000000001</v>
      </c>
      <c r="I91" s="6">
        <f>VLOOKUP(A91,All!A:AM,33,0)</f>
        <v>11.338795508753231</v>
      </c>
      <c r="J91" s="6">
        <f>VLOOKUP(A91,All!A:AM,32,0)</f>
        <v>8.0627000000002003</v>
      </c>
      <c r="K91" s="20">
        <f>VLOOKUP(A91,All!A:AM,39,0)</f>
        <v>57.970333333333336</v>
      </c>
      <c r="L91" s="20">
        <f>VLOOKUP(A91,All!A:AM,38,0)</f>
        <v>86.955500000000001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</row>
    <row r="92" spans="1:18">
      <c r="A92" s="35" t="s">
        <v>108</v>
      </c>
      <c r="B92" s="41" t="str">
        <f>VLOOKUP(A92,All!A:AM,2,0)</f>
        <v>SCOTLAND</v>
      </c>
      <c r="C92" s="42">
        <f>VLOOKUP(A92,All!A:AM,11,0)</f>
        <v>45323</v>
      </c>
      <c r="D92" s="5"/>
      <c r="E92" s="17">
        <f>VLOOKUP(A92,All!A:AM,30,0)</f>
        <v>59.699453551912569</v>
      </c>
      <c r="F92" s="17">
        <f>VLOOKUP(A92,All!A:AM,28,0)</f>
        <v>4.7633000000000001</v>
      </c>
      <c r="G92" s="17">
        <f>VLOOKUP(A92,All!A:AM,31,0)</f>
        <v>52.032520325203251</v>
      </c>
      <c r="H92" s="17">
        <f>VLOOKUP(A92,All!A:AM,29,0)</f>
        <v>3.488</v>
      </c>
      <c r="I92" s="6">
        <f>VLOOKUP(A92,All!A:AM,33,0)</f>
        <v>40.214561951509744</v>
      </c>
      <c r="J92" s="6">
        <f>VLOOKUP(A92,All!A:AM,32,0)</f>
        <v>2.1629</v>
      </c>
      <c r="K92" s="20">
        <f>VLOOKUP(A92,All!A:AM,39,0)</f>
        <v>57.126666666666665</v>
      </c>
      <c r="L92" s="20">
        <f>VLOOKUP(A92,All!A:AM,38,0)</f>
        <v>4.2844999999999995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</row>
    <row r="93" spans="1:18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63.4456880733945</v>
      </c>
      <c r="F93" s="17">
        <f>VLOOKUP(A93,All!A:AM,28,0)</f>
        <v>6.9155800000000003</v>
      </c>
      <c r="G93" s="17">
        <f>VLOOKUP(A93,All!A:AM,31,0)</f>
        <v>61.52177691936263</v>
      </c>
      <c r="H93" s="17">
        <f>VLOOKUP(A93,All!A:AM,29,0)</f>
        <v>6.3705800000000004</v>
      </c>
      <c r="I93" s="6">
        <f>VLOOKUP(A93,All!A:AM,33,0)</f>
        <v>23.77525252525253</v>
      </c>
      <c r="J93" s="6">
        <f>VLOOKUP(A93,All!A:AM,32,0)</f>
        <v>1.2427800000000002</v>
      </c>
      <c r="K93" s="20">
        <f>VLOOKUP(A93,All!A:AM,39,0)</f>
        <v>86.718600000000009</v>
      </c>
      <c r="L93" s="20">
        <f>VLOOKUP(A93,All!A:AM,38,0)</f>
        <v>26.01558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1</v>
      </c>
    </row>
    <row r="94" spans="1:18">
      <c r="A94" s="35" t="s">
        <v>110</v>
      </c>
      <c r="B94" s="41" t="str">
        <f>VLOOKUP(A94,All!A:AM,2,0)</f>
        <v>SCOTLAND</v>
      </c>
      <c r="C94" s="42">
        <f>VLOOKUP(A94,All!A:AM,11,0)</f>
        <v>45323</v>
      </c>
      <c r="D94" s="5"/>
      <c r="E94" s="17">
        <f>VLOOKUP(A94,All!A:AM,30,0)</f>
        <v>49.146488193713331</v>
      </c>
      <c r="F94" s="17">
        <f>VLOOKUP(A94,All!A:AM,28,0)</f>
        <v>12.548159999999999</v>
      </c>
      <c r="G94" s="17">
        <f>VLOOKUP(A94,All!A:AM,31,0)</f>
        <v>31.461872235301566</v>
      </c>
      <c r="H94" s="17">
        <f>VLOOKUP(A94,All!A:AM,29,0)</f>
        <v>5.9601999999999995</v>
      </c>
      <c r="I94" s="6">
        <f>VLOOKUP(A94,All!A:AM,33,0)</f>
        <v>35.778727445394111</v>
      </c>
      <c r="J94" s="6">
        <f>VLOOKUP(A94,All!A:AM,32,0)</f>
        <v>7.2336</v>
      </c>
      <c r="K94" s="20">
        <f>VLOOKUP(A94,All!A:AM,39,0)</f>
        <v>42.293333333333322</v>
      </c>
      <c r="L94" s="20">
        <f>VLOOKUP(A94,All!A:AM,38,0)</f>
        <v>9.5159999999999982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4.7</v>
      </c>
    </row>
    <row r="95" spans="1:18">
      <c r="A95" s="35" t="s">
        <v>111</v>
      </c>
      <c r="B95" s="41" t="str">
        <f>VLOOKUP(A95,All!A:AM,2,0)</f>
        <v>SCOTLAND</v>
      </c>
      <c r="C95" s="42">
        <f>VLOOKUP(A95,All!A:AM,11,0)</f>
        <v>45323</v>
      </c>
      <c r="D95" s="5"/>
      <c r="E95" s="17">
        <f>VLOOKUP(A95,All!A:AM,30,0)</f>
        <v>48.087431693989075</v>
      </c>
      <c r="F95" s="17">
        <f>VLOOKUP(A95,All!A:AM,28,0)</f>
        <v>3.8368000000000002</v>
      </c>
      <c r="G95" s="17">
        <f>VLOOKUP(A95,All!A:AM,31,0)</f>
        <v>28.030298941115472</v>
      </c>
      <c r="H95" s="17">
        <f>VLOOKUP(A95,All!A:AM,29,0)</f>
        <v>1.613199673</v>
      </c>
      <c r="I95" s="6">
        <f>VLOOKUP(A95,All!A:AM,33,0)</f>
        <v>50.830959164292672</v>
      </c>
      <c r="J95" s="6">
        <f>VLOOKUP(A95,All!A:AM,32,0)</f>
        <v>4.2820000000000302</v>
      </c>
      <c r="K95" s="20">
        <f>VLOOKUP(A95,All!A:AM,39,0)</f>
        <v>44.773333333333333</v>
      </c>
      <c r="L95" s="20">
        <f>VLOOKUP(A95,All!A:AM,38,0)</f>
        <v>3.3579999999999997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</row>
    <row r="96" spans="1:18">
      <c r="A96" s="35" t="s">
        <v>112</v>
      </c>
      <c r="B96" s="41" t="str">
        <f>VLOOKUP(A96,All!A:AM,2,0)</f>
        <v>SCOTLAND</v>
      </c>
      <c r="C96" s="42">
        <f>VLOOKUP(A96,All!A:AM,11,0)</f>
        <v>45323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</row>
    <row r="97" spans="1:18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</row>
    <row r="98" spans="1:18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</row>
    <row r="99" spans="1:18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</row>
    <row r="100" spans="1:18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</row>
    <row r="101" spans="1:18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</row>
    <row r="102" spans="1:18">
      <c r="A102" s="38" t="s">
        <v>118</v>
      </c>
      <c r="B102" s="41" t="str">
        <f>VLOOKUP(A102,All!A:AM,2,0)</f>
        <v>SCOTLAND</v>
      </c>
      <c r="C102" s="42">
        <f>VLOOKUP(A102,All!A:AM,11,0)</f>
        <v>45323</v>
      </c>
      <c r="D102" s="5"/>
      <c r="E102" s="17">
        <f>VLOOKUP(A102,All!A:AM,30,0)</f>
        <v>39.772795868234503</v>
      </c>
      <c r="F102" s="17">
        <f>VLOOKUP(A102,All!A:AM,28,0)</f>
        <v>31.099240000000005</v>
      </c>
      <c r="G102" s="17">
        <f>VLOOKUP(A102,All!A:AM,31,0)</f>
        <v>13.016736146641231</v>
      </c>
      <c r="H102" s="17">
        <f>VLOOKUP(A102,All!A:AM,29,0)</f>
        <v>7.0473000000000035</v>
      </c>
      <c r="I102" s="6">
        <f>VLOOKUP(A102,All!A:AM,33,0)</f>
        <v>33.771826200441218</v>
      </c>
      <c r="J102" s="6">
        <f>VLOOKUP(A102,All!A:AM,32,0)</f>
        <v>24.014200000000205</v>
      </c>
      <c r="K102" s="20">
        <f>VLOOKUP(A102,All!A:AM,39,0)</f>
        <v>47.674444444444454</v>
      </c>
      <c r="L102" s="20">
        <f>VLOOKUP(A102,All!A:AM,38,0)</f>
        <v>42.907000000000011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22.349999999999998</v>
      </c>
    </row>
    <row r="103" spans="1:18">
      <c r="A103" s="38" t="s">
        <v>119</v>
      </c>
      <c r="B103" s="41" t="str">
        <f>VLOOKUP(A103,All!A:AM,2,0)</f>
        <v>SCOTLAND</v>
      </c>
      <c r="C103" s="42">
        <f>VLOOKUP(A103,All!A:AM,11,0)</f>
        <v>45323</v>
      </c>
      <c r="D103" s="5"/>
      <c r="E103" s="17">
        <f>VLOOKUP(A103,All!A:AM,30,0)</f>
        <v>36.404175145768939</v>
      </c>
      <c r="F103" s="17">
        <f>VLOOKUP(A103,All!A:AM,28,0)</f>
        <v>28.465240000000001</v>
      </c>
      <c r="G103" s="17">
        <f>VLOOKUP(A103,All!A:AM,31,0)</f>
        <v>8.1515987166676247</v>
      </c>
      <c r="H103" s="17">
        <f>VLOOKUP(A103,All!A:AM,29,0)</f>
        <v>4.4133000000000031</v>
      </c>
      <c r="I103" s="6">
        <f>VLOOKUP(A103,All!A:AM,33,0)</f>
        <v>30.067559965798317</v>
      </c>
      <c r="J103" s="6">
        <f>VLOOKUP(A103,All!A:AM,32,0)</f>
        <v>21.380200000000201</v>
      </c>
      <c r="K103" s="20">
        <f>VLOOKUP(A103,All!A:AM,39,0)</f>
        <v>44.747777777777777</v>
      </c>
      <c r="L103" s="20">
        <f>VLOOKUP(A103,All!A:AM,38,0)</f>
        <v>40.273000000000003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22.15</v>
      </c>
    </row>
    <row r="104" spans="1:18">
      <c r="A104" s="37" t="s">
        <v>120</v>
      </c>
      <c r="B104" s="41" t="str">
        <f>VLOOKUP(A104,All!A:AM,2,0)</f>
        <v>SCOTLAND</v>
      </c>
      <c r="C104" s="42">
        <f>VLOOKUP(A104,All!A:AM,11,0)</f>
        <v>45323</v>
      </c>
      <c r="D104" s="19"/>
      <c r="E104" s="17">
        <f>VLOOKUP(A104,All!A:AM,30,0)</f>
        <v>50.138446150591754</v>
      </c>
      <c r="F104" s="17">
        <f>VLOOKUP(A104,All!A:AM,28,0)</f>
        <v>32.803660000000001</v>
      </c>
      <c r="G104" s="17">
        <f>VLOOKUP(A104,All!A:AM,31,0)</f>
        <v>40.916199619842445</v>
      </c>
      <c r="H104" s="17">
        <f>VLOOKUP(A104,All!A:AM,29,0)</f>
        <v>22.591449999999998</v>
      </c>
      <c r="I104" s="6">
        <f>VLOOKUP(A104,All!A:AM,33,0)</f>
        <v>24.635682339025657</v>
      </c>
      <c r="J104" s="6">
        <f>VLOOKUP(A104,All!A:AM,32,0)</f>
        <v>10.663900000000002</v>
      </c>
      <c r="K104" s="330">
        <f>VLOOKUP(A104,All!A:AM,39,0)</f>
        <v>-16.465185185185192</v>
      </c>
      <c r="L104" s="330">
        <f>VLOOKUP(A104,All!A:AM,38,0)</f>
        <v>-11.114000000000004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8.7515000000000001</v>
      </c>
    </row>
    <row r="105" spans="1:18">
      <c r="A105" s="37" t="s">
        <v>121</v>
      </c>
      <c r="B105" s="41" t="str">
        <f>VLOOKUP(A105,All!A:AM,2,0)</f>
        <v>SCOTLAND</v>
      </c>
      <c r="C105" s="42">
        <f>VLOOKUP(A105,All!A:AM,11,0)</f>
        <v>45323</v>
      </c>
      <c r="D105" s="19"/>
      <c r="E105" s="17">
        <f>VLOOKUP(A105,All!A:AM,30,0)</f>
        <v>29.704723615141102</v>
      </c>
      <c r="F105" s="17">
        <f>VLOOKUP(A105,All!A:AM,28,0)</f>
        <v>19.434660000000001</v>
      </c>
      <c r="G105" s="17">
        <f>VLOOKUP(A105,All!A:AM,31,0)</f>
        <v>16.703115788672971</v>
      </c>
      <c r="H105" s="17">
        <f>VLOOKUP(A105,All!A:AM,29,0)</f>
        <v>9.2224500000000003</v>
      </c>
      <c r="I105" s="6">
        <f>VLOOKUP(A105,All!A:AM,33,0)</f>
        <v>-6.2493069416722102</v>
      </c>
      <c r="J105" s="6">
        <f>VLOOKUP(A105,All!A:AM,32,0)</f>
        <v>-2.7050999999999998</v>
      </c>
      <c r="K105" s="331"/>
      <c r="L105" s="331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6.7515000000000001</v>
      </c>
    </row>
    <row r="106" spans="1:18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</row>
    <row r="107" spans="1:18">
      <c r="A107" s="35" t="s">
        <v>123</v>
      </c>
      <c r="B107" s="41" t="str">
        <f>VLOOKUP(A107,All!A:AM,2,0)</f>
        <v>MIDLANDS</v>
      </c>
      <c r="C107" s="42">
        <f>VLOOKUP(A107,All!A:AM,11,0)</f>
        <v>45323</v>
      </c>
      <c r="D107" s="5"/>
      <c r="E107" s="17">
        <f>VLOOKUP(A107,All!A:AM,30,0)</f>
        <v>71.248026018950213</v>
      </c>
      <c r="F107" s="17">
        <f>VLOOKUP(A107,All!A:AM,28,0)</f>
        <v>9.09558</v>
      </c>
      <c r="G107" s="17">
        <f>VLOOKUP(A107,All!A:AM,31,0)</f>
        <v>61.249353364090325</v>
      </c>
      <c r="H107" s="17">
        <f>VLOOKUP(A107,All!A:AM,29,0)</f>
        <v>5.8015999999999996</v>
      </c>
      <c r="I107" s="6">
        <f>VLOOKUP(A107,All!A:AM,33,0)</f>
        <v>63.690052231718695</v>
      </c>
      <c r="J107" s="6">
        <f>VLOOKUP(A107,All!A:AM,32,0)</f>
        <v>6.4382999999999804</v>
      </c>
      <c r="K107" s="20">
        <f>VLOOKUP(A107,All!A:AM,39,0)</f>
        <v>67.373333333333321</v>
      </c>
      <c r="L107" s="20">
        <f>VLOOKUP(A107,All!A:AM,38,0)</f>
        <v>7.5794999999999995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</row>
    <row r="108" spans="1:18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</row>
    <row r="109" spans="1:18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72.391420597917815</v>
      </c>
      <c r="F109" s="17">
        <f>VLOOKUP(A109,All!A:AM,28,0)</f>
        <v>17.3279</v>
      </c>
      <c r="G109" s="17">
        <f>VLOOKUP(A109,All!A:AM,31,0)</f>
        <v>64.853078048131906</v>
      </c>
      <c r="H109" s="17">
        <f>VLOOKUP(A109,All!A:AM,29,0)</f>
        <v>12.194000000000001</v>
      </c>
      <c r="I109" s="6">
        <f>VLOOKUP(A109,All!A:AM,33,0)</f>
        <v>62.041057807186839</v>
      </c>
      <c r="J109" s="6">
        <f>VLOOKUP(A109,All!A:AM,32,0)</f>
        <v>10.8011</v>
      </c>
      <c r="K109" s="330">
        <f>VLOOKUP(A109,All!A:AM,39,0)</f>
        <v>73.91442786069652</v>
      </c>
      <c r="L109" s="330">
        <f>VLOOKUP(A109,All!A:AM,38,0)</f>
        <v>37.141999999999996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5.9</v>
      </c>
    </row>
    <row r="110" spans="1:18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72.846794004110905</v>
      </c>
      <c r="F110" s="17">
        <f>VLOOKUP(A110,All!A:AM,28,0)</f>
        <v>17.436900000000001</v>
      </c>
      <c r="G110" s="17">
        <f>VLOOKUP(A110,All!A:AM,31,0)</f>
        <v>65.432788193059423</v>
      </c>
      <c r="H110" s="17">
        <f>VLOOKUP(A110,All!A:AM,29,0)</f>
        <v>12.302999999999999</v>
      </c>
      <c r="I110" s="6">
        <f>VLOOKUP(A110,All!A:AM,33,0)</f>
        <v>62.66714915908463</v>
      </c>
      <c r="J110" s="6">
        <f>VLOOKUP(A110,All!A:AM,32,0)</f>
        <v>10.910099999999998</v>
      </c>
      <c r="K110" s="331"/>
      <c r="L110" s="331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5.9</v>
      </c>
    </row>
    <row r="111" spans="1:18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</row>
    <row r="112" spans="1:18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</row>
    <row r="113" spans="1:18">
      <c r="A113" s="35" t="s">
        <v>129</v>
      </c>
      <c r="B113" s="41" t="str">
        <f>VLOOKUP(A113,All!A:AM,2,0)</f>
        <v>THAMES VALLEY</v>
      </c>
      <c r="C113" s="42">
        <f>VLOOKUP(A113,All!A:AM,11,0)</f>
        <v>45323</v>
      </c>
      <c r="D113" s="5"/>
      <c r="E113" s="17">
        <f>VLOOKUP(A113,All!A:AM,30,0)</f>
        <v>70.969945355191257</v>
      </c>
      <c r="F113" s="17">
        <f>VLOOKUP(A113,All!A:AM,28,0)</f>
        <v>6.7950600000000003</v>
      </c>
      <c r="G113" s="17">
        <f>VLOOKUP(A113,All!A:AM,31,0)</f>
        <v>67.223650385604117</v>
      </c>
      <c r="H113" s="17">
        <f>VLOOKUP(A113,All!A:AM,29,0)</f>
        <v>5.7007000000000003</v>
      </c>
      <c r="I113" s="6">
        <f>VLOOKUP(A113,All!A:AM,33,0)</f>
        <v>64.413563176007898</v>
      </c>
      <c r="J113" s="6">
        <f>VLOOKUP(A113,All!A:AM,32,0)</f>
        <v>5.0310600000000099</v>
      </c>
      <c r="K113" s="20">
        <f>VLOOKUP(A113,All!A:AM,39,0)</f>
        <v>75.293333333333322</v>
      </c>
      <c r="L113" s="20">
        <f>VLOOKUP(A113,All!A:AM,38,0)</f>
        <v>8.4704999999999995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</row>
    <row r="114" spans="1:18">
      <c r="A114" s="37" t="s">
        <v>130</v>
      </c>
      <c r="B114" s="41" t="str">
        <f>VLOOKUP(A114,All!A:AM,2,0)</f>
        <v>SOUTH WEST</v>
      </c>
      <c r="C114" s="42">
        <f>VLOOKUP(A114,All!A:AM,11,0)</f>
        <v>45323</v>
      </c>
      <c r="D114" s="5"/>
      <c r="E114" s="17">
        <f>VLOOKUP(A114,All!A:AM,30,0)</f>
        <v>74.634988602148653</v>
      </c>
      <c r="F114" s="17">
        <f>VLOOKUP(A114,All!A:AM,28,0)</f>
        <v>20.246920000000003</v>
      </c>
      <c r="G114" s="17">
        <f>VLOOKUP(A114,All!A:AM,31,0)</f>
        <v>69.809449848411063</v>
      </c>
      <c r="H114" s="17">
        <f>VLOOKUP(A114,All!A:AM,29,0)</f>
        <v>15.9109</v>
      </c>
      <c r="I114" s="6">
        <f>VLOOKUP(A114,All!A:AM,33,0)</f>
        <v>60.475829427442328</v>
      </c>
      <c r="J114" s="6">
        <f>VLOOKUP(A114,All!A:AM,32,0)</f>
        <v>10.528599999999999</v>
      </c>
      <c r="K114" s="20">
        <f>VLOOKUP(A114,All!A:AM,39,0)</f>
        <v>86.887111111111096</v>
      </c>
      <c r="L114" s="20">
        <f>VLOOKUP(A114,All!A:AM,38,0)</f>
        <v>97.74799999999999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5.9</v>
      </c>
    </row>
    <row r="115" spans="1:18">
      <c r="A115" s="37" t="s">
        <v>131</v>
      </c>
      <c r="B115" s="41" t="str">
        <f>VLOOKUP(A115,All!A:AM,2,0)</f>
        <v>SOUTH WEST</v>
      </c>
      <c r="C115" s="42">
        <f>VLOOKUP(A115,All!A:AM,11,0)</f>
        <v>45323</v>
      </c>
      <c r="D115" s="5"/>
      <c r="E115" s="17">
        <f>VLOOKUP(A115,All!A:AM,30,0)</f>
        <v>70.985611871459369</v>
      </c>
      <c r="F115" s="17">
        <f>VLOOKUP(A115,All!A:AM,28,0)</f>
        <v>19.256920000000001</v>
      </c>
      <c r="G115" s="17">
        <f>VLOOKUP(A115,All!A:AM,31,0)</f>
        <v>65.465801447005305</v>
      </c>
      <c r="H115" s="17">
        <f>VLOOKUP(A115,All!A:AM,29,0)</f>
        <v>14.9209</v>
      </c>
      <c r="I115" s="6">
        <f>VLOOKUP(A115,All!A:AM,33,0)</f>
        <v>54.789311644150345</v>
      </c>
      <c r="J115" s="6">
        <f>VLOOKUP(A115,All!A:AM,32,0)</f>
        <v>9.5385999999999989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5.8</v>
      </c>
    </row>
    <row r="116" spans="1:18">
      <c r="A116" s="35" t="s">
        <v>132</v>
      </c>
      <c r="B116" s="41" t="str">
        <f>VLOOKUP(A116,All!A:AM,2,0)</f>
        <v>SOUTH WEST</v>
      </c>
      <c r="C116" s="42">
        <f>VLOOKUP(A116,All!A:AM,11,0)</f>
        <v>45323</v>
      </c>
      <c r="D116" s="5"/>
      <c r="E116" s="17">
        <f>VLOOKUP(A116,All!A:AM,30,0)</f>
        <v>44.053446177825776</v>
      </c>
      <c r="F116" s="17">
        <f>VLOOKUP(A116,All!A:AM,28,0)</f>
        <v>15.465719999999999</v>
      </c>
      <c r="G116" s="17">
        <f>VLOOKUP(A116,All!A:AM,31,0)</f>
        <v>11.059891139951274</v>
      </c>
      <c r="H116" s="17">
        <f>VLOOKUP(A116,All!A:AM,29,0)</f>
        <v>2.4423999999999997</v>
      </c>
      <c r="I116" s="6">
        <f>VLOOKUP(A116,All!A:AM,33,0)</f>
        <v>44.756649115701357</v>
      </c>
      <c r="J116" s="6">
        <f>VLOOKUP(A116,All!A:AM,32,0)</f>
        <v>15.912599999999999</v>
      </c>
      <c r="K116" s="20">
        <f>VLOOKUP(A116,All!A:AM,39,0)</f>
        <v>56.353333333333339</v>
      </c>
      <c r="L116" s="20">
        <f>VLOOKUP(A116,All!A:AM,38,0)</f>
        <v>25.359000000000002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3.4</v>
      </c>
    </row>
    <row r="117" spans="1:18">
      <c r="A117" s="258" t="s">
        <v>133</v>
      </c>
      <c r="B117" s="41" t="str">
        <f>VLOOKUP(A117,All!A:AM,2,0)</f>
        <v>SOUTH</v>
      </c>
      <c r="C117" s="42">
        <f>VLOOKUP(A117,All!A:AM,11,0)</f>
        <v>45323</v>
      </c>
      <c r="D117" s="5"/>
      <c r="E117" s="17">
        <f>VLOOKUP(A117,All!A:AM,30,0)</f>
        <v>61.769879204281594</v>
      </c>
      <c r="F117" s="17">
        <f>VLOOKUP(A117,All!A:AM,28,0)</f>
        <v>40.41366</v>
      </c>
      <c r="G117" s="17">
        <f>VLOOKUP(A117,All!A:AM,31,0)</f>
        <v>49.040089481629984</v>
      </c>
      <c r="H117" s="17">
        <f>VLOOKUP(A117,All!A:AM,29,0)</f>
        <v>24.0702</v>
      </c>
      <c r="I117" s="6">
        <f>VLOOKUP(A117,All!A:AM,33,0)</f>
        <v>53.098982944061923</v>
      </c>
      <c r="J117" s="6">
        <f>VLOOKUP(A117,All!A:AM,32,0)</f>
        <v>28.317899999999998</v>
      </c>
      <c r="K117" s="330">
        <f>VLOOKUP(A117,All!A:AM,39,0)</f>
        <v>68.126111111111115</v>
      </c>
      <c r="L117" s="330">
        <f>VLOOKUP(A117,All!A:AM,38,0)</f>
        <v>122.62700000000001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7.3</v>
      </c>
    </row>
    <row r="118" spans="1:18">
      <c r="A118" s="258" t="s">
        <v>134</v>
      </c>
      <c r="B118" s="41" t="str">
        <f>VLOOKUP(A118,All!A:AM,2,0)</f>
        <v>SOUTH</v>
      </c>
      <c r="C118" s="42">
        <f>VLOOKUP(A118,All!A:AM,11,0)</f>
        <v>45323</v>
      </c>
      <c r="D118" s="19"/>
      <c r="E118" s="17">
        <f>VLOOKUP(A118,All!A:AM,30,0)</f>
        <v>50.53889759081077</v>
      </c>
      <c r="F118" s="17">
        <f>VLOOKUP(A118,All!A:AM,28,0)</f>
        <v>33.065660000000001</v>
      </c>
      <c r="G118" s="17">
        <f>VLOOKUP(A118,All!A:AM,31,0)</f>
        <v>34.069437907857555</v>
      </c>
      <c r="H118" s="17">
        <f>VLOOKUP(A118,All!A:AM,29,0)</f>
        <v>16.722200000000001</v>
      </c>
      <c r="I118" s="6">
        <f>VLOOKUP(A118,All!A:AM,33,0)</f>
        <v>39.32072513988269</v>
      </c>
      <c r="J118" s="6">
        <f>VLOOKUP(A118,All!A:AM,32,0)</f>
        <v>20.969899999999999</v>
      </c>
      <c r="K118" s="331"/>
      <c r="L118" s="331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6.8</v>
      </c>
    </row>
    <row r="119" spans="1:18">
      <c r="A119" s="37" t="s">
        <v>135</v>
      </c>
      <c r="B119" s="41" t="str">
        <f>VLOOKUP(A119,All!A:AM,2,0)</f>
        <v>SCOTLAND</v>
      </c>
      <c r="C119" s="42">
        <f>VLOOKUP(A119,All!A:AM,11,0)</f>
        <v>45323</v>
      </c>
      <c r="D119" s="19"/>
      <c r="E119" s="17">
        <f>VLOOKUP(A119,All!A:AM,30,0)</f>
        <v>33.392475910218685</v>
      </c>
      <c r="F119" s="17">
        <f>VLOOKUP(A119,All!A:AM,28,0)</f>
        <v>28.241780000000006</v>
      </c>
      <c r="G119" s="17">
        <f>VLOOKUP(A119,All!A:AM,31,0)</f>
        <v>9.3137215445812966</v>
      </c>
      <c r="H119" s="17">
        <f>VLOOKUP(A119,All!A:AM,29,0)</f>
        <v>5.7856000000000005</v>
      </c>
      <c r="I119" s="6">
        <f>VLOOKUP(A119,All!A:AM,33,0)</f>
        <v>20.776658341208993</v>
      </c>
      <c r="J119" s="6">
        <f>VLOOKUP(A119,All!A:AM,32,0)</f>
        <v>14.773700000000202</v>
      </c>
      <c r="K119" s="330">
        <f>VLOOKUP(A119,All!A:AM,39,0)</f>
        <v>-9.0038888888888859</v>
      </c>
      <c r="L119" s="330">
        <f>VLOOKUP(A119,All!A:AM,38,0)</f>
        <v>-8.1034999999999968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9.2999999999999989</v>
      </c>
    </row>
    <row r="120" spans="1:18">
      <c r="A120" s="37" t="s">
        <v>136</v>
      </c>
      <c r="B120" s="41" t="str">
        <f>VLOOKUP(A120,All!A:AM,2,0)</f>
        <v>SCOTLAND</v>
      </c>
      <c r="C120" s="42">
        <f>VLOOKUP(A120,All!A:AM,11,0)</f>
        <v>45323</v>
      </c>
      <c r="D120" s="19"/>
      <c r="E120" s="17">
        <f>VLOOKUP(A120,All!A:AM,30,0)</f>
        <v>50.612046451398093</v>
      </c>
      <c r="F120" s="17">
        <f>VLOOKUP(A120,All!A:AM,28,0)</f>
        <v>42.805280000000003</v>
      </c>
      <c r="G120" s="17">
        <f>VLOOKUP(A120,All!A:AM,31,0)</f>
        <v>32.758201583731896</v>
      </c>
      <c r="H120" s="17">
        <f>VLOOKUP(A120,All!A:AM,29,0)</f>
        <v>20.3491</v>
      </c>
      <c r="I120" s="6">
        <f>VLOOKUP(A120,All!A:AM,33,0)</f>
        <v>41.257706673867226</v>
      </c>
      <c r="J120" s="6">
        <f>VLOOKUP(A120,All!A:AM,32,0)</f>
        <v>29.337200000000202</v>
      </c>
      <c r="K120" s="331"/>
      <c r="L120" s="331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11.25</v>
      </c>
    </row>
    <row r="121" spans="1:18">
      <c r="A121" s="35" t="s">
        <v>137</v>
      </c>
      <c r="B121" s="41" t="str">
        <f>VLOOKUP(A121,All!A:AM,2,0)</f>
        <v>SCOTLAND</v>
      </c>
      <c r="C121" s="42">
        <f>VLOOKUP(A121,All!A:AM,11,0)</f>
        <v>45323</v>
      </c>
      <c r="D121" s="5"/>
      <c r="E121" s="17">
        <f>VLOOKUP(A121,All!A:AM,30,0)</f>
        <v>50.908100911860878</v>
      </c>
      <c r="F121" s="17">
        <f>VLOOKUP(A121,All!A:AM,28,0)</f>
        <v>14.622680000000001</v>
      </c>
      <c r="G121" s="17">
        <f>VLOOKUP(A121,All!A:AM,31,0)</f>
        <v>27.88909003508126</v>
      </c>
      <c r="H121" s="17">
        <f>VLOOKUP(A121,All!A:AM,29,0)</f>
        <v>5.4535999999999998</v>
      </c>
      <c r="I121" s="6">
        <f>VLOOKUP(A121,All!A:AM,33,0)</f>
        <v>47.096914580707114</v>
      </c>
      <c r="J121" s="6">
        <f>VLOOKUP(A121,All!A:AM,32,0)</f>
        <v>12.553399999999998</v>
      </c>
      <c r="K121" s="20">
        <f>VLOOKUP(A121,All!A:AM,39,0)</f>
        <v>37.328888888888883</v>
      </c>
      <c r="L121" s="20">
        <f>VLOOKUP(A121,All!A:AM,38,0)</f>
        <v>8.3989999999999991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</row>
    <row r="122" spans="1:18">
      <c r="A122" s="35" t="s">
        <v>138</v>
      </c>
      <c r="B122" s="41" t="str">
        <f>VLOOKUP(A122,All!A:AM,2,0)</f>
        <v>SCOTLAND</v>
      </c>
      <c r="C122" s="42">
        <f>VLOOKUP(A122,All!A:AM,11,0)</f>
        <v>45323</v>
      </c>
      <c r="D122" s="5"/>
      <c r="E122" s="17">
        <f>VLOOKUP(A122,All!A:AM,30,0)</f>
        <v>33.296581529287906</v>
      </c>
      <c r="F122" s="17">
        <f>VLOOKUP(A122,All!A:AM,28,0)</f>
        <v>18.065339999999999</v>
      </c>
      <c r="G122" s="17">
        <f>VLOOKUP(A122,All!A:AM,31,0)</f>
        <v>-3.0487075666717924</v>
      </c>
      <c r="H122" s="17">
        <f>VLOOKUP(A122,All!A:AM,29,0)</f>
        <v>-1.0707</v>
      </c>
      <c r="I122" s="6">
        <f>VLOOKUP(A122,All!A:AM,33,0)</f>
        <v>32.139080149408215</v>
      </c>
      <c r="J122" s="6">
        <f>VLOOKUP(A122,All!A:AM,32,0)</f>
        <v>17.139900000000001</v>
      </c>
      <c r="K122" s="20">
        <f>VLOOKUP(A122,All!A:AM,39,0)</f>
        <v>42.554761904761904</v>
      </c>
      <c r="L122" s="20">
        <f>VLOOKUP(A122,All!A:AM,38,0)</f>
        <v>26.8095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</row>
    <row r="123" spans="1:18">
      <c r="A123" s="35" t="s">
        <v>139</v>
      </c>
      <c r="B123" s="41" t="str">
        <f>VLOOKUP(A123,All!A:AM,2,0)</f>
        <v>SCOTLAND</v>
      </c>
      <c r="C123" s="42">
        <f>VLOOKUP(A123,All!A:AM,11,0)</f>
        <v>45323</v>
      </c>
      <c r="D123" s="5"/>
      <c r="E123" s="17">
        <f>VLOOKUP(A123,All!A:AM,30,0)</f>
        <v>68.964631272873106</v>
      </c>
      <c r="F123" s="17">
        <f>VLOOKUP(A123,All!A:AM,28,0)</f>
        <v>2.2010200000000002</v>
      </c>
      <c r="G123" s="17">
        <f>VLOOKUP(A123,All!A:AM,31,0)</f>
        <v>65.83775953645582</v>
      </c>
      <c r="H123" s="17">
        <f>VLOOKUP(A123,All!A:AM,29,0)</f>
        <v>1.9089</v>
      </c>
      <c r="I123" s="6">
        <f>VLOOKUP(A123,All!A:AM,33,0)</f>
        <v>44.751227130745207</v>
      </c>
      <c r="J123" s="6">
        <f>VLOOKUP(A123,All!A:AM,32,0)</f>
        <v>0.80230000000000001</v>
      </c>
      <c r="K123" s="20">
        <f>VLOOKUP(A123,All!A:AM,39,0)</f>
        <v>80.288557213930346</v>
      </c>
      <c r="L123" s="20">
        <f>VLOOKUP(A123,All!A:AM,38,0)</f>
        <v>4.0345000000000004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0.5</v>
      </c>
    </row>
    <row r="124" spans="1:18">
      <c r="A124" s="35" t="s">
        <v>140</v>
      </c>
      <c r="B124" s="41" t="str">
        <f>VLOOKUP(A124,All!A:AM,2,0)</f>
        <v>SOUTH EAST</v>
      </c>
      <c r="C124" s="42">
        <f>VLOOKUP(A124,All!A:AM,11,0)</f>
        <v>45323</v>
      </c>
      <c r="D124" s="5"/>
      <c r="E124" s="17">
        <f>VLOOKUP(A124,All!A:AM,30,0)</f>
        <v>24.202708606378334</v>
      </c>
      <c r="F124" s="17">
        <f>VLOOKUP(A124,All!A:AM,28,0)</f>
        <v>2.77</v>
      </c>
      <c r="G124" s="17">
        <f>VLOOKUP(A124,All!A:AM,31,0)</f>
        <v>14.006311676808856</v>
      </c>
      <c r="H124" s="17">
        <f>VLOOKUP(A124,All!A:AM,29,0)</f>
        <v>1.412949673</v>
      </c>
      <c r="I124" s="6">
        <f>VLOOKUP(A124,All!A:AM,33,0)</f>
        <v>-2.9795821462485059</v>
      </c>
      <c r="J124" s="6">
        <f>VLOOKUP(A124,All!A:AM,32,0)</f>
        <v>-0.25099999999997502</v>
      </c>
      <c r="K124" s="20">
        <f>VLOOKUP(A124,All!A:AM,39,0)</f>
        <v>27.708333333333329</v>
      </c>
      <c r="L124" s="20">
        <f>VLOOKUP(A124,All!A:AM,38,0)</f>
        <v>3.3249999999999993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</row>
    <row r="125" spans="1:18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</row>
    <row r="126" spans="1:18">
      <c r="A126" s="35" t="s">
        <v>142</v>
      </c>
      <c r="B126" s="41" t="str">
        <f>VLOOKUP(A126,All!A:AM,2,0)</f>
        <v>LONDON</v>
      </c>
      <c r="C126" s="42">
        <f>VLOOKUP(A126,All!A:AM,11,0)</f>
        <v>45323</v>
      </c>
      <c r="D126" s="5"/>
      <c r="E126" s="17">
        <f>VLOOKUP(A126,All!A:AM,30,0)</f>
        <v>45.843091334894616</v>
      </c>
      <c r="F126" s="17">
        <f>VLOOKUP(A126,All!A:AM,28,0)</f>
        <v>5.1208200000000001</v>
      </c>
      <c r="G126" s="17">
        <f>VLOOKUP(A126,All!A:AM,31,0)</f>
        <v>13.416536661466459</v>
      </c>
      <c r="H126" s="17">
        <f>VLOOKUP(A126,All!A:AM,29,0)</f>
        <v>0.93740000000000001</v>
      </c>
      <c r="I126" s="6">
        <f>VLOOKUP(A126,All!A:AM,33,0)</f>
        <v>61.273583456244047</v>
      </c>
      <c r="J126" s="6">
        <f>VLOOKUP(A126,All!A:AM,32,0)</f>
        <v>9.5716200000000295</v>
      </c>
      <c r="K126" s="20">
        <f>VLOOKUP(A126,All!A:AM,39,0)</f>
        <v>87.590769230769226</v>
      </c>
      <c r="L126" s="20">
        <f>VLOOKUP(A126,All!A:AM,38,0)</f>
        <v>42.700499999999998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</row>
    <row r="127" spans="1:18">
      <c r="A127" s="35" t="s">
        <v>143</v>
      </c>
      <c r="B127" s="41" t="str">
        <f>VLOOKUP(A127,All!A:AM,2,0)</f>
        <v>LONDON</v>
      </c>
      <c r="C127" s="42">
        <f>VLOOKUP(A127,All!A:AM,11,0)</f>
        <v>45323</v>
      </c>
      <c r="D127" s="5"/>
      <c r="E127" s="17">
        <f>VLOOKUP(A127,All!A:AM,30,0)</f>
        <v>46.81889149102264</v>
      </c>
      <c r="F127" s="17">
        <f>VLOOKUP(A127,All!A:AM,28,0)</f>
        <v>5.2298200000000001</v>
      </c>
      <c r="G127" s="17">
        <f>VLOOKUP(A127,All!A:AM,31,0)</f>
        <v>14.976599063962558</v>
      </c>
      <c r="H127" s="17">
        <f>VLOOKUP(A127,All!A:AM,29,0)</f>
        <v>1.0464</v>
      </c>
      <c r="I127" s="6">
        <f>VLOOKUP(A127,All!A:AM,33,0)</f>
        <v>61.971356727302712</v>
      </c>
      <c r="J127" s="6">
        <f>VLOOKUP(A127,All!A:AM,32,0)</f>
        <v>9.6806200000000295</v>
      </c>
      <c r="K127" s="20">
        <f>VLOOKUP(A127,All!A:AM,39,0)</f>
        <v>87.814358974358981</v>
      </c>
      <c r="L127" s="20">
        <f>VLOOKUP(A127,All!A:AM,38,0)</f>
        <v>42.8095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</row>
    <row r="128" spans="1:18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</row>
    <row r="129" spans="1:18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35.258121522033392</v>
      </c>
      <c r="F129" s="17">
        <f>VLOOKUP(A129,All!A:AM,28,0)</f>
        <v>22.505400000000002</v>
      </c>
      <c r="G129" s="17">
        <f>VLOOKUP(A129,All!A:AM,31,0)</f>
        <v>12.238786952089704</v>
      </c>
      <c r="H129" s="17">
        <f>VLOOKUP(A129,All!A:AM,29,0)</f>
        <v>5.7629999999999999</v>
      </c>
      <c r="I129" s="6">
        <f>VLOOKUP(A129,All!A:AM,33,0)</f>
        <v>22.511363124971872</v>
      </c>
      <c r="J129" s="6">
        <f>VLOOKUP(A129,All!A:AM,32,0)</f>
        <v>12.0054</v>
      </c>
      <c r="K129" s="20">
        <f>VLOOKUP(A129,All!A:AM,39,0)</f>
        <v>38.777777777777779</v>
      </c>
      <c r="L129" s="20">
        <f>VLOOKUP(A129,All!A:AM,38,0)</f>
        <v>26.175000000000004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5.9</v>
      </c>
    </row>
    <row r="130" spans="1:18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</row>
    <row r="131" spans="1:18">
      <c r="A131" s="35" t="s">
        <v>147</v>
      </c>
      <c r="B131" s="41" t="str">
        <f>VLOOKUP(A131,All!A:AM,2,0)</f>
        <v>LONDON</v>
      </c>
      <c r="C131" s="42">
        <f>VLOOKUP(A131,All!A:AM,11,0)</f>
        <v>45323</v>
      </c>
      <c r="D131" s="5"/>
      <c r="E131" s="17">
        <f>VLOOKUP(A131,All!A:AM,30,0)</f>
        <v>0.71940642703163371</v>
      </c>
      <c r="F131" s="17">
        <f>VLOOKUP(A131,All!A:AM,28,0)</f>
        <v>0.28699999999999992</v>
      </c>
      <c r="G131" s="17">
        <f>VLOOKUP(A131,All!A:AM,31,0)</f>
        <v>-41.11338736973368</v>
      </c>
      <c r="H131" s="17">
        <f>VLOOKUP(A131,All!A:AM,29,0)</f>
        <v>-11.5395</v>
      </c>
      <c r="I131" s="6">
        <f>VLOOKUP(A131,All!A:AM,33,0)</f>
        <v>-11.400814544799958</v>
      </c>
      <c r="J131" s="6">
        <f>VLOOKUP(A131,All!A:AM,32,0)</f>
        <v>-4.0533999999999981</v>
      </c>
      <c r="K131" s="20">
        <f>VLOOKUP(A131,All!A:AM,39,0)</f>
        <v>46.112925170068031</v>
      </c>
      <c r="L131" s="20">
        <f>VLOOKUP(A131,All!A:AM,38,0)</f>
        <v>33.893000000000001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</row>
    <row r="132" spans="1:18">
      <c r="A132" s="35" t="s">
        <v>148</v>
      </c>
      <c r="B132" s="41" t="str">
        <f>VLOOKUP(A132,All!A:AM,2,0)</f>
        <v>SCOTLAND</v>
      </c>
      <c r="C132" s="42">
        <f>VLOOKUP(A132,All!A:AM,11,0)</f>
        <v>45323</v>
      </c>
      <c r="D132" s="5"/>
      <c r="E132" s="17">
        <f>VLOOKUP(A132,All!A:AM,30,0)</f>
        <v>-3.9238356645109591</v>
      </c>
      <c r="F132" s="17">
        <f>VLOOKUP(A132,All!A:AM,28,0)</f>
        <v>-0.5009200000000007</v>
      </c>
      <c r="G132" s="17">
        <f>VLOOKUP(A132,All!A:AM,31,0)</f>
        <v>-40.063977365103831</v>
      </c>
      <c r="H132" s="17">
        <f>VLOOKUP(A132,All!A:AM,29,0)</f>
        <v>-3.7949000000000002</v>
      </c>
      <c r="I132" s="6">
        <f>VLOOKUP(A132,All!A:AM,33,0)</f>
        <v>-31.242086103197412</v>
      </c>
      <c r="J132" s="6">
        <f>VLOOKUP(A132,All!A:AM,32,0)</f>
        <v>-3.1582000000000203</v>
      </c>
      <c r="K132" s="20">
        <f>VLOOKUP(A132,All!A:AM,39,0)</f>
        <v>-17.928888888888892</v>
      </c>
      <c r="L132" s="20">
        <f>VLOOKUP(A132,All!A:AM,38,0)</f>
        <v>-2.0170000000000003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</row>
    <row r="133" spans="1:18">
      <c r="A133" s="35" t="s">
        <v>149</v>
      </c>
      <c r="B133" s="41" t="str">
        <f>VLOOKUP(A133,All!A:AM,2,0)</f>
        <v>SCOTLAND</v>
      </c>
      <c r="C133" s="42">
        <f>VLOOKUP(A133,All!A:AM,11,0)</f>
        <v>45323</v>
      </c>
      <c r="D133" s="5"/>
      <c r="E133" s="17">
        <f>VLOOKUP(A133,All!A:AM,30,0)</f>
        <v>20.425847245199773</v>
      </c>
      <c r="F133" s="17">
        <f>VLOOKUP(A133,All!A:AM,28,0)</f>
        <v>2.6075799999999996</v>
      </c>
      <c r="G133" s="17">
        <f>VLOOKUP(A133,All!A:AM,31,0)</f>
        <v>1.6906628282747833</v>
      </c>
      <c r="H133" s="17">
        <f>VLOOKUP(A133,All!A:AM,29,0)</f>
        <v>0.17469956399999997</v>
      </c>
      <c r="I133" s="6">
        <f>VLOOKUP(A133,All!A:AM,33,0)</f>
        <v>9.5575142450142465</v>
      </c>
      <c r="J133" s="6">
        <f>VLOOKUP(A133,All!A:AM,32,0)</f>
        <v>1.0735000000000001</v>
      </c>
      <c r="K133" s="20">
        <f>VLOOKUP(A133,All!A:AM,39,0)</f>
        <v>3.2523809523809515</v>
      </c>
      <c r="L133" s="20">
        <f>VLOOKUP(A133,All!A:AM,38,0)</f>
        <v>0.34149999999999991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</row>
    <row r="134" spans="1:18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</row>
    <row r="135" spans="1:18">
      <c r="A135" s="35" t="s">
        <v>151</v>
      </c>
      <c r="B135" s="41" t="str">
        <f>VLOOKUP(A135,All!A:AM,2,0)</f>
        <v>LONDON</v>
      </c>
      <c r="C135" s="42">
        <f>VLOOKUP(A135,All!A:AM,11,0)</f>
        <v>45323</v>
      </c>
      <c r="D135" s="5"/>
      <c r="E135" s="17">
        <f>VLOOKUP(A135,All!A:AM,30,0)</f>
        <v>26.463498458219174</v>
      </c>
      <c r="F135" s="17">
        <f>VLOOKUP(A135,All!A:AM,28,0)</f>
        <v>11.088100000000001</v>
      </c>
      <c r="G135" s="17">
        <f>VLOOKUP(A135,All!A:AM,31,0)</f>
        <v>-41.337155963302749</v>
      </c>
      <c r="H135" s="17">
        <f>VLOOKUP(A135,All!A:AM,29,0)</f>
        <v>-9.0114999999999998</v>
      </c>
      <c r="I135" s="6">
        <f>VLOOKUP(A135,All!A:AM,33,0)</f>
        <v>37.436038011695906</v>
      </c>
      <c r="J135" s="6">
        <f>VLOOKUP(A135,All!A:AM,32,0)</f>
        <v>18.436499999999999</v>
      </c>
      <c r="K135" s="20">
        <f>VLOOKUP(A135,All!A:AM,39,0)</f>
        <v>26.63928571428572</v>
      </c>
      <c r="L135" s="20">
        <f>VLOOKUP(A135,All!A:AM,38,0)</f>
        <v>11.188500000000001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</row>
    <row r="136" spans="1:18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</row>
    <row r="137" spans="1:18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</row>
    <row r="138" spans="1:18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</row>
    <row r="139" spans="1:18">
      <c r="A139" s="35" t="s">
        <v>155</v>
      </c>
      <c r="B139" s="41" t="str">
        <f>VLOOKUP(A139,All!A:AM,2,0)</f>
        <v>NORTH WEST</v>
      </c>
      <c r="C139" s="42">
        <f>VLOOKUP(A139,All!A:AM,11,0)</f>
        <v>45323</v>
      </c>
      <c r="D139" s="5"/>
      <c r="E139" s="17">
        <f>VLOOKUP(A139,All!A:AM,30,0)</f>
        <v>39.6564959643054</v>
      </c>
      <c r="F139" s="17">
        <f>VLOOKUP(A139,All!A:AM,28,0)</f>
        <v>5.0625799999999996</v>
      </c>
      <c r="G139" s="17">
        <f>VLOOKUP(A139,All!A:AM,31,0)</f>
        <v>18.671677875022436</v>
      </c>
      <c r="H139" s="17">
        <f>VLOOKUP(A139,All!A:AM,29,0)</f>
        <v>1.7686000000000002</v>
      </c>
      <c r="I139" s="6">
        <f>VLOOKUP(A139,All!A:AM,33,0)</f>
        <v>23.794119974675329</v>
      </c>
      <c r="J139" s="6">
        <f>VLOOKUP(A139,All!A:AM,32,0)</f>
        <v>2.40529999999998</v>
      </c>
      <c r="K139" s="20">
        <f>VLOOKUP(A139,All!A:AM,39,0)</f>
        <v>65.762222222222221</v>
      </c>
      <c r="L139" s="20">
        <f>VLOOKUP(A139,All!A:AM,38,0)</f>
        <v>14.7965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1</v>
      </c>
    </row>
    <row r="140" spans="1:18">
      <c r="A140" s="35" t="s">
        <v>156</v>
      </c>
      <c r="B140" s="41" t="str">
        <f>VLOOKUP(A140,All!A:AM,2,0)</f>
        <v>MIDLANDS</v>
      </c>
      <c r="C140" s="42">
        <f>VLOOKUP(A140,All!A:AM,11,0)</f>
        <v>45323</v>
      </c>
      <c r="D140" s="5"/>
      <c r="E140" s="17">
        <f>VLOOKUP(A140,All!A:AM,30,0)</f>
        <v>42.210535455188136</v>
      </c>
      <c r="F140" s="17">
        <f>VLOOKUP(A140,All!A:AM,28,0)</f>
        <v>46.476939999999999</v>
      </c>
      <c r="G140" s="17">
        <f>VLOOKUP(A140,All!A:AM,31,0)</f>
        <v>16.925280340704202</v>
      </c>
      <c r="H140" s="17">
        <f>VLOOKUP(A140,All!A:AM,29,0)</f>
        <v>12.963799999999999</v>
      </c>
      <c r="I140" s="6">
        <f>VLOOKUP(A140,All!A:AM,33,0)</f>
        <v>33.44802816100033</v>
      </c>
      <c r="J140" s="6">
        <f>VLOOKUP(A140,All!A:AM,32,0)</f>
        <v>31.97974</v>
      </c>
      <c r="K140" s="20">
        <f>VLOOKUP(A140,All!A:AM,39,0)</f>
        <v>22.872121212121215</v>
      </c>
      <c r="L140" s="20">
        <f>VLOOKUP(A140,All!A:AM,38,0)</f>
        <v>18.869500000000002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13</v>
      </c>
    </row>
    <row r="141" spans="1:18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0">
        <f>VLOOKUP(A141,All!A:AM,39,0)</f>
        <v>70.706249999999997</v>
      </c>
      <c r="L141" s="330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</row>
    <row r="142" spans="1:18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14.881749219098635</v>
      </c>
      <c r="J142" s="6">
        <f>VLOOKUP(A142,All!A:AM,32,0)</f>
        <v>0.800400000000001</v>
      </c>
      <c r="K142" s="331"/>
      <c r="L142" s="331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</row>
    <row r="143" spans="1:18">
      <c r="A143" s="38" t="s">
        <v>159</v>
      </c>
      <c r="B143" s="41" t="str">
        <f>VLOOKUP(A143,All!A:AM,2,0)</f>
        <v>NORTH EAST</v>
      </c>
      <c r="C143" s="42">
        <f>VLOOKUP(A143,All!A:AM,11,0)</f>
        <v>45323</v>
      </c>
      <c r="D143" s="5"/>
      <c r="E143" s="17">
        <f>VLOOKUP(A143,All!A:AM,30,0)</f>
        <v>42.21624638178875</v>
      </c>
      <c r="F143" s="17">
        <f>VLOOKUP(A143,All!A:AM,28,0)</f>
        <v>68.839500000000001</v>
      </c>
      <c r="G143" s="17">
        <f>VLOOKUP(A143,All!A:AM,31,0)</f>
        <v>31.933468178862963</v>
      </c>
      <c r="H143" s="17">
        <f>VLOOKUP(A143,All!A:AM,29,0)</f>
        <v>44.205500000000001</v>
      </c>
      <c r="I143" s="6">
        <f>VLOOKUP(A143,All!A:AM,33,0)</f>
        <v>11.659672531989354</v>
      </c>
      <c r="J143" s="6">
        <f>VLOOKUP(A143,All!A:AM,32,0)</f>
        <v>12.4363000000001</v>
      </c>
      <c r="K143" s="330">
        <f>VLOOKUP(A143,All!A:AM,39,0)</f>
        <v>14.91461538461539</v>
      </c>
      <c r="L143" s="330">
        <f>VLOOKUP(A143,All!A:AM,38,0)</f>
        <v>29.083500000000008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14.6</v>
      </c>
    </row>
    <row r="144" spans="1:18">
      <c r="A144" s="38" t="s">
        <v>160</v>
      </c>
      <c r="B144" s="41" t="str">
        <f>VLOOKUP(A144,All!A:AM,2,0)</f>
        <v>NORTH EAST</v>
      </c>
      <c r="C144" s="42">
        <f>VLOOKUP(A144,All!A:AM,11,0)</f>
        <v>45323</v>
      </c>
      <c r="D144" s="5"/>
      <c r="E144" s="17">
        <f>VLOOKUP(A144,All!A:AM,30,0)</f>
        <v>56.671622487338482</v>
      </c>
      <c r="F144" s="17">
        <f>VLOOKUP(A144,All!A:AM,28,0)</f>
        <v>93.77</v>
      </c>
      <c r="G144" s="17">
        <f>VLOOKUP(A144,All!A:AM,31,0)</f>
        <v>49.308302840678081</v>
      </c>
      <c r="H144" s="17">
        <f>VLOOKUP(A144,All!A:AM,29,0)</f>
        <v>69.735500000000002</v>
      </c>
      <c r="I144" s="6">
        <f>VLOOKUP(A144,All!A:AM,33,0)</f>
        <v>32.78505317792488</v>
      </c>
      <c r="J144" s="6">
        <f>VLOOKUP(A144,All!A:AM,32,0)</f>
        <v>34.968800000000101</v>
      </c>
      <c r="K144" s="331"/>
      <c r="L144" s="331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18.5</v>
      </c>
    </row>
    <row r="145" spans="1:18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</row>
    <row r="146" spans="1:18">
      <c r="A146" s="35" t="s">
        <v>162</v>
      </c>
      <c r="B146" s="41" t="str">
        <f>VLOOKUP(A146,All!A:AM,2,0)</f>
        <v>NORTH EAST</v>
      </c>
      <c r="C146" s="42">
        <f>VLOOKUP(A146,All!A:AM,11,0)</f>
        <v>45323</v>
      </c>
      <c r="D146" s="5"/>
      <c r="E146" s="17">
        <f>VLOOKUP(A146,All!A:AM,30,0)</f>
        <v>32.535373150613836</v>
      </c>
      <c r="F146" s="17">
        <f>VLOOKUP(A146,All!A:AM,28,0)</f>
        <v>17.652340000000002</v>
      </c>
      <c r="G146" s="17">
        <f>VLOOKUP(A146,All!A:AM,31,0)</f>
        <v>-4.224682372906452</v>
      </c>
      <c r="H146" s="17">
        <f>VLOOKUP(A146,All!A:AM,29,0)</f>
        <v>-1.4836999999999998</v>
      </c>
      <c r="I146" s="6">
        <f>VLOOKUP(A146,All!A:AM,33,0)</f>
        <v>31.364662556440607</v>
      </c>
      <c r="J146" s="6">
        <f>VLOOKUP(A146,All!A:AM,32,0)</f>
        <v>16.726900000000001</v>
      </c>
      <c r="K146" s="20">
        <f>VLOOKUP(A146,All!A:AM,39,0)</f>
        <v>72.886296296296294</v>
      </c>
      <c r="L146" s="20">
        <f>VLOOKUP(A146,All!A:AM,38,0)</f>
        <v>98.396500000000003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8.1</v>
      </c>
    </row>
    <row r="147" spans="1:18">
      <c r="A147" s="35" t="s">
        <v>163</v>
      </c>
      <c r="B147" s="41" t="str">
        <f>VLOOKUP(A147,All!A:AM,2,0)</f>
        <v>SCOTLAND</v>
      </c>
      <c r="C147" s="42">
        <f>VLOOKUP(A147,All!A:AM,11,0)</f>
        <v>45323</v>
      </c>
      <c r="D147" s="5"/>
      <c r="E147" s="17">
        <f>VLOOKUP(A147,All!A:AM,30,0)</f>
        <v>43.075252359930289</v>
      </c>
      <c r="F147" s="17">
        <f>VLOOKUP(A147,All!A:AM,28,0)</f>
        <v>23.370840000000001</v>
      </c>
      <c r="G147" s="17">
        <f>VLOOKUP(A147,All!A:AM,31,0)</f>
        <v>12.058155228674424</v>
      </c>
      <c r="H147" s="17">
        <f>VLOOKUP(A147,All!A:AM,29,0)</f>
        <v>4.2347999999999999</v>
      </c>
      <c r="I147" s="6">
        <f>VLOOKUP(A147,All!A:AM,33,0)</f>
        <v>42.087439809189505</v>
      </c>
      <c r="J147" s="6">
        <f>VLOOKUP(A147,All!A:AM,32,0)</f>
        <v>22.445399999999999</v>
      </c>
      <c r="K147" s="20">
        <f>VLOOKUP(A147,All!A:AM,39,0)</f>
        <v>54.244444444444433</v>
      </c>
      <c r="L147" s="20">
        <f>VLOOKUP(A147,All!A:AM,38,0)</f>
        <v>36.614999999999995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</row>
    <row r="148" spans="1:18">
      <c r="A148" s="35" t="s">
        <v>164</v>
      </c>
      <c r="B148" s="41" t="str">
        <f>VLOOKUP(A148,All!A:AM,2,0)</f>
        <v>NORTH WEST</v>
      </c>
      <c r="C148" s="42">
        <f>VLOOKUP(A148,All!A:AM,11,0)</f>
        <v>45323</v>
      </c>
      <c r="D148" s="5"/>
      <c r="E148" s="17">
        <f>VLOOKUP(A148,All!A:AM,30,0)</f>
        <v>37.066682591219674</v>
      </c>
      <c r="F148" s="17">
        <f>VLOOKUP(A148,All!A:AM,28,0)</f>
        <v>10.05542</v>
      </c>
      <c r="G148" s="17">
        <f>VLOOKUP(A148,All!A:AM,31,0)</f>
        <v>-40.979694299705194</v>
      </c>
      <c r="H148" s="17">
        <f>VLOOKUP(A148,All!A:AM,29,0)</f>
        <v>-4.9625999999999992</v>
      </c>
      <c r="I148" s="6">
        <f>VLOOKUP(A148,All!A:AM,33,0)</f>
        <v>51.980952702398625</v>
      </c>
      <c r="J148" s="6">
        <f>VLOOKUP(A148,All!A:AM,32,0)</f>
        <v>18.481099999999998</v>
      </c>
      <c r="K148" s="20">
        <f>VLOOKUP(A148,All!A:AM,39,0)</f>
        <v>24.122222222222224</v>
      </c>
      <c r="L148" s="20">
        <f>VLOOKUP(A148,All!A:AM,38,0)</f>
        <v>5.4275000000000002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</row>
    <row r="149" spans="1:18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</row>
    <row r="150" spans="1:18">
      <c r="A150" s="35" t="s">
        <v>166</v>
      </c>
      <c r="B150" s="41" t="str">
        <f>VLOOKUP(A150,All!A:AM,2,0)</f>
        <v>NORTH WEST</v>
      </c>
      <c r="C150" s="42">
        <f>VLOOKUP(A150,All!A:AM,11,0)</f>
        <v>45323</v>
      </c>
      <c r="D150" s="32"/>
      <c r="E150" s="17">
        <f>VLOOKUP(A150,All!A:AM,30,0)</f>
        <v>62.811171827565268</v>
      </c>
      <c r="F150" s="17">
        <f>VLOOKUP(A150,All!A:AM,28,0)</f>
        <v>9.0208399999999997</v>
      </c>
      <c r="G150" s="17">
        <f>VLOOKUP(A150,All!A:AM,31,0)</f>
        <v>69.883220651505837</v>
      </c>
      <c r="H150" s="17">
        <f>VLOOKUP(A150,All!A:AM,29,0)</f>
        <v>12.3933</v>
      </c>
      <c r="I150" s="6">
        <f>VLOOKUP(A150,All!A:AM,33,0)</f>
        <v>-54.542824074074076</v>
      </c>
      <c r="J150" s="6">
        <f>VLOOKUP(A150,All!A:AM,32,0)</f>
        <v>-1.885</v>
      </c>
      <c r="K150" s="20">
        <f>VLOOKUP(A150,All!A:AM,39,0)</f>
        <v>52.524444444444441</v>
      </c>
      <c r="L150" s="20">
        <f>VLOOKUP(A150,All!A:AM,38,0)</f>
        <v>5.9089999999999998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</row>
    <row r="151" spans="1:18">
      <c r="A151" s="35" t="s">
        <v>167</v>
      </c>
      <c r="B151" s="41" t="str">
        <f>VLOOKUP(A151,All!A:AM,2,0)</f>
        <v>NORTH WEST</v>
      </c>
      <c r="C151" s="42">
        <f>VLOOKUP(A151,All!A:AM,11,0)</f>
        <v>45323</v>
      </c>
      <c r="D151" s="32"/>
      <c r="E151" s="17">
        <f>VLOOKUP(A151,All!A:AM,30,0)</f>
        <v>54.481876973981052</v>
      </c>
      <c r="F151" s="17">
        <f>VLOOKUP(A151,All!A:AM,28,0)</f>
        <v>21.734999999999999</v>
      </c>
      <c r="G151" s="17">
        <f>VLOOKUP(A151,All!A:AM,31,0)</f>
        <v>35.302396009619663</v>
      </c>
      <c r="H151" s="17">
        <f>VLOOKUP(A151,All!A:AM,29,0)</f>
        <v>9.9085000000000001</v>
      </c>
      <c r="I151" s="6">
        <f>VLOOKUP(A151,All!A:AM,33,0)</f>
        <v>48.925003375185632</v>
      </c>
      <c r="J151" s="6">
        <f>VLOOKUP(A151,All!A:AM,32,0)</f>
        <v>17.394600000000001</v>
      </c>
      <c r="K151" s="20">
        <f>VLOOKUP(A151,All!A:AM,39,0)</f>
        <v>51.576000000000001</v>
      </c>
      <c r="L151" s="20">
        <f>VLOOKUP(A151,All!A:AM,38,0)</f>
        <v>19.341000000000001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</row>
    <row r="152" spans="1:18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</row>
    <row r="153" spans="1:18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</row>
    <row r="154" spans="1:18">
      <c r="A154" s="35" t="s">
        <v>170</v>
      </c>
      <c r="B154" s="41" t="str">
        <f>VLOOKUP(A154,All!A:AM,2,0)</f>
        <v>NORTH WEST</v>
      </c>
      <c r="C154" s="42">
        <f>VLOOKUP(A154,All!A:AM,11,0)</f>
        <v>45323</v>
      </c>
      <c r="D154" s="32"/>
      <c r="E154" s="17">
        <f>VLOOKUP(A154,All!A:AM,30,0)</f>
        <v>70.882946190383237</v>
      </c>
      <c r="F154" s="17">
        <f>VLOOKUP(A154,All!A:AM,28,0)</f>
        <v>53.16272</v>
      </c>
      <c r="G154" s="17">
        <f>VLOOKUP(A154,All!A:AM,31,0)</f>
        <v>56.4554175498346</v>
      </c>
      <c r="H154" s="17">
        <f>VLOOKUP(A154,All!A:AM,29,0)</f>
        <v>28.312899999999999</v>
      </c>
      <c r="I154" s="6">
        <f>VLOOKUP(A154,All!A:AM,33,0)</f>
        <v>69.288623374285663</v>
      </c>
      <c r="J154" s="6">
        <f>VLOOKUP(A154,All!A:AM,32,0)</f>
        <v>49.269200000000197</v>
      </c>
      <c r="K154" s="330">
        <f>VLOOKUP(A154,All!A:AM,39,0)</f>
        <v>31.934999999999999</v>
      </c>
      <c r="L154" s="330">
        <f>VLOOKUP(A154,All!A:AM,38,0)</f>
        <v>28.741499999999998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</row>
    <row r="155" spans="1:18">
      <c r="A155" s="35" t="s">
        <v>171</v>
      </c>
      <c r="B155" s="41" t="str">
        <f>VLOOKUP(A155,All!A:AM,2,0)</f>
        <v>NORTH WEST</v>
      </c>
      <c r="C155" s="42">
        <f>VLOOKUP(A155,All!A:AM,11,0)</f>
        <v>45323</v>
      </c>
      <c r="D155" s="32"/>
      <c r="E155" s="17">
        <f>VLOOKUP(A155,All!A:AM,30,0)</f>
        <v>39.748106873458561</v>
      </c>
      <c r="F155" s="17">
        <f>VLOOKUP(A155,All!A:AM,28,0)</f>
        <v>26.005659999999995</v>
      </c>
      <c r="G155" s="17">
        <f>VLOOKUP(A155,All!A:AM,31,0)</f>
        <v>-3.2417822731237016</v>
      </c>
      <c r="H155" s="17">
        <f>VLOOKUP(A155,All!A:AM,29,0)</f>
        <v>-1.2378000000000036</v>
      </c>
      <c r="I155" s="6">
        <f>VLOOKUP(A155,All!A:AM,33,0)</f>
        <v>44.561872778002943</v>
      </c>
      <c r="J155" s="6">
        <f>VLOOKUP(A155,All!A:AM,32,0)</f>
        <v>31.686700000000197</v>
      </c>
      <c r="K155" s="331"/>
      <c r="L155" s="331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20.400000000000002</v>
      </c>
    </row>
    <row r="156" spans="1:18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</row>
    <row r="157" spans="1:18">
      <c r="A157" s="38" t="s">
        <v>173</v>
      </c>
      <c r="B157" s="41" t="str">
        <f>VLOOKUP(A157,All!A:AM,2,0)</f>
        <v>NORTH WEST</v>
      </c>
      <c r="C157" s="42">
        <f>VLOOKUP(A157,All!A:AM,11,0)</f>
        <v>45323</v>
      </c>
      <c r="D157" s="32"/>
      <c r="E157" s="17">
        <f>VLOOKUP(A157,All!A:AM,30,0)</f>
        <v>47.664883369500608</v>
      </c>
      <c r="F157" s="17">
        <f>VLOOKUP(A157,All!A:AM,28,0)</f>
        <v>47.918880000000001</v>
      </c>
      <c r="G157" s="17">
        <f>VLOOKUP(A157,All!A:AM,31,0)</f>
        <v>43.405176725709694</v>
      </c>
      <c r="H157" s="17">
        <f>VLOOKUP(A157,All!A:AM,29,0)</f>
        <v>40.3521</v>
      </c>
      <c r="I157" s="6">
        <f>VLOOKUP(A157,All!A:AM,33,0)</f>
        <v>1.3433238828135368</v>
      </c>
      <c r="J157" s="6">
        <f>VLOOKUP(A157,All!A:AM,32,0)</f>
        <v>0.71639999999999038</v>
      </c>
      <c r="K157" s="330">
        <f>VLOOKUP(A157,All!A:AM,39,0)</f>
        <v>18.884888888888881</v>
      </c>
      <c r="L157" s="330">
        <f>VLOOKUP(A157,All!A:AM,38,0)</f>
        <v>21.245499999999993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4</v>
      </c>
    </row>
    <row r="158" spans="1:18">
      <c r="A158" s="38" t="s">
        <v>174</v>
      </c>
      <c r="B158" s="41" t="str">
        <f>VLOOKUP(A158,All!A:AM,2,0)</f>
        <v>NORTH WEST</v>
      </c>
      <c r="C158" s="42">
        <f>VLOOKUP(A158,All!A:AM,11,0)</f>
        <v>45323</v>
      </c>
      <c r="D158" s="32"/>
      <c r="E158" s="17">
        <f>VLOOKUP(A158,All!A:AM,30,0)</f>
        <v>61.564316072512796</v>
      </c>
      <c r="F158" s="17">
        <f>VLOOKUP(A158,All!A:AM,28,0)</f>
        <v>61.892380000000003</v>
      </c>
      <c r="G158" s="17">
        <f>VLOOKUP(A158,All!A:AM,31,0)</f>
        <v>58.435924492906558</v>
      </c>
      <c r="H158" s="17">
        <f>VLOOKUP(A158,All!A:AM,29,0)</f>
        <v>54.325600000000001</v>
      </c>
      <c r="I158" s="6">
        <f>VLOOKUP(A158,All!A:AM,33,0)</f>
        <v>27.545077479261359</v>
      </c>
      <c r="J158" s="6">
        <f>VLOOKUP(A158,All!A:AM,32,0)</f>
        <v>14.6899</v>
      </c>
      <c r="K158" s="331"/>
      <c r="L158" s="331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0</v>
      </c>
    </row>
    <row r="159" spans="1:18">
      <c r="A159" s="37" t="s">
        <v>175</v>
      </c>
      <c r="B159" s="41" t="str">
        <f>VLOOKUP(A159,All!A:AM,2,0)</f>
        <v>NORTH WEST</v>
      </c>
      <c r="C159" s="42">
        <f>VLOOKUP(A159,All!A:AM,11,0)</f>
        <v>45323</v>
      </c>
      <c r="D159" s="32"/>
      <c r="E159" s="17">
        <f>VLOOKUP(A159,All!A:AM,30,0)</f>
        <v>41.10302762342112</v>
      </c>
      <c r="F159" s="17">
        <f>VLOOKUP(A159,All!A:AM,28,0)</f>
        <v>81.808999999999997</v>
      </c>
      <c r="G159" s="17">
        <f>VLOOKUP(A159,All!A:AM,31,0)</f>
        <v>27.456410415087333</v>
      </c>
      <c r="H159" s="17">
        <f>VLOOKUP(A159,All!A:AM,29,0)</f>
        <v>44.3675</v>
      </c>
      <c r="I159" s="6">
        <f>VLOOKUP(A159,All!A:AM,33,0)</f>
        <v>17.571638315107258</v>
      </c>
      <c r="J159" s="6">
        <f>VLOOKUP(A159,All!A:AM,32,0)</f>
        <v>24.989399999999897</v>
      </c>
      <c r="K159" s="330">
        <f>VLOOKUP(A159,All!A:AM,39,0)</f>
        <v>36.552400000000006</v>
      </c>
      <c r="L159" s="330">
        <f>VLOOKUP(A159,All!A:AM,38,0)</f>
        <v>137.07150000000001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19.125</v>
      </c>
    </row>
    <row r="160" spans="1:18">
      <c r="A160" s="37" t="s">
        <v>176</v>
      </c>
      <c r="B160" s="41" t="str">
        <f>VLOOKUP(A160,All!A:AM,2,0)</f>
        <v>NORTH WEST</v>
      </c>
      <c r="C160" s="42">
        <f>VLOOKUP(A160,All!A:AM,11,0)</f>
        <v>45323</v>
      </c>
      <c r="D160" s="32"/>
      <c r="E160" s="17">
        <f>VLOOKUP(A160,All!A:AM,30,0)</f>
        <v>39.355336274204404</v>
      </c>
      <c r="F160" s="17">
        <f>VLOOKUP(A160,All!A:AM,28,0)</f>
        <v>78.330500000000001</v>
      </c>
      <c r="G160" s="17">
        <f>VLOOKUP(A160,All!A:AM,31,0)</f>
        <v>25.303773380571496</v>
      </c>
      <c r="H160" s="17">
        <f>VLOOKUP(A160,All!A:AM,29,0)</f>
        <v>40.888999999999996</v>
      </c>
      <c r="I160" s="6">
        <f>VLOOKUP(A160,All!A:AM,33,0)</f>
        <v>15.125683475091057</v>
      </c>
      <c r="J160" s="6">
        <f>VLOOKUP(A160,All!A:AM,32,0)</f>
        <v>21.510899999999896</v>
      </c>
      <c r="K160" s="331"/>
      <c r="L160" s="331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18.625000000000004</v>
      </c>
    </row>
    <row r="161" spans="1:18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</row>
    <row r="162" spans="1:18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64.837216350601821</v>
      </c>
      <c r="F162" s="17">
        <f>VLOOKUP(A162,All!A:AM,28,0)</f>
        <v>22.762219999999999</v>
      </c>
      <c r="G162" s="17">
        <f>VLOOKUP(A162,All!A:AM,31,0)</f>
        <v>44.100546111558906</v>
      </c>
      <c r="H162" s="17">
        <f>VLOOKUP(A162,All!A:AM,29,0)</f>
        <v>9.7388999999999992</v>
      </c>
      <c r="I162" s="6">
        <f>VLOOKUP(A162,All!A:AM,33,0)</f>
        <v>65.279184105125779</v>
      </c>
      <c r="J162" s="6">
        <f>VLOOKUP(A162,All!A:AM,32,0)</f>
        <v>23.209099999999999</v>
      </c>
      <c r="K162" s="20">
        <f>VLOOKUP(A162,All!A:AM,39,0)</f>
        <v>63.423703703703701</v>
      </c>
      <c r="L162" s="20">
        <f>VLOOKUP(A162,All!A:AM,38,0)</f>
        <v>21.4055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0.3</v>
      </c>
    </row>
    <row r="163" spans="1:18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</row>
    <row r="164" spans="1:18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</row>
    <row r="165" spans="1:18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</row>
    <row r="166" spans="1:18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</row>
    <row r="167" spans="1:18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</row>
    <row r="168" spans="1:18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</row>
    <row r="169" spans="1:18">
      <c r="A169" s="35" t="s">
        <v>185</v>
      </c>
      <c r="B169" s="41" t="str">
        <f>VLOOKUP(A169,All!A:AM,2,0)</f>
        <v>ANGLIA</v>
      </c>
      <c r="C169" s="42">
        <f>VLOOKUP(A169,All!A:AM,11,0)</f>
        <v>45323</v>
      </c>
      <c r="D169" s="5"/>
      <c r="E169" s="17">
        <f>VLOOKUP(A169,All!A:AM,30,0)</f>
        <v>23.704065774301899</v>
      </c>
      <c r="F169" s="17">
        <f>VLOOKUP(A169,All!A:AM,28,0)</f>
        <v>2.2695599999999998</v>
      </c>
      <c r="G169" s="17">
        <f>VLOOKUP(A169,All!A:AM,31,0)</f>
        <v>-34.574997236653012</v>
      </c>
      <c r="H169" s="17">
        <f>VLOOKUP(A169,All!A:AM,29,0)</f>
        <v>-1.8767999999999989</v>
      </c>
      <c r="I169" s="6">
        <f>VLOOKUP(A169,All!A:AM,33,0)</f>
        <v>60.361645048705519</v>
      </c>
      <c r="J169" s="6">
        <f>VLOOKUP(A169,All!A:AM,32,0)</f>
        <v>11.12412</v>
      </c>
      <c r="K169" s="20">
        <f>VLOOKUP(A169,All!A:AM,39,0)</f>
        <v>35.066666666666663</v>
      </c>
      <c r="L169" s="20">
        <f>VLOOKUP(A169,All!A:AM,38,0)</f>
        <v>3.9449999999999998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</row>
    <row r="170" spans="1:18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</row>
    <row r="171" spans="1:18">
      <c r="A171" s="35" t="s">
        <v>187</v>
      </c>
      <c r="B171" s="41" t="str">
        <f>VLOOKUP(A171,All!A:AM,2,0)</f>
        <v>NORTH WEST</v>
      </c>
      <c r="C171" s="42">
        <f>VLOOKUP(A171,All!A:AM,11,0)</f>
        <v>45323</v>
      </c>
      <c r="D171" s="5"/>
      <c r="E171" s="17">
        <f>VLOOKUP(A171,All!A:AM,30,0)</f>
        <v>55.193763473203994</v>
      </c>
      <c r="F171" s="17">
        <f>VLOOKUP(A171,All!A:AM,28,0)</f>
        <v>8.8076000000000008</v>
      </c>
      <c r="G171" s="17">
        <f>VLOOKUP(A171,All!A:AM,31,0)</f>
        <v>38.695018434365089</v>
      </c>
      <c r="H171" s="17">
        <f>VLOOKUP(A171,All!A:AM,29,0)</f>
        <v>4.5129999999999999</v>
      </c>
      <c r="I171" s="6">
        <f>VLOOKUP(A171,All!A:AM,33,0)</f>
        <v>52.054096390712978</v>
      </c>
      <c r="J171" s="6">
        <f>VLOOKUP(A171,All!A:AM,32,0)</f>
        <v>7.7626400000000197</v>
      </c>
      <c r="K171" s="20">
        <f>VLOOKUP(A171,All!A:AM,39,0)</f>
        <v>31.904761904761902</v>
      </c>
      <c r="L171" s="20">
        <f>VLOOKUP(A171,All!A:AM,38,0)</f>
        <v>3.3499999999999996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</row>
    <row r="172" spans="1:18">
      <c r="A172" s="38" t="s">
        <v>188</v>
      </c>
      <c r="B172" s="41" t="str">
        <f>VLOOKUP(A172,All!A:AM,2,0)</f>
        <v>NORTH EAST</v>
      </c>
      <c r="C172" s="42">
        <f>VLOOKUP(A172,All!A:AM,11,0)</f>
        <v>45323</v>
      </c>
      <c r="D172" s="5"/>
      <c r="E172" s="17">
        <f>VLOOKUP(A172,All!A:AM,30,0)</f>
        <v>39.480753027781695</v>
      </c>
      <c r="F172" s="17">
        <f>VLOOKUP(A172,All!A:AM,28,0)</f>
        <v>19.530560000000001</v>
      </c>
      <c r="G172" s="17">
        <f>VLOOKUP(A172,All!A:AM,31,0)</f>
        <v>16.082936004058787</v>
      </c>
      <c r="H172" s="17">
        <f>VLOOKUP(A172,All!A:AM,29,0)</f>
        <v>5.7377000000000002</v>
      </c>
      <c r="I172" s="6">
        <f>VLOOKUP(A172,All!A:AM,33,0)</f>
        <v>29.140157539953044</v>
      </c>
      <c r="J172" s="6">
        <f>VLOOKUP(A172,All!A:AM,32,0)</f>
        <v>12.3116</v>
      </c>
      <c r="K172" s="330">
        <f>VLOOKUP(A172,All!A:AM,39,0)</f>
        <v>-23.49</v>
      </c>
      <c r="L172" s="330">
        <f>VLOOKUP(A172,All!A:AM,38,0)</f>
        <v>-10.570499999999999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10.1</v>
      </c>
    </row>
    <row r="173" spans="1:18">
      <c r="A173" s="38" t="s">
        <v>189</v>
      </c>
      <c r="B173" s="41" t="str">
        <f>VLOOKUP(A173,All!A:AM,2,0)</f>
        <v>NORTH EAST</v>
      </c>
      <c r="C173" s="42">
        <f>VLOOKUP(A173,All!A:AM,11,0)</f>
        <v>45323</v>
      </c>
      <c r="D173" s="5"/>
      <c r="E173" s="17">
        <f>VLOOKUP(A173,All!A:AM,30,0)</f>
        <v>30.161395088288305</v>
      </c>
      <c r="F173" s="17">
        <f>VLOOKUP(A173,All!A:AM,28,0)</f>
        <v>11.069979999999999</v>
      </c>
      <c r="G173" s="17">
        <f>VLOOKUP(A173,All!A:AM,31,0)</f>
        <v>-46.153232106100432</v>
      </c>
      <c r="H173" s="17">
        <f>VLOOKUP(A173,All!A:AM,29,0)</f>
        <v>-8.0944000000000003</v>
      </c>
      <c r="I173" s="6">
        <f>VLOOKUP(A173,All!A:AM,33,0)</f>
        <v>43.918250717636361</v>
      </c>
      <c r="J173" s="6">
        <f>VLOOKUP(A173,All!A:AM,32,0)</f>
        <v>20.073100000000004</v>
      </c>
      <c r="K173" s="331"/>
      <c r="L173" s="331"/>
      <c r="M173" s="96"/>
      <c r="N173" s="96"/>
      <c r="O173" s="96"/>
      <c r="P173" s="96"/>
      <c r="Q173" s="96"/>
      <c r="R173" s="12">
        <f>VLOOKUP(A173,'SYS Allocations'!A:G,7,0)</f>
        <v>10.1</v>
      </c>
    </row>
    <row r="174" spans="1:18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</row>
    <row r="175" spans="1:18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</row>
    <row r="176" spans="1:18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0">
        <f>VLOOKUP(A176,All!A:AM,39,0)</f>
        <v>52.56111111111111</v>
      </c>
      <c r="L176" s="330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</row>
    <row r="177" spans="1:18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1"/>
      <c r="L177" s="331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</row>
    <row r="178" spans="1:18">
      <c r="A178" s="79" t="s">
        <v>194</v>
      </c>
      <c r="B178" s="41" t="str">
        <f>VLOOKUP(A178,All!A:AM,2,0)</f>
        <v>SOUTH WEST</v>
      </c>
      <c r="C178" s="42">
        <f>VLOOKUP(A178,All!A:AM,11,0)</f>
        <v>45323</v>
      </c>
      <c r="D178" s="5"/>
      <c r="E178" s="17">
        <f>VLOOKUP(A178,All!A:AM,30,0)</f>
        <v>66.860095920856935</v>
      </c>
      <c r="F178" s="17">
        <f>VLOOKUP(A178,All!A:AM,28,0)</f>
        <v>22.405459999999998</v>
      </c>
      <c r="G178" s="17">
        <f>VLOOKUP(A178,All!A:AM,31,0)</f>
        <v>58.966846113202813</v>
      </c>
      <c r="H178" s="17">
        <f>VLOOKUP(A178,All!A:AM,29,0)</f>
        <v>15.959199999999999</v>
      </c>
      <c r="I178" s="6">
        <f>VLOOKUP(A178,All!A:AM,33,0)</f>
        <v>51.67824074074074</v>
      </c>
      <c r="J178" s="6">
        <f>VLOOKUP(A178,All!A:AM,32,0)</f>
        <v>11.876899999999999</v>
      </c>
      <c r="K178" s="20">
        <f>VLOOKUP(A178,All!A:AM,39,0)</f>
        <v>46.587179487179498</v>
      </c>
      <c r="L178" s="20">
        <f>VLOOKUP(A178,All!A:AM,38,0)</f>
        <v>18.169000000000004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6.8</v>
      </c>
    </row>
    <row r="179" spans="1:18">
      <c r="A179" s="79" t="s">
        <v>195</v>
      </c>
      <c r="B179" s="41" t="str">
        <f>VLOOKUP(A179,All!A:AM,2,0)</f>
        <v>SOUTH WEST</v>
      </c>
      <c r="C179" s="42">
        <f>VLOOKUP(A179,All!A:AM,11,0)</f>
        <v>45323</v>
      </c>
      <c r="D179" s="19"/>
      <c r="E179" s="17">
        <f>VLOOKUP(A179,All!A:AM,30,0)</f>
        <v>70.978151625617414</v>
      </c>
      <c r="F179" s="17">
        <f>VLOOKUP(A179,All!A:AM,28,0)</f>
        <v>23.785459999999997</v>
      </c>
      <c r="G179" s="17">
        <f>VLOOKUP(A179,All!A:AM,31,0)</f>
        <v>64.065738766733048</v>
      </c>
      <c r="H179" s="17">
        <f>VLOOKUP(A179,All!A:AM,29,0)</f>
        <v>17.339199999999998</v>
      </c>
      <c r="I179" s="6">
        <f>VLOOKUP(A179,All!A:AM,33,0)</f>
        <v>57.682835561125032</v>
      </c>
      <c r="J179" s="6">
        <f>VLOOKUP(A179,All!A:AM,32,0)</f>
        <v>13.256899999999998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7.6000000000000005</v>
      </c>
    </row>
    <row r="180" spans="1:18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0">
        <f>VLOOKUP(A180,All!A:AM,39,0)</f>
        <v>72.180645161290315</v>
      </c>
      <c r="L180" s="330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</row>
    <row r="181" spans="1:18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2"/>
      <c r="L181" s="332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</row>
    <row r="182" spans="1:18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2"/>
      <c r="L182" s="332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</row>
    <row r="183" spans="1:18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1"/>
      <c r="L183" s="331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</row>
    <row r="184" spans="1:18">
      <c r="A184" s="37" t="s">
        <v>200</v>
      </c>
      <c r="B184" s="41" t="str">
        <f>VLOOKUP(A184,All!A:AM,2,0)</f>
        <v>SOUTH WEST</v>
      </c>
      <c r="C184" s="42">
        <f>VLOOKUP(A184,All!A:AM,11,0)</f>
        <v>45323</v>
      </c>
      <c r="D184" s="5"/>
      <c r="E184" s="17">
        <f>VLOOKUP(A184,All!A:AM,30,0)</f>
        <v>68.104053327524838</v>
      </c>
      <c r="F184" s="17">
        <f>VLOOKUP(A184,All!A:AM,28,0)</f>
        <v>31.516539999999999</v>
      </c>
      <c r="G184" s="17">
        <f>VLOOKUP(A184,All!A:AM,31,0)</f>
        <v>64.429358762106503</v>
      </c>
      <c r="H184" s="17">
        <f>VLOOKUP(A184,All!A:AM,29,0)</f>
        <v>26.735799999999998</v>
      </c>
      <c r="I184" s="6">
        <f>VLOOKUP(A184,All!A:AM,33,0)</f>
        <v>44.622651419653025</v>
      </c>
      <c r="J184" s="6">
        <f>VLOOKUP(A184,All!A:AM,32,0)</f>
        <v>11.893899999999997</v>
      </c>
      <c r="K184" s="20">
        <f>VLOOKUP(A184,All!A:AM,39,0)</f>
        <v>85.21362384172302</v>
      </c>
      <c r="L184" s="20">
        <f>VLOOKUP(A184,All!A:AM,38,0)</f>
        <v>85.06450000000001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11.000000000000002</v>
      </c>
    </row>
    <row r="185" spans="1:18">
      <c r="A185" s="37" t="s">
        <v>201</v>
      </c>
      <c r="B185" s="41" t="str">
        <f>VLOOKUP(A185,All!A:AM,2,0)</f>
        <v>SOUTH WEST</v>
      </c>
      <c r="C185" s="42">
        <f>VLOOKUP(A185,All!A:AM,11,0)</f>
        <v>45323</v>
      </c>
      <c r="D185" s="5"/>
      <c r="E185" s="17">
        <f>VLOOKUP(A185,All!A:AM,30,0)</f>
        <v>51.672578885771436</v>
      </c>
      <c r="F185" s="17">
        <f>VLOOKUP(A185,All!A:AM,28,0)</f>
        <v>23.91254</v>
      </c>
      <c r="G185" s="17">
        <f>VLOOKUP(A185,All!A:AM,31,0)</f>
        <v>46.104833442981665</v>
      </c>
      <c r="H185" s="17">
        <f>VLOOKUP(A185,All!A:AM,29,0)</f>
        <v>19.131799999999998</v>
      </c>
      <c r="I185" s="6">
        <f>VLOOKUP(A185,All!A:AM,33,0)</f>
        <v>16.094528483102224</v>
      </c>
      <c r="J185" s="6">
        <f>VLOOKUP(A185,All!A:AM,32,0)</f>
        <v>4.2898999999999994</v>
      </c>
      <c r="K185" s="20">
        <f>VLOOKUP(A185,All!A:AM,39,0)</f>
        <v>77.596293513648874</v>
      </c>
      <c r="L185" s="20">
        <f>VLOOKUP(A185,All!A:AM,38,0)</f>
        <v>77.460499999999996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</row>
    <row r="186" spans="1:18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</row>
    <row r="187" spans="1:18">
      <c r="A187" s="37" t="s">
        <v>203</v>
      </c>
      <c r="B187" s="41" t="str">
        <f>VLOOKUP(A187,All!A:AM,2,0)</f>
        <v>SOUTH WEST</v>
      </c>
      <c r="C187" s="42">
        <f>VLOOKUP(A187,All!A:AM,11,0)</f>
        <v>45323</v>
      </c>
      <c r="D187" s="5"/>
      <c r="E187" s="17">
        <f>VLOOKUP(A187,All!A:AM,30,0)</f>
        <v>52.25351212972442</v>
      </c>
      <c r="F187" s="17">
        <f>VLOOKUP(A187,All!A:AM,28,0)</f>
        <v>25.849060000000001</v>
      </c>
      <c r="G187" s="17">
        <f>VLOOKUP(A187,All!A:AM,31,0)</f>
        <v>41.003904015666031</v>
      </c>
      <c r="H187" s="17">
        <f>VLOOKUP(A187,All!A:AM,29,0)</f>
        <v>16.416200000000003</v>
      </c>
      <c r="I187" s="6">
        <f>VLOOKUP(A187,All!A:AM,33,0)</f>
        <v>33.566502407632413</v>
      </c>
      <c r="J187" s="6">
        <f>VLOOKUP(A187,All!A:AM,32,0)</f>
        <v>11.934099999999999</v>
      </c>
      <c r="K187" s="20">
        <f>VLOOKUP(A187,All!A:AM,39,0)</f>
        <v>45.57037037037037</v>
      </c>
      <c r="L187" s="20">
        <f>VLOOKUP(A187,All!A:AM,38,0)</f>
        <v>30.76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8.85</v>
      </c>
    </row>
    <row r="188" spans="1:18">
      <c r="A188" s="37" t="s">
        <v>204</v>
      </c>
      <c r="B188" s="41" t="str">
        <f>VLOOKUP(A188,All!A:AM,2,0)</f>
        <v>SOUTH WEST</v>
      </c>
      <c r="C188" s="42">
        <f>VLOOKUP(A188,All!A:AM,11,0)</f>
        <v>45323</v>
      </c>
      <c r="D188" s="5"/>
      <c r="E188" s="17">
        <f>VLOOKUP(A188,All!A:AM,30,0)</f>
        <v>73.47709332958145</v>
      </c>
      <c r="F188" s="17">
        <f>VLOOKUP(A188,All!A:AM,28,0)</f>
        <v>36.348059999999997</v>
      </c>
      <c r="G188" s="17">
        <f>VLOOKUP(A188,All!A:AM,31,0)</f>
        <v>67.227999010882783</v>
      </c>
      <c r="H188" s="17">
        <f>VLOOKUP(A188,All!A:AM,29,0)</f>
        <v>26.915199999999999</v>
      </c>
      <c r="I188" s="6">
        <f>VLOOKUP(A188,All!A:AM,33,0)</f>
        <v>63.096564061023344</v>
      </c>
      <c r="J188" s="6">
        <f>VLOOKUP(A188,All!A:AM,32,0)</f>
        <v>22.433099999999996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</row>
    <row r="189" spans="1:18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</row>
    <row r="190" spans="1:18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19.400249948076688</v>
      </c>
      <c r="F190" s="17">
        <f>VLOOKUP(A190,All!A:AM,28,0)</f>
        <v>4.3341399999999997</v>
      </c>
      <c r="G190" s="17">
        <f>VLOOKUP(A190,All!A:AM,31,0)</f>
        <v>4.8950790406321145</v>
      </c>
      <c r="H190" s="17">
        <f>VLOOKUP(A190,All!A:AM,29,0)</f>
        <v>0.92680000000000007</v>
      </c>
      <c r="I190" s="6">
        <f>VLOOKUP(A190,All!A:AM,33,0)</f>
        <v>57.990613824871033</v>
      </c>
      <c r="J190" s="6">
        <f>VLOOKUP(A190,All!A:AM,32,0)</f>
        <v>24.856539999999999</v>
      </c>
      <c r="K190" s="20">
        <f>VLOOKUP(A190,All!A:AM,39,0)</f>
        <v>51.98266666666666</v>
      </c>
      <c r="L190" s="20">
        <f>VLOOKUP(A190,All!A:AM,38,0)</f>
        <v>19.493499999999997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4</v>
      </c>
    </row>
    <row r="191" spans="1:18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</row>
    <row r="192" spans="1:18">
      <c r="A192" s="35" t="s">
        <v>208</v>
      </c>
      <c r="B192" s="41" t="str">
        <f>VLOOKUP(A192,All!A:AM,2,0)</f>
        <v>SCOTLAND</v>
      </c>
      <c r="C192" s="42">
        <f>VLOOKUP(A192,All!A:AM,11,0)</f>
        <v>45323</v>
      </c>
      <c r="D192" s="5"/>
      <c r="E192" s="17">
        <f>VLOOKUP(A192,All!A:AM,30,0)</f>
        <v>42.179638946433862</v>
      </c>
      <c r="F192" s="17">
        <f>VLOOKUP(A192,All!A:AM,28,0)</f>
        <v>5.7010000000000005</v>
      </c>
      <c r="G192" s="17">
        <f>VLOOKUP(A192,All!A:AM,31,0)</f>
        <v>24.529212940608403</v>
      </c>
      <c r="H192" s="17">
        <f>VLOOKUP(A192,All!A:AM,29,0)</f>
        <v>2.54</v>
      </c>
      <c r="I192" s="6">
        <f>VLOOKUP(A192,All!A:AM,33,0)</f>
        <v>27.348282016956624</v>
      </c>
      <c r="J192" s="6">
        <f>VLOOKUP(A192,All!A:AM,32,0)</f>
        <v>2.94179999999999</v>
      </c>
      <c r="K192" s="20">
        <f>VLOOKUP(A192,All!A:AM,39,0)</f>
        <v>30.533333333333339</v>
      </c>
      <c r="L192" s="20">
        <f>VLOOKUP(A192,All!A:AM,38,0)</f>
        <v>3.4350000000000005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</row>
    <row r="193" spans="1:18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</row>
    <row r="194" spans="1:18">
      <c r="A194" s="35" t="s">
        <v>210</v>
      </c>
      <c r="B194" s="41" t="str">
        <f>VLOOKUP(A194,All!A:AM,2,0)</f>
        <v>SOUTH</v>
      </c>
      <c r="C194" s="42">
        <f>VLOOKUP(A194,All!A:AM,11,0)</f>
        <v>45323</v>
      </c>
      <c r="D194" s="5"/>
      <c r="E194" s="17">
        <f>VLOOKUP(A194,All!A:AM,30,0)</f>
        <v>62.276871945950887</v>
      </c>
      <c r="F194" s="17">
        <f>VLOOKUP(A194,All!A:AM,28,0)</f>
        <v>33.78884</v>
      </c>
      <c r="G194" s="17">
        <f>VLOOKUP(A194,All!A:AM,31,0)</f>
        <v>41.722333270690612</v>
      </c>
      <c r="H194" s="17">
        <f>VLOOKUP(A194,All!A:AM,29,0)</f>
        <v>14.652799999999999</v>
      </c>
      <c r="I194" s="6">
        <f>VLOOKUP(A194,All!A:AM,33,0)</f>
        <v>61.622264224532344</v>
      </c>
      <c r="J194" s="6">
        <f>VLOOKUP(A194,All!A:AM,32,0)</f>
        <v>32.863399999999999</v>
      </c>
      <c r="K194" s="20">
        <f>VLOOKUP(A194,All!A:AM,39,0)</f>
        <v>54.517777777777781</v>
      </c>
      <c r="L194" s="20">
        <f>VLOOKUP(A194,All!A:AM,38,0)</f>
        <v>24.533000000000001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2.7</v>
      </c>
    </row>
    <row r="195" spans="1:18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0">
        <f>VLOOKUP(A195,All!A:AM,39,0)</f>
        <v>53.493333333333332</v>
      </c>
      <c r="L195" s="330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</row>
    <row r="196" spans="1:18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1"/>
      <c r="L196" s="331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</row>
    <row r="197" spans="1:18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</row>
    <row r="198" spans="1:18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</row>
    <row r="199" spans="1:18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</row>
    <row r="200" spans="1:18">
      <c r="A200" s="35" t="s">
        <v>216</v>
      </c>
      <c r="B200" s="41" t="str">
        <f>VLOOKUP(A200,All!A:AM,2,0)</f>
        <v>LONDON</v>
      </c>
      <c r="C200" s="42">
        <f>VLOOKUP(A200,All!A:AM,11,0)</f>
        <v>45323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</row>
    <row r="201" spans="1:18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</row>
    <row r="202" spans="1:18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</row>
    <row r="203" spans="1:18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0">
        <f>VLOOKUP(A203,All!A:AM,39,0)</f>
        <v>59.857542579075421</v>
      </c>
      <c r="L203" s="330">
        <f>VLOOKUP(A203,All!A:AM,38,0)</f>
        <v>246.0145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</row>
    <row r="204" spans="1:18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38.939461746577436</v>
      </c>
      <c r="F204" s="17">
        <f>VLOOKUP(A204,All!A:AM,28,0)</f>
        <v>38.284500000000001</v>
      </c>
      <c r="G204" s="17">
        <f>VLOOKUP(A204,All!A:AM,31,0)</f>
        <v>33.442168574517034</v>
      </c>
      <c r="H204" s="17">
        <f>VLOOKUP(A204,All!A:AM,29,0)</f>
        <v>30.164000000000001</v>
      </c>
      <c r="I204" s="6">
        <f>VLOOKUP(A204,All!A:AM,33,0)</f>
        <v>29.548068347181314</v>
      </c>
      <c r="J204" s="6">
        <f>VLOOKUP(A204,All!A:AM,32,0)</f>
        <v>25.178500000000199</v>
      </c>
      <c r="K204" s="331"/>
      <c r="L204" s="331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13</v>
      </c>
    </row>
    <row r="205" spans="1:18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</row>
    <row r="206" spans="1:18">
      <c r="A206" s="35" t="s">
        <v>222</v>
      </c>
      <c r="B206" s="41" t="str">
        <f>VLOOKUP(A206,All!A:AM,2,0)</f>
        <v>SOUTH WEST</v>
      </c>
      <c r="C206" s="42">
        <f>VLOOKUP(A206,All!A:AM,11,0)</f>
        <v>44413.4375</v>
      </c>
      <c r="D206" s="5"/>
      <c r="E206" s="17">
        <f>VLOOKUP(A206,All!A:AM,30,0)</f>
        <v>31.008348594363294</v>
      </c>
      <c r="F206" s="17">
        <f>VLOOKUP(A206,All!A:AM,28,0)</f>
        <v>8.4119199999999985</v>
      </c>
      <c r="G206" s="17">
        <f>VLOOKUP(A206,All!A:AM,31,0)</f>
        <v>24.057310031690125</v>
      </c>
      <c r="H206" s="17">
        <f>VLOOKUP(A206,All!A:AM,29,0)</f>
        <v>5.9288999999999996</v>
      </c>
      <c r="I206" s="6">
        <f>VLOOKUP(A206,All!A:AM,33,0)</f>
        <v>18.71655896046131</v>
      </c>
      <c r="J206" s="6">
        <f>VLOOKUP(A206,All!A:AM,32,0)</f>
        <v>4.3095999999999792</v>
      </c>
      <c r="K206" s="20">
        <f>VLOOKUP(A206,All!A:AM,39,0)</f>
        <v>50.090666666666671</v>
      </c>
      <c r="L206" s="20">
        <f>VLOOKUP(A206,All!A:AM,38,0)</f>
        <v>18.784000000000002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5.2</v>
      </c>
    </row>
    <row r="207" spans="1:18">
      <c r="A207" s="35" t="s">
        <v>223</v>
      </c>
      <c r="B207" s="41" t="str">
        <f>VLOOKUP(A207,All!A:AM,2,0)</f>
        <v>NORTH EAST</v>
      </c>
      <c r="C207" s="42">
        <f>VLOOKUP(A207,All!A:AM,11,0)</f>
        <v>45323</v>
      </c>
      <c r="D207" s="5"/>
      <c r="E207" s="17">
        <f>VLOOKUP(A207,All!A:AM,30,0)</f>
        <v>56.120789056517012</v>
      </c>
      <c r="F207" s="17">
        <f>VLOOKUP(A207,All!A:AM,28,0)</f>
        <v>25.971039999999999</v>
      </c>
      <c r="G207" s="17">
        <f>VLOOKUP(A207,All!A:AM,31,0)</f>
        <v>43.666895076609798</v>
      </c>
      <c r="H207" s="17">
        <f>VLOOKUP(A207,All!A:AM,29,0)</f>
        <v>15.7403</v>
      </c>
      <c r="I207" s="6">
        <f>VLOOKUP(A207,All!A:AM,33,0)</f>
        <v>42.886233742855858</v>
      </c>
      <c r="J207" s="6">
        <f>VLOOKUP(A207,All!A:AM,32,0)</f>
        <v>15.2476</v>
      </c>
      <c r="K207" s="20">
        <f>VLOOKUP(A207,All!A:AM,39,0)</f>
        <v>67.768253968253973</v>
      </c>
      <c r="L207" s="20">
        <f>VLOOKUP(A207,All!A:AM,38,0)</f>
        <v>42.694000000000003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</row>
    <row r="208" spans="1:18">
      <c r="A208" s="35" t="s">
        <v>224</v>
      </c>
      <c r="B208" s="41" t="str">
        <f>VLOOKUP(A208,All!A:AM,2,0)</f>
        <v>NORTH EAST</v>
      </c>
      <c r="C208" s="42">
        <f>VLOOKUP(A208,All!A:AM,11,0)</f>
        <v>45323</v>
      </c>
      <c r="D208" s="5"/>
      <c r="E208" s="17">
        <f>VLOOKUP(A208,All!A:AM,30,0)</f>
        <v>43.427583095202287</v>
      </c>
      <c r="F208" s="17">
        <f>VLOOKUP(A208,All!A:AM,28,0)</f>
        <v>17.324999999999999</v>
      </c>
      <c r="G208" s="17">
        <f>VLOOKUP(A208,All!A:AM,31,0)</f>
        <v>19.590273447938003</v>
      </c>
      <c r="H208" s="17">
        <f>VLOOKUP(A208,All!A:AM,29,0)</f>
        <v>5.4984999999999991</v>
      </c>
      <c r="I208" s="6">
        <f>VLOOKUP(A208,All!A:AM,33,0)</f>
        <v>36.521196165789121</v>
      </c>
      <c r="J208" s="6">
        <f>VLOOKUP(A208,All!A:AM,32,0)</f>
        <v>12.9846</v>
      </c>
      <c r="K208" s="20">
        <f>VLOOKUP(A208,All!A:AM,39,0)</f>
        <v>79.938666666666663</v>
      </c>
      <c r="L208" s="20">
        <f>VLOOKUP(A208,All!A:AM,38,0)</f>
        <v>89.930999999999997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</row>
    <row r="209" spans="1:18">
      <c r="A209" s="35" t="s">
        <v>225</v>
      </c>
      <c r="B209" s="41" t="str">
        <f>VLOOKUP(A209,All!A:AM,2,0)</f>
        <v>SOUTH</v>
      </c>
      <c r="C209" s="42">
        <f>VLOOKUP(A209,All!A:AM,11,0)</f>
        <v>45323</v>
      </c>
      <c r="D209" s="5"/>
      <c r="E209" s="17">
        <f>VLOOKUP(A209,All!A:AM,30,0)</f>
        <v>47.168155333856937</v>
      </c>
      <c r="F209" s="17">
        <f>VLOOKUP(A209,All!A:AM,28,0)</f>
        <v>27.09686</v>
      </c>
      <c r="G209" s="17">
        <f>VLOOKUP(A209,All!A:AM,31,0)</f>
        <v>22.395497734548396</v>
      </c>
      <c r="H209" s="17">
        <f>VLOOKUP(A209,All!A:AM,29,0)</f>
        <v>8.758700000000001</v>
      </c>
      <c r="I209" s="6">
        <f>VLOOKUP(A209,All!A:AM,33,0)</f>
        <v>43.089682432533792</v>
      </c>
      <c r="J209" s="6">
        <f>VLOOKUP(A209,All!A:AM,32,0)</f>
        <v>22.979900000000001</v>
      </c>
      <c r="K209" s="20">
        <f>VLOOKUP(A209,All!A:AM,39,0)</f>
        <v>64.029037037037028</v>
      </c>
      <c r="L209" s="20">
        <f>VLOOKUP(A209,All!A:AM,38,0)</f>
        <v>54.024499999999996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3.7</v>
      </c>
    </row>
    <row r="210" spans="1:18">
      <c r="A210" s="35" t="s">
        <v>226</v>
      </c>
      <c r="B210" s="41" t="str">
        <f>VLOOKUP(A210,All!A:AM,2,0)</f>
        <v>THAMES VALLEY</v>
      </c>
      <c r="C210" s="42">
        <f>VLOOKUP(A210,All!A:AM,11,0)</f>
        <v>45323</v>
      </c>
      <c r="D210" s="5"/>
      <c r="E210" s="17">
        <f>VLOOKUP(A210,All!A:AM,30,0)</f>
        <v>40.411023034571024</v>
      </c>
      <c r="F210" s="17">
        <f>VLOOKUP(A210,All!A:AM,28,0)</f>
        <v>21.925339999999998</v>
      </c>
      <c r="G210" s="17">
        <f>VLOOKUP(A210,All!A:AM,31,0)</f>
        <v>7.9422434068531151</v>
      </c>
      <c r="H210" s="17">
        <f>VLOOKUP(A210,All!A:AM,29,0)</f>
        <v>2.7892999999999999</v>
      </c>
      <c r="I210" s="6">
        <f>VLOOKUP(A210,All!A:AM,33,0)</f>
        <v>39.376978233802859</v>
      </c>
      <c r="J210" s="6">
        <f>VLOOKUP(A210,All!A:AM,32,0)</f>
        <v>20.9999</v>
      </c>
      <c r="K210" s="20">
        <f>VLOOKUP(A210,All!A:AM,39,0)</f>
        <v>48.68174603174603</v>
      </c>
      <c r="L210" s="20">
        <f>VLOOKUP(A210,All!A:AM,38,0)</f>
        <v>30.669499999999999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</row>
    <row r="211" spans="1:18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</row>
    <row r="212" spans="1:18">
      <c r="A212" s="35" t="s">
        <v>228</v>
      </c>
      <c r="B212" s="41" t="str">
        <f>VLOOKUP(A212,All!A:AM,2,0)</f>
        <v>NORTH EAST</v>
      </c>
      <c r="C212" s="42">
        <f>VLOOKUP(A212,All!A:AM,11,0)</f>
        <v>45323</v>
      </c>
      <c r="D212" s="5"/>
      <c r="E212" s="17">
        <f>VLOOKUP(A212,All!A:AM,30,0)</f>
        <v>62.334437086092727</v>
      </c>
      <c r="F212" s="17">
        <f>VLOOKUP(A212,All!A:AM,28,0)</f>
        <v>8.2077000000000009</v>
      </c>
      <c r="G212" s="17">
        <f>VLOOKUP(A212,All!A:AM,31,0)</f>
        <v>62.396694214876028</v>
      </c>
      <c r="H212" s="17">
        <f>VLOOKUP(A212,All!A:AM,29,0)</f>
        <v>8.2294999999999998</v>
      </c>
      <c r="I212" s="6">
        <f>VLOOKUP(A212,All!A:AM,33,0)</f>
        <v>5.1212886440159169</v>
      </c>
      <c r="J212" s="6">
        <f>VLOOKUP(A212,All!A:AM,32,0)</f>
        <v>0.26769999999999999</v>
      </c>
      <c r="K212" s="20">
        <f>VLOOKUP(A212,All!A:AM,39,0)</f>
        <v>88.978888888888889</v>
      </c>
      <c r="L212" s="20">
        <f>VLOOKUP(A212,All!A:AM,38,0)</f>
        <v>40.040500000000002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</row>
    <row r="213" spans="1:18">
      <c r="A213" s="35" t="s">
        <v>229</v>
      </c>
      <c r="B213" s="41" t="str">
        <f>VLOOKUP(A213,All!A:AM,2,0)</f>
        <v>MIDLANDS</v>
      </c>
      <c r="C213" s="42">
        <f>VLOOKUP(A213,All!A:AM,11,0)</f>
        <v>45323</v>
      </c>
      <c r="D213" s="5"/>
      <c r="E213" s="17">
        <f>VLOOKUP(A213,All!A:AM,30,0)</f>
        <v>52.159537709996421</v>
      </c>
      <c r="F213" s="17">
        <f>VLOOKUP(A213,All!A:AM,28,0)</f>
        <v>17.510999999999999</v>
      </c>
      <c r="G213" s="17">
        <f>VLOOKUP(A213,All!A:AM,31,0)</f>
        <v>20.352095214480535</v>
      </c>
      <c r="H213" s="17">
        <f>VLOOKUP(A213,All!A:AM,29,0)</f>
        <v>4.1040000000000001</v>
      </c>
      <c r="I213" s="6">
        <f>VLOOKUP(A213,All!A:AM,33,0)</f>
        <v>54.825952927411002</v>
      </c>
      <c r="J213" s="6">
        <f>VLOOKUP(A213,All!A:AM,32,0)</f>
        <v>19.492599999999999</v>
      </c>
      <c r="K213" s="20">
        <f>VLOOKUP(A213,All!A:AM,39,0)</f>
        <v>64.308888888888887</v>
      </c>
      <c r="L213" s="20">
        <f>VLOOKUP(A213,All!A:AM,38,0)</f>
        <v>28.939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</row>
    <row r="214" spans="1:18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36.742088757429407</v>
      </c>
      <c r="F214" s="17">
        <f>VLOOKUP(A214,All!A:AM,28,0)</f>
        <v>5.27684</v>
      </c>
      <c r="G214" s="17">
        <f>VLOOKUP(A214,All!A:AM,31,0)</f>
        <v>-4.577947118207037</v>
      </c>
      <c r="H214" s="17">
        <f>VLOOKUP(A214,All!A:AM,29,0)</f>
        <v>-0.39769999999999994</v>
      </c>
      <c r="I214" s="6">
        <f>VLOOKUP(A214,All!A:AM,33,0)</f>
        <v>37.035650920381457</v>
      </c>
      <c r="J214" s="6">
        <f>VLOOKUP(A214,All!A:AM,32,0)</f>
        <v>5.3437999999999999</v>
      </c>
      <c r="K214" s="20">
        <f>VLOOKUP(A214,All!A:AM,39,0)</f>
        <v>53.410256410256402</v>
      </c>
      <c r="L214" s="20">
        <f>VLOOKUP(A214,All!A:AM,38,0)</f>
        <v>10.414999999999999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2</v>
      </c>
    </row>
    <row r="215" spans="1:18">
      <c r="A215" s="35" t="s">
        <v>231</v>
      </c>
      <c r="B215" s="41" t="str">
        <f>VLOOKUP(A215,All!A:AM,2,0)</f>
        <v>MIDLANDS</v>
      </c>
      <c r="C215" s="42">
        <f>VLOOKUP(A215,All!A:AM,11,0)</f>
        <v>45323</v>
      </c>
      <c r="D215" s="5"/>
      <c r="E215" s="17">
        <f>VLOOKUP(A215,All!A:AM,30,0)</f>
        <v>28.480929007323954</v>
      </c>
      <c r="F215" s="17">
        <f>VLOOKUP(A215,All!A:AM,28,0)</f>
        <v>4.9993600000000002</v>
      </c>
      <c r="G215" s="17">
        <f>VLOOKUP(A215,All!A:AM,31,0)</f>
        <v>-41.665820327928046</v>
      </c>
      <c r="H215" s="17">
        <f>VLOOKUP(A215,All!A:AM,29,0)</f>
        <v>-3.6922999999999999</v>
      </c>
      <c r="I215" s="6">
        <f>VLOOKUP(A215,All!A:AM,33,0)</f>
        <v>40.572218435204171</v>
      </c>
      <c r="J215" s="6">
        <f>VLOOKUP(A215,All!A:AM,32,0)</f>
        <v>8.5708000000000109</v>
      </c>
      <c r="K215" s="20">
        <f>VLOOKUP(A215,All!A:AM,39,0)</f>
        <v>30.255555555555556</v>
      </c>
      <c r="L215" s="20">
        <f>VLOOKUP(A215,All!A:AM,38,0)</f>
        <v>5.4459999999999997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</row>
    <row r="216" spans="1:18">
      <c r="A216" s="40" t="s">
        <v>232</v>
      </c>
      <c r="B216" s="41" t="str">
        <f>VLOOKUP(A216,All!A:AM,2,0)</f>
        <v>LONDON</v>
      </c>
      <c r="C216" s="42">
        <f>VLOOKUP(A216,All!A:AM,11,0)</f>
        <v>45323</v>
      </c>
      <c r="D216" s="5"/>
      <c r="E216" s="17">
        <f>VLOOKUP(A216,All!A:AM,30,0)</f>
        <v>63.847275637582449</v>
      </c>
      <c r="F216" s="17">
        <f>VLOOKUP(A216,All!A:AM,28,0)</f>
        <v>28.52778</v>
      </c>
      <c r="G216" s="17">
        <f>VLOOKUP(A216,All!A:AM,31,0)</f>
        <v>48.435195648426586</v>
      </c>
      <c r="H216" s="17">
        <f>VLOOKUP(A216,All!A:AM,29,0)</f>
        <v>15.173100000000002</v>
      </c>
      <c r="I216" s="6">
        <f>VLOOKUP(A216,All!A:AM,33,0)</f>
        <v>59.597664925865892</v>
      </c>
      <c r="J216" s="6">
        <f>VLOOKUP(A216,All!A:AM,32,0)</f>
        <v>23.828099999999999</v>
      </c>
      <c r="K216" s="330">
        <f>VLOOKUP(A216,All!A:AM,39,0)</f>
        <v>45.63386666666667</v>
      </c>
      <c r="L216" s="330">
        <f>VLOOKUP(A216,All!A:AM,38,0)</f>
        <v>85.563500000000005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</row>
    <row r="217" spans="1:18">
      <c r="A217" s="40" t="s">
        <v>233</v>
      </c>
      <c r="B217" s="41" t="str">
        <f>VLOOKUP(A217,All!A:AM,2,0)</f>
        <v>LONDON</v>
      </c>
      <c r="C217" s="42">
        <f>VLOOKUP(A217,All!A:AM,11,0)</f>
        <v>45323</v>
      </c>
      <c r="D217" s="5"/>
      <c r="E217" s="17">
        <f>VLOOKUP(A217,All!A:AM,30,0)</f>
        <v>38.29172876304024</v>
      </c>
      <c r="F217" s="17">
        <f>VLOOKUP(A217,All!A:AM,28,0)</f>
        <v>26.885940000000002</v>
      </c>
      <c r="G217" s="17">
        <f>VLOOKUP(A217,All!A:AM,31,0)</f>
        <v>18.07502061005771</v>
      </c>
      <c r="H217" s="17">
        <f>VLOOKUP(A217,All!A:AM,29,0)</f>
        <v>9.5593000000000004</v>
      </c>
      <c r="I217" s="6">
        <f>VLOOKUP(A217,All!A:AM,33,0)</f>
        <v>22.968403311145387</v>
      </c>
      <c r="J217" s="6">
        <f>VLOOKUP(A217,All!A:AM,32,0)</f>
        <v>12.9189000000001</v>
      </c>
      <c r="K217" s="332"/>
      <c r="L217" s="332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</row>
    <row r="218" spans="1:18">
      <c r="A218" s="40" t="s">
        <v>234</v>
      </c>
      <c r="B218" s="41" t="str">
        <f>VLOOKUP(A218,All!A:AM,2,0)</f>
        <v>LONDON</v>
      </c>
      <c r="C218" s="42">
        <f>VLOOKUP(A218,All!A:AM,11,0)</f>
        <v>45323</v>
      </c>
      <c r="D218" s="5"/>
      <c r="E218" s="17">
        <f>VLOOKUP(A218,All!A:AM,30,0)</f>
        <v>57.088401198660328</v>
      </c>
      <c r="F218" s="17">
        <f>VLOOKUP(A218,All!A:AM,28,0)</f>
        <v>56.481619999999999</v>
      </c>
      <c r="G218" s="17">
        <f>VLOOKUP(A218,All!A:AM,31,0)</f>
        <v>53.330936975796789</v>
      </c>
      <c r="H218" s="17">
        <f>VLOOKUP(A218,All!A:AM,29,0)</f>
        <v>48.515900000000002</v>
      </c>
      <c r="I218" s="6">
        <f>VLOOKUP(A218,All!A:AM,33,0)</f>
        <v>20.391559035746965</v>
      </c>
      <c r="J218" s="6">
        <f>VLOOKUP(A218,All!A:AM,32,0)</f>
        <v>10.8749</v>
      </c>
      <c r="K218" s="331"/>
      <c r="L218" s="331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</row>
    <row r="219" spans="1:18">
      <c r="A219" s="37" t="s">
        <v>235</v>
      </c>
      <c r="B219" s="41" t="str">
        <f>VLOOKUP(A219,All!A:AM,2,0)</f>
        <v>LONDON</v>
      </c>
      <c r="C219" s="42">
        <f>VLOOKUP(A219,All!A:AM,11,0)</f>
        <v>45323</v>
      </c>
      <c r="D219" s="19"/>
      <c r="E219" s="17">
        <f>VLOOKUP(A219,All!A:AM,30,0)</f>
        <v>38.443730725131282</v>
      </c>
      <c r="F219" s="17">
        <f>VLOOKUP(A219,All!A:AM,28,0)</f>
        <v>38.035119999999999</v>
      </c>
      <c r="G219" s="17">
        <f>VLOOKUP(A219,All!A:AM,31,0)</f>
        <v>23.287712644452739</v>
      </c>
      <c r="H219" s="17">
        <f>VLOOKUP(A219,All!A:AM,29,0)</f>
        <v>18.488149999999997</v>
      </c>
      <c r="I219" s="6">
        <f>VLOOKUP(A219,All!A:AM,33,0)</f>
        <v>15.58272344200488</v>
      </c>
      <c r="J219" s="6">
        <f>VLOOKUP(A219,All!A:AM,32,0)</f>
        <v>11.242000000000003</v>
      </c>
      <c r="K219" s="330">
        <f>VLOOKUP(A219,All!A:AM,39,0)</f>
        <v>37.071485943775109</v>
      </c>
      <c r="L219" s="330">
        <f>VLOOKUP(A219,All!A:AM,38,0)</f>
        <v>138.46200000000002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14.249999999999998</v>
      </c>
    </row>
    <row r="220" spans="1:18">
      <c r="A220" s="37" t="s">
        <v>236</v>
      </c>
      <c r="B220" s="41" t="str">
        <f>VLOOKUP(A220,All!A:AM,2,0)</f>
        <v>LONDON</v>
      </c>
      <c r="C220" s="42">
        <f>VLOOKUP(A220,All!A:AM,11,0)</f>
        <v>45323</v>
      </c>
      <c r="D220" s="19"/>
      <c r="E220" s="17">
        <f>VLOOKUP(A220,All!A:AM,30,0)</f>
        <v>45.239806121141662</v>
      </c>
      <c r="F220" s="17">
        <f>VLOOKUP(A220,All!A:AM,28,0)</f>
        <v>45.480879999999999</v>
      </c>
      <c r="G220" s="17">
        <f>VLOOKUP(A220,All!A:AM,31,0)</f>
        <v>22.642943761144704</v>
      </c>
      <c r="H220" s="17">
        <f>VLOOKUP(A220,All!A:AM,29,0)</f>
        <v>16.114100000000001</v>
      </c>
      <c r="I220" s="6">
        <f>VLOOKUP(A220,All!A:AM,33,0)</f>
        <v>38.063093470140998</v>
      </c>
      <c r="J220" s="6">
        <f>VLOOKUP(A220,All!A:AM,32,0)</f>
        <v>33.8320000000002</v>
      </c>
      <c r="K220" s="332"/>
      <c r="L220" s="332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13.85</v>
      </c>
    </row>
    <row r="221" spans="1:18">
      <c r="A221" s="38" t="s">
        <v>237</v>
      </c>
      <c r="B221" s="41" t="str">
        <f>VLOOKUP(A221,All!A:AM,2,0)</f>
        <v>LONDON</v>
      </c>
      <c r="C221" s="42">
        <f>VLOOKUP(A221,All!A:AM,11,0)</f>
        <v>45337</v>
      </c>
      <c r="D221" s="19"/>
      <c r="E221" s="17">
        <f>VLOOKUP(A221,All!A:AM,30,0)</f>
        <v>53.892780657474709</v>
      </c>
      <c r="F221" s="17">
        <f>VLOOKUP(A221,All!A:AM,28,0)</f>
        <v>61.059960000000004</v>
      </c>
      <c r="G221" s="17">
        <f>VLOOKUP(A221,All!A:AM,31,0)</f>
        <v>31.466197521243391</v>
      </c>
      <c r="H221" s="17">
        <f>VLOOKUP(A221,All!A:AM,29,0)</f>
        <v>23.984699999999997</v>
      </c>
      <c r="I221" s="6">
        <f>VLOOKUP(A221,All!A:AM,33,0)</f>
        <v>51.023243778407902</v>
      </c>
      <c r="J221" s="6">
        <f>VLOOKUP(A221,All!A:AM,32,0)</f>
        <v>54.421800000000097</v>
      </c>
      <c r="K221" s="332"/>
      <c r="L221" s="332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8.5299999999999994</v>
      </c>
    </row>
    <row r="222" spans="1:18">
      <c r="A222" s="38" t="s">
        <v>238</v>
      </c>
      <c r="B222" s="41" t="str">
        <f>VLOOKUP(A222,All!A:AM,2,0)</f>
        <v>LONDON</v>
      </c>
      <c r="C222" s="42">
        <f>VLOOKUP(A222,All!A:AM,11,0)</f>
        <v>45337</v>
      </c>
      <c r="D222" s="19"/>
      <c r="E222" s="17">
        <f>VLOOKUP(A222,All!A:AM,30,0)</f>
        <v>41.001223665248126</v>
      </c>
      <c r="F222" s="17">
        <f>VLOOKUP(A222,All!A:AM,28,0)</f>
        <v>46.453960000000002</v>
      </c>
      <c r="G222" s="17">
        <f>VLOOKUP(A222,All!A:AM,31,0)</f>
        <v>-2.3288637967536885</v>
      </c>
      <c r="H222" s="17">
        <f>VLOOKUP(A222,All!A:AM,29,0)</f>
        <v>-1.5212999999999894</v>
      </c>
      <c r="I222" s="6">
        <f>VLOOKUP(A222,All!A:AM,33,0)</f>
        <v>46.282313384379002</v>
      </c>
      <c r="J222" s="6">
        <f>VLOOKUP(A222,All!A:AM,32,0)</f>
        <v>57.592600000000004</v>
      </c>
      <c r="K222" s="331"/>
      <c r="L222" s="331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8.5299999999999994</v>
      </c>
    </row>
    <row r="223" spans="1:18">
      <c r="A223" s="35" t="s">
        <v>239</v>
      </c>
      <c r="B223" s="41" t="str">
        <f>VLOOKUP(A223,All!A:AM,2,0)</f>
        <v>NORTHERN HOME COUNTIES</v>
      </c>
      <c r="C223" s="42">
        <f>VLOOKUP(A223,All!A:AM,11,0)</f>
        <v>45323</v>
      </c>
      <c r="D223" s="19"/>
      <c r="E223" s="17">
        <f>VLOOKUP(A223,All!A:AM,30,0)</f>
        <v>66.157476403378041</v>
      </c>
      <c r="F223" s="17">
        <f>VLOOKUP(A223,All!A:AM,28,0)</f>
        <v>11.61286</v>
      </c>
      <c r="G223" s="17">
        <f>VLOOKUP(A223,All!A:AM,31,0)</f>
        <v>71.921689850592472</v>
      </c>
      <c r="H223" s="17">
        <f>VLOOKUP(A223,All!A:AM,29,0)</f>
        <v>15.2164</v>
      </c>
      <c r="I223" s="6">
        <f>VLOOKUP(A223,All!A:AM,33,0)</f>
        <v>54.047928463133296</v>
      </c>
      <c r="J223" s="6">
        <f>VLOOKUP(A223,All!A:AM,32,0)</f>
        <v>6.9871000000000203</v>
      </c>
      <c r="K223" s="20">
        <f>VLOOKUP(A223,All!A:AM,39,0)</f>
        <v>47.195555555555551</v>
      </c>
      <c r="L223" s="20">
        <f>VLOOKUP(A223,All!A:AM,38,0)</f>
        <v>5.3094999999999999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</row>
    <row r="224" spans="1:18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</row>
    <row r="225" spans="1:18">
      <c r="A225" s="35" t="s">
        <v>241</v>
      </c>
      <c r="B225" s="41" t="str">
        <f>VLOOKUP(A225,All!A:AM,2,0)</f>
        <v>WALES</v>
      </c>
      <c r="C225" s="42">
        <f>VLOOKUP(A225,All!A:AM,11,0)</f>
        <v>44392.5</v>
      </c>
      <c r="D225" s="19"/>
      <c r="E225" s="17">
        <f>VLOOKUP(A225,All!A:AM,30,0)</f>
        <v>10.297009296858901</v>
      </c>
      <c r="F225" s="17">
        <f>VLOOKUP(A225,All!A:AM,28,0)</f>
        <v>1.4788400000000004</v>
      </c>
      <c r="G225" s="17">
        <f>VLOOKUP(A225,All!A:AM,31,0)</f>
        <v>-88.505040750332881</v>
      </c>
      <c r="H225" s="17">
        <f>VLOOKUP(A225,All!A:AM,29,0)</f>
        <v>-6.0487000000000002</v>
      </c>
      <c r="I225" s="6">
        <f>VLOOKUP(A225,All!A:AM,33,0)</f>
        <v>26.000597371565004</v>
      </c>
      <c r="J225" s="6">
        <f>VLOOKUP(A225,All!A:AM,32,0)</f>
        <v>4.5265999999999806</v>
      </c>
      <c r="K225" s="20">
        <f>VLOOKUP(A225,All!A:AM,39,0)</f>
        <v>57.056666666666672</v>
      </c>
      <c r="L225" s="20">
        <f>VLOOKUP(A225,All!A:AM,38,0)</f>
        <v>17.117000000000001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</row>
    <row r="226" spans="1:18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</row>
    <row r="227" spans="1:18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0">
        <f>VLOOKUP(A227,All!A:AM,39,0)</f>
        <v>17.569607843137256</v>
      </c>
      <c r="L227" s="330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</row>
    <row r="228" spans="1:18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2"/>
      <c r="L228" s="332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</row>
    <row r="229" spans="1:18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2"/>
      <c r="L229" s="332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</row>
    <row r="230" spans="1:18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1"/>
      <c r="L230" s="331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</row>
    <row r="231" spans="1:18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</row>
    <row r="232" spans="1:18">
      <c r="A232" s="37" t="s">
        <v>248</v>
      </c>
      <c r="B232" s="41" t="str">
        <f>VLOOKUP(A232,All!A:AM,2,0)</f>
        <v>NORTH EAST</v>
      </c>
      <c r="C232" s="42">
        <f>VLOOKUP(A232,All!A:AM,11,0)</f>
        <v>45323</v>
      </c>
      <c r="D232" s="19"/>
      <c r="E232" s="17">
        <f>VLOOKUP(A232,All!A:AM,30,0)</f>
        <v>49.211034240737959</v>
      </c>
      <c r="F232" s="17">
        <f>VLOOKUP(A232,All!A:AM,28,0)</f>
        <v>39.264499999999998</v>
      </c>
      <c r="G232" s="17">
        <f>VLOOKUP(A232,All!A:AM,31,0)</f>
        <v>39.548743193853966</v>
      </c>
      <c r="H232" s="17">
        <f>VLOOKUP(A232,All!A:AM,29,0)</f>
        <v>26.511500000000005</v>
      </c>
      <c r="I232" s="6">
        <f>VLOOKUP(A232,All!A:AM,33,0)</f>
        <v>24.014258284205631</v>
      </c>
      <c r="J232" s="6">
        <f>VLOOKUP(A232,All!A:AM,32,0)</f>
        <v>12.806900000000001</v>
      </c>
      <c r="K232" s="330">
        <f>VLOOKUP(A232,All!A:AM,39,0)</f>
        <v>12.889436234263826</v>
      </c>
      <c r="L232" s="330">
        <f>VLOOKUP(A232,All!A:AM,38,0)</f>
        <v>11.774500000000007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</row>
    <row r="233" spans="1:18">
      <c r="A233" s="37" t="s">
        <v>249</v>
      </c>
      <c r="B233" s="41" t="str">
        <f>VLOOKUP(A233,All!A:AM,2,0)</f>
        <v>NORTH EAST</v>
      </c>
      <c r="C233" s="42">
        <f>VLOOKUP(A233,All!A:AM,11,0)</f>
        <v>45323</v>
      </c>
      <c r="D233" s="19"/>
      <c r="E233" s="17">
        <f>VLOOKUP(A233,All!A:AM,30,0)</f>
        <v>51.055296535819934</v>
      </c>
      <c r="F233" s="17">
        <f>VLOOKUP(A233,All!A:AM,28,0)</f>
        <v>40.736000000000004</v>
      </c>
      <c r="G233" s="17">
        <f>VLOOKUP(A233,All!A:AM,31,0)</f>
        <v>41.743865145073478</v>
      </c>
      <c r="H233" s="17">
        <f>VLOOKUP(A233,All!A:AM,29,0)</f>
        <v>27.983000000000004</v>
      </c>
      <c r="I233" s="6">
        <f>VLOOKUP(A233,All!A:AM,33,0)</f>
        <v>26.773472540989754</v>
      </c>
      <c r="J233" s="6">
        <f>VLOOKUP(A233,All!A:AM,32,0)</f>
        <v>14.2784</v>
      </c>
      <c r="K233" s="331"/>
      <c r="L233" s="331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</row>
    <row r="234" spans="1:18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</row>
    <row r="235" spans="1:18">
      <c r="A235" s="98" t="s">
        <v>251</v>
      </c>
      <c r="B235" s="41" t="str">
        <f>VLOOKUP(A235,All!A:AM,2,0)</f>
        <v>SOUTH WEST</v>
      </c>
      <c r="C235" s="42">
        <f>VLOOKUP(A235,All!A:AM,11,0)</f>
        <v>45294</v>
      </c>
      <c r="D235" s="5"/>
      <c r="E235" s="17">
        <f>VLOOKUP(A235,All!A:AM,30,0)</f>
        <v>66.885460756719596</v>
      </c>
      <c r="F235" s="17">
        <f>VLOOKUP(A235,All!A:AM,28,0)</f>
        <v>22.413959999999999</v>
      </c>
      <c r="G235" s="17">
        <f>VLOOKUP(A235,All!A:AM,31,0)</f>
        <v>58.998252336068759</v>
      </c>
      <c r="H235" s="17">
        <f>VLOOKUP(A235,All!A:AM,29,0)</f>
        <v>15.967700000000001</v>
      </c>
      <c r="I235" s="6">
        <f>VLOOKUP(A235,All!A:AM,33,0)</f>
        <v>51.715225563909783</v>
      </c>
      <c r="J235" s="6">
        <f>VLOOKUP(A235,All!A:AM,32,0)</f>
        <v>11.885400000000001</v>
      </c>
      <c r="K235" s="20">
        <f>VLOOKUP(A235,All!A:AM,39,0)</f>
        <v>67.11999999999999</v>
      </c>
      <c r="L235" s="20">
        <f>VLOOKUP(A235,All!A:AM,38,0)</f>
        <v>22.652999999999999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7.5</v>
      </c>
    </row>
    <row r="236" spans="1:18">
      <c r="A236" s="98" t="s">
        <v>252</v>
      </c>
      <c r="B236" s="41" t="str">
        <f>VLOOKUP(A236,All!A:AM,2,0)</f>
        <v>SOUTH WEST</v>
      </c>
      <c r="C236" s="42">
        <f>VLOOKUP(A236,All!A:AM,11,0)</f>
        <v>45294</v>
      </c>
      <c r="D236" s="5"/>
      <c r="E236" s="17">
        <f>VLOOKUP(A236,All!A:AM,30,0)</f>
        <v>58.780649674017099</v>
      </c>
      <c r="F236" s="17">
        <f>VLOOKUP(A236,All!A:AM,28,0)</f>
        <v>19.697959999999998</v>
      </c>
      <c r="G236" s="17">
        <f>VLOOKUP(A236,All!A:AM,31,0)</f>
        <v>48.963040417961409</v>
      </c>
      <c r="H236" s="17">
        <f>VLOOKUP(A236,All!A:AM,29,0)</f>
        <v>13.2517</v>
      </c>
      <c r="I236" s="6">
        <f>VLOOKUP(A236,All!A:AM,33,0)</f>
        <v>39.897486772486772</v>
      </c>
      <c r="J236" s="6">
        <f>VLOOKUP(A236,All!A:AM,32,0)</f>
        <v>9.1693999999999996</v>
      </c>
      <c r="K236" s="20">
        <f>VLOOKUP(A236,All!A:AM,39,0)</f>
        <v>59.072592592592585</v>
      </c>
      <c r="L236" s="20">
        <f>VLOOKUP(A236,All!A:AM,38,0)</f>
        <v>19.936999999999998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7.6000000000000005</v>
      </c>
    </row>
    <row r="237" spans="1:18">
      <c r="A237" s="35" t="s">
        <v>253</v>
      </c>
      <c r="B237" s="41" t="str">
        <f>VLOOKUP(A237,All!A:AM,2,0)</f>
        <v>SOUTH WEST</v>
      </c>
      <c r="C237" s="42">
        <f>VLOOKUP(A237,All!A:AM,11,0)</f>
        <v>45323</v>
      </c>
      <c r="D237" s="5"/>
      <c r="E237" s="17">
        <f>VLOOKUP(A237,All!A:AM,30,0)</f>
        <v>68.579234972677597</v>
      </c>
      <c r="F237" s="17">
        <f>VLOOKUP(A237,All!A:AM,28,0)</f>
        <v>5.4718</v>
      </c>
      <c r="G237" s="17">
        <f>VLOOKUP(A237,All!A:AM,31,0)</f>
        <v>63.492063492063501</v>
      </c>
      <c r="H237" s="17">
        <f>VLOOKUP(A237,All!A:AM,29,0)</f>
        <v>4.3600000000000003</v>
      </c>
      <c r="I237" s="6">
        <f>VLOOKUP(A237,All!A:AM,33,0)</f>
        <v>55.170021315251212</v>
      </c>
      <c r="J237" s="6">
        <f>VLOOKUP(A237,All!A:AM,32,0)</f>
        <v>3.08524000000001</v>
      </c>
      <c r="K237" s="20">
        <f>VLOOKUP(A237,All!A:AM,39,0)</f>
        <v>86.072222222222223</v>
      </c>
      <c r="L237" s="20">
        <f>VLOOKUP(A237,All!A:AM,38,0)</f>
        <v>15.493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</row>
    <row r="238" spans="1:18">
      <c r="A238" s="35" t="s">
        <v>254</v>
      </c>
      <c r="B238" s="41" t="str">
        <f>VLOOKUP(A238,All!A:AM,2,0)</f>
        <v>LONDON</v>
      </c>
      <c r="C238" s="42">
        <f>VLOOKUP(A238,All!A:AM,11,0)</f>
        <v>44627.604166666701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</row>
    <row r="239" spans="1:18">
      <c r="A239" s="35" t="s">
        <v>255</v>
      </c>
      <c r="B239" s="41" t="str">
        <f>VLOOKUP(A239,All!A:AM,2,0)</f>
        <v>LONDON</v>
      </c>
      <c r="C239" s="42">
        <f>VLOOKUP(A239,All!A:AM,11,0)</f>
        <v>44692.583333333299</v>
      </c>
      <c r="D239" s="5"/>
      <c r="E239" s="17">
        <f>VLOOKUP(A239,All!A:AM,30,0)</f>
        <v>97.006815251427511</v>
      </c>
      <c r="F239" s="17">
        <f>VLOOKUP(A239,All!A:AM,28,0)</f>
        <v>137.77163999999999</v>
      </c>
      <c r="G239" s="17">
        <f>VLOOKUP(A239,All!A:AM,31,0)</f>
        <v>96.35070646579959</v>
      </c>
      <c r="H239" s="17">
        <f>VLOOKUP(A239,All!A:AM,29,0)</f>
        <v>112.2373</v>
      </c>
      <c r="I239" s="6">
        <f>VLOOKUP(A239,All!A:AM,33,0)</f>
        <v>95.553823523505429</v>
      </c>
      <c r="J239" s="6">
        <f>VLOOKUP(A239,All!A:AM,32,0)</f>
        <v>91.35924</v>
      </c>
      <c r="K239" s="20">
        <f>VLOOKUP(A239,All!A:AM,39,0)</f>
        <v>95.276666666666657</v>
      </c>
      <c r="L239" s="20">
        <f>VLOOKUP(A239,All!A:AM,38,0)</f>
        <v>85.748999999999995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</row>
    <row r="240" spans="1:18">
      <c r="A240" s="37" t="s">
        <v>256</v>
      </c>
      <c r="B240" s="41" t="str">
        <f>VLOOKUP(A240,All!A:AM,2,0)</f>
        <v>LONDON</v>
      </c>
      <c r="C240" s="42">
        <f>VLOOKUP(A240,All!A:AM,11,0)</f>
        <v>45323</v>
      </c>
      <c r="D240" s="5"/>
      <c r="E240" s="17">
        <f>VLOOKUP(A240,All!A:AM,30,0)</f>
        <v>41.268129482522625</v>
      </c>
      <c r="F240" s="17">
        <f>VLOOKUP(A240,All!A:AM,28,0)</f>
        <v>43.463659999999997</v>
      </c>
      <c r="G240" s="17">
        <f>VLOOKUP(A240,All!A:AM,31,0)</f>
        <v>19.823279784109438</v>
      </c>
      <c r="H240" s="17">
        <f>VLOOKUP(A240,All!A:AM,29,0)</f>
        <v>15.293699999999999</v>
      </c>
      <c r="I240" s="6">
        <f>VLOOKUP(A240,All!A:AM,33,0)</f>
        <v>30.407609918545681</v>
      </c>
      <c r="J240" s="6">
        <f>VLOOKUP(A240,All!A:AM,32,0)</f>
        <v>27.027500000000202</v>
      </c>
      <c r="K240" s="330">
        <f>VLOOKUP(A240,All!A:AM,39,0)</f>
        <v>-7.6182222222222249</v>
      </c>
      <c r="L240" s="330">
        <f>VLOOKUP(A240,All!A:AM,38,0)</f>
        <v>-8.5705000000000027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9.1549999999999994</v>
      </c>
    </row>
    <row r="241" spans="1:18">
      <c r="A241" s="37" t="s">
        <v>257</v>
      </c>
      <c r="B241" s="41" t="str">
        <f>VLOOKUP(A241,All!A:AM,2,0)</f>
        <v>LONDON</v>
      </c>
      <c r="C241" s="42">
        <f>VLOOKUP(A241,All!A:AM,11,0)</f>
        <v>45323</v>
      </c>
      <c r="D241" s="5"/>
      <c r="E241" s="17">
        <f>VLOOKUP(A241,All!A:AM,30,0)</f>
        <v>43.777145800006387</v>
      </c>
      <c r="F241" s="17">
        <f>VLOOKUP(A241,All!A:AM,28,0)</f>
        <v>46.106160000000003</v>
      </c>
      <c r="G241" s="17">
        <f>VLOOKUP(A241,All!A:AM,31,0)</f>
        <v>23.248416724778419</v>
      </c>
      <c r="H241" s="17">
        <f>VLOOKUP(A241,All!A:AM,29,0)</f>
        <v>17.936199999999999</v>
      </c>
      <c r="I241" s="6">
        <f>VLOOKUP(A241,All!A:AM,33,0)</f>
        <v>33.380585932226424</v>
      </c>
      <c r="J241" s="6">
        <f>VLOOKUP(A241,All!A:AM,32,0)</f>
        <v>29.670000000000201</v>
      </c>
      <c r="K241" s="331"/>
      <c r="L241" s="331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10.055</v>
      </c>
    </row>
    <row r="242" spans="1:18">
      <c r="A242" s="38" t="s">
        <v>258</v>
      </c>
      <c r="B242" s="41" t="str">
        <f>VLOOKUP(A242,All!A:AM,2,0)</f>
        <v>LONDON</v>
      </c>
      <c r="C242" s="42">
        <f>VLOOKUP(A242,All!A:AM,11,0)</f>
        <v>45323</v>
      </c>
      <c r="D242" s="5"/>
      <c r="E242" s="17">
        <f>VLOOKUP(A242,All!A:AM,30,0)</f>
        <v>66.6536873562398</v>
      </c>
      <c r="F242" s="17">
        <f>VLOOKUP(A242,All!A:AM,28,0)</f>
        <v>62.754339999999999</v>
      </c>
      <c r="G242" s="17">
        <f>VLOOKUP(A242,All!A:AM,31,0)</f>
        <v>67.442962575817447</v>
      </c>
      <c r="H242" s="17">
        <f>VLOOKUP(A242,All!A:AM,29,0)</f>
        <v>65.036799999999999</v>
      </c>
      <c r="I242" s="6">
        <f>VLOOKUP(A242,All!A:AM,33,0)</f>
        <v>8.4123900207706104</v>
      </c>
      <c r="J242" s="6">
        <f>VLOOKUP(A242,All!A:AM,32,0)</f>
        <v>2.8836999999999993</v>
      </c>
      <c r="K242" s="330">
        <f>VLOOKUP(A242,All!A:AM,39,0)</f>
        <v>31.080000000000005</v>
      </c>
      <c r="L242" s="330">
        <f>VLOOKUP(A242,All!A:AM,38,0)</f>
        <v>27.972000000000005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</row>
    <row r="243" spans="1:18">
      <c r="A243" s="38" t="s">
        <v>259</v>
      </c>
      <c r="B243" s="41" t="str">
        <f>VLOOKUP(A243,All!A:AM,2,0)</f>
        <v>LONDON</v>
      </c>
      <c r="C243" s="42">
        <f>VLOOKUP(A243,All!A:AM,11,0)</f>
        <v>45323</v>
      </c>
      <c r="D243" s="5"/>
      <c r="E243" s="17">
        <f>VLOOKUP(A243,All!A:AM,30,0)</f>
        <v>67.464097655396984</v>
      </c>
      <c r="F243" s="17">
        <f>VLOOKUP(A243,All!A:AM,28,0)</f>
        <v>63.517340000000004</v>
      </c>
      <c r="G243" s="17">
        <f>VLOOKUP(A243,All!A:AM,31,0)</f>
        <v>68.234191240901652</v>
      </c>
      <c r="H243" s="17">
        <f>VLOOKUP(A243,All!A:AM,29,0)</f>
        <v>65.799800000000005</v>
      </c>
      <c r="I243" s="6">
        <f>VLOOKUP(A243,All!A:AM,33,0)</f>
        <v>10.638229596956752</v>
      </c>
      <c r="J243" s="6">
        <f>VLOOKUP(A243,All!A:AM,32,0)</f>
        <v>3.6466999999999992</v>
      </c>
      <c r="K243" s="331"/>
      <c r="L243" s="331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</row>
    <row r="244" spans="1:18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</row>
    <row r="245" spans="1:18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45323</v>
      </c>
      <c r="D245" s="5"/>
      <c r="E245" s="17">
        <f>VLOOKUP(A245,All!A:AM,30,0)</f>
        <v>25.406493875436571</v>
      </c>
      <c r="F245" s="17">
        <f>VLOOKUP(A245,All!A:AM,28,0)</f>
        <v>1.2162799999999998</v>
      </c>
      <c r="G245" s="17">
        <f>VLOOKUP(A245,All!A:AM,31,0)</f>
        <v>7.8439682918460409</v>
      </c>
      <c r="H245" s="17">
        <f>VLOOKUP(A245,All!A:AM,29,0)</f>
        <v>0.30394983649999996</v>
      </c>
      <c r="I245" s="6">
        <f>VLOOKUP(A245,All!A:AM,33,0)</f>
        <v>15.218423551756887</v>
      </c>
      <c r="J245" s="6">
        <f>VLOOKUP(A245,All!A:AM,32,0)</f>
        <v>0.64100000000000001</v>
      </c>
      <c r="K245" s="20">
        <f>VLOOKUP(A245,All!A:AM,39,0)</f>
        <v>28.93532338308458</v>
      </c>
      <c r="L245" s="20">
        <f>VLOOKUP(A245,All!A:AM,38,0)</f>
        <v>1.4540000000000002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</row>
    <row r="246" spans="1:18">
      <c r="A246" s="35" t="s">
        <v>262</v>
      </c>
      <c r="B246" s="41" t="str">
        <f>VLOOKUP(A246,All!A:AM,2,0)</f>
        <v>NORTHERN IRELAND</v>
      </c>
      <c r="C246" s="42">
        <f>VLOOKUP(A246,All!A:AM,11,0)</f>
        <v>44720.583333333299</v>
      </c>
      <c r="D246" s="5"/>
      <c r="E246" s="17">
        <f>VLOOKUP(A246,All!A:AM,30,0)</f>
        <v>71.875</v>
      </c>
      <c r="F246" s="17">
        <f>VLOOKUP(A246,All!A:AM,28,0)</f>
        <v>1.2535000000000001</v>
      </c>
      <c r="G246" s="17">
        <f>VLOOKUP(A246,All!A:AM,31,0)</f>
        <v>10</v>
      </c>
      <c r="H246" s="17">
        <f>VLOOKUP(A246,All!A:AM,29,0)</f>
        <v>5.45E-2</v>
      </c>
      <c r="I246" s="6">
        <f>VLOOKUP(A246,All!A:AM,33,0)</f>
        <v>81.760374832663999</v>
      </c>
      <c r="J246" s="6">
        <f>VLOOKUP(A246,All!A:AM,32,0)</f>
        <v>2.1987000000000001</v>
      </c>
      <c r="K246" s="20">
        <f>VLOOKUP(A246,All!A:AM,39,0)</f>
        <v>91.825000000000003</v>
      </c>
      <c r="L246" s="20">
        <f>VLOOKUP(A246,All!A:AM,38,0)</f>
        <v>5.5095000000000001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</row>
    <row r="247" spans="1:18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</row>
    <row r="248" spans="1:18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72.216527428971702</v>
      </c>
      <c r="H248" s="17">
        <f>VLOOKUP(A248,All!A:AM,29,0)</f>
        <v>25.362300000000001</v>
      </c>
      <c r="I248" s="6">
        <f>VLOOKUP(A248,All!A:AM,33,0)</f>
        <v>81.703681202466143</v>
      </c>
      <c r="J248" s="6">
        <f>VLOOKUP(A248,All!A:AM,32,0)</f>
        <v>43.572900000000004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</row>
    <row r="249" spans="1:18">
      <c r="A249" s="35" t="s">
        <v>265</v>
      </c>
      <c r="B249" s="41" t="str">
        <f>VLOOKUP(A249,All!A:AM,2,0)</f>
        <v>NORTH WEST</v>
      </c>
      <c r="C249" s="42">
        <f>VLOOKUP(A249,All!A:AM,11,0)</f>
        <v>45323</v>
      </c>
      <c r="D249" s="5"/>
      <c r="E249" s="17">
        <f>VLOOKUP(A249,All!A:AM,30,0)</f>
        <v>93.883792048929664</v>
      </c>
      <c r="F249" s="17">
        <f>VLOOKUP(A249,All!A:AM,28,0)</f>
        <v>7.6750000000000007</v>
      </c>
      <c r="G249" s="17">
        <f>VLOOKUP(A249,All!A:AM,31,0)</f>
        <v>93.834467666954652</v>
      </c>
      <c r="H249" s="17">
        <f>VLOOKUP(A249,All!A:AM,29,0)</f>
        <v>7.6095998364999993</v>
      </c>
      <c r="I249" s="6">
        <f>VLOOKUP(A249,All!A:AM,33,0)</f>
        <v>88.129154795821464</v>
      </c>
      <c r="J249" s="6">
        <f>VLOOKUP(A249,All!A:AM,32,0)</f>
        <v>3.7119999999999997</v>
      </c>
      <c r="K249" s="20">
        <f>VLOOKUP(A249,All!A:AM,39,0)</f>
        <v>91.666666666666671</v>
      </c>
      <c r="L249" s="20">
        <f>VLOOKUP(A249,All!A:AM,38,0)</f>
        <v>5.5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0.5</v>
      </c>
    </row>
    <row r="250" spans="1:18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32.678065054211842</v>
      </c>
      <c r="F250" s="17">
        <f>VLOOKUP(A250,All!A:AM,28,0)</f>
        <v>19.590500000000002</v>
      </c>
      <c r="G250" s="17">
        <f>VLOOKUP(A250,All!A:AM,31,0)</f>
        <v>4.4462858833974561</v>
      </c>
      <c r="H250" s="17">
        <f>VLOOKUP(A250,All!A:AM,29,0)</f>
        <v>1.8780000000000001</v>
      </c>
      <c r="I250" s="6">
        <f>VLOOKUP(A250,All!A:AM,33,0)</f>
        <v>24.321775197635869</v>
      </c>
      <c r="J250" s="6">
        <f>VLOOKUP(A250,All!A:AM,32,0)</f>
        <v>12.9709</v>
      </c>
      <c r="K250" s="20">
        <f>VLOOKUP(A250,All!A:AM,39,0)</f>
        <v>31.009401709401711</v>
      </c>
      <c r="L250" s="20">
        <f>VLOOKUP(A250,All!A:AM,38,0)</f>
        <v>18.140499999999999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2.7</v>
      </c>
    </row>
    <row r="251" spans="1:18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</row>
    <row r="252" spans="1:18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</row>
    <row r="253" spans="1:18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</row>
    <row r="254" spans="1:18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</row>
    <row r="255" spans="1:18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</row>
    <row r="256" spans="1:18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</row>
    <row r="257" spans="1:18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</row>
    <row r="258" spans="1:18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</row>
    <row r="259" spans="1:18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</row>
    <row r="260" spans="1:18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</row>
    <row r="261" spans="1:18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</row>
    <row r="262" spans="1:18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</row>
    <row r="263" spans="1:18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</row>
    <row r="264" spans="1:18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</row>
    <row r="265" spans="1:18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</row>
    <row r="266" spans="1:18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</row>
    <row r="267" spans="1:18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</row>
    <row r="268" spans="1:18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</row>
    <row r="269" spans="1:18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</row>
    <row r="270" spans="1:18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</row>
    <row r="271" spans="1:18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</row>
  </sheetData>
  <sheetProtection algorithmName="SHA-512" hashValue="kKFrZF3EhxmC99GuwwhV6YR1qL5OgTed5PjLU1xGnss6LA4yEB1S0gFA1+QFp+2B3WqFVqgFxr0ICUqIL+VFbA==" saltValue="l+18tMZYABGGT616pWTIQA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24:K36 K40:K41 K43:K51 K53:K70 K72 K74:K76 K78:K104 K106:K109 K111:K117 K119 K121:K141 K143 K145:K154 K157 K159 K178:K180 K184:K195 K197:K203 K205:K216 K219 K223:K227 K231:K232 K234:K240 K242 K244:K255 D256:L270 K8:K12 K14:K22 K161:K172 K174:K176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Normal="100" workbookViewId="0">
      <selection activeCell="A2" sqref="A2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20.45">
      <c r="A2" s="323" t="s">
        <v>275</v>
      </c>
      <c r="B2" s="58">
        <f>VLOOKUP(A2,Space!A:D,4,0)</f>
        <v>69</v>
      </c>
      <c r="C2" s="80"/>
      <c r="F2" s="110"/>
      <c r="G2" s="52" t="s">
        <v>276</v>
      </c>
    </row>
    <row r="3" spans="1:25">
      <c r="F3" s="180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9" t="s">
        <v>282</v>
      </c>
      <c r="P5" s="108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SHTN03;DC SYS02</v>
      </c>
      <c r="B6" s="22">
        <f>VLOOKUP(A6,All!A:AM,30,0)</f>
        <v>47.168155333856937</v>
      </c>
      <c r="C6" s="54">
        <f>VLOOKUP(A6,All!A:AM,28,0)</f>
        <v>27.09686</v>
      </c>
      <c r="D6" s="54">
        <f>VLOOKUP(A6,All!A:AM,31,0)</f>
        <v>22.395497734548396</v>
      </c>
      <c r="E6" s="54">
        <f>VLOOKUP(A6,All!A:AM,29,0)</f>
        <v>8.758700000000001</v>
      </c>
      <c r="F6" s="55">
        <f>VLOOKUP(A6,All!A:AM,33,0)</f>
        <v>43.089682432533792</v>
      </c>
      <c r="G6" s="55">
        <f>VLOOKUP(A6,All!A:AM,32,0)</f>
        <v>22.979900000000001</v>
      </c>
      <c r="H6" s="94">
        <f>VLOOKUP(A6,All!A:AM,39,0)</f>
        <v>64.029037037037028</v>
      </c>
      <c r="I6" s="94">
        <f>VLOOKUP(A6,All!A:AM,38,0)</f>
        <v>54.024499999999996</v>
      </c>
      <c r="J6" s="34">
        <f>VLOOKUP(A6,'SYS Allocations'!A:G,2,0)</f>
        <v>0</v>
      </c>
      <c r="K6" s="34" t="str">
        <f>VLOOKUP(A6,'SYS Allocations'!A:G,3,0)</f>
        <v>RA</v>
      </c>
      <c r="L6" s="34">
        <f>VLOOKUP(A6,'SYS Allocations'!A:G,4,0)</f>
        <v>0</v>
      </c>
      <c r="M6" s="12">
        <f>VLOOKUP(A6,'SYS Allocations'!A:G,7,0)</f>
        <v>3.7</v>
      </c>
      <c r="N6" s="80"/>
      <c r="O6" s="109" t="str">
        <f>IF(VLOOKUP(A6,All!A:AO,41,0)="","",VLOOKUP(A6,All!A:AO,41,0))</f>
        <v>Single</v>
      </c>
      <c r="P6" s="109" t="str">
        <f>IF(VLOOKUP(A6,All!A:AN,40,0)="","",VLOOKUP(A6,All!A:AN,40,0))</f>
        <v/>
      </c>
      <c r="Q6" s="109" t="str">
        <f>IF(VLOOKUP(A6,All!A:AN,26,0)="","",VLOOKUP(A6,All!A:AN,26,0))</f>
        <v/>
      </c>
    </row>
    <row r="7" spans="1:25">
      <c r="A7" s="58" t="str" cm="1">
        <f t="array" ref="A7">IFERROR(INDEX(All!A$1:A$264,SMALL(IF(All!E$1:E$264='Site check'!A$2,ROW(All!A$1:A$264)),ROWS(A$2:A3))),"")</f>
        <v/>
      </c>
      <c r="B7" s="22" t="e">
        <f>VLOOKUP(A7,All!A:AM,30,0)</f>
        <v>#N/A</v>
      </c>
      <c r="C7" s="54" t="e">
        <f>VLOOKUP(A7,All!A:AM,28,0)</f>
        <v>#N/A</v>
      </c>
      <c r="D7" s="54" t="e">
        <f>VLOOKUP(A7,All!A:AM,31,0)</f>
        <v>#N/A</v>
      </c>
      <c r="E7" s="54" t="e">
        <f>VLOOKUP(A7,All!A:AM,29,0)</f>
        <v>#N/A</v>
      </c>
      <c r="F7" s="55" t="e">
        <f>VLOOKUP(A7,All!A:AM,33,0)</f>
        <v>#N/A</v>
      </c>
      <c r="G7" s="55" t="e">
        <f>VLOOKUP(A7,All!A:AM,32,0)</f>
        <v>#N/A</v>
      </c>
      <c r="H7" s="94" t="e">
        <f>VLOOKUP(A7,All!A:AM,39,0)</f>
        <v>#N/A</v>
      </c>
      <c r="I7" s="94" t="e">
        <f>VLOOKUP(A7,All!A:AM,38,0)</f>
        <v>#N/A</v>
      </c>
      <c r="J7" s="5" t="e">
        <f>VLOOKUP(A7,'SYS Allocations'!A:G,2,0)</f>
        <v>#N/A</v>
      </c>
      <c r="K7" s="5" t="e">
        <f>VLOOKUP(A7,'SYS Allocations'!A:G,3,0)</f>
        <v>#N/A</v>
      </c>
      <c r="L7" s="34" t="e">
        <f>VLOOKUP(A7,'SYS Allocations'!A:G,4,0)</f>
        <v>#N/A</v>
      </c>
      <c r="M7" s="12" t="e">
        <f>VLOOKUP(A7,'SYS Allocations'!A:G,7,0)</f>
        <v>#N/A</v>
      </c>
      <c r="N7" s="80"/>
      <c r="O7" s="109" t="e">
        <f>IF(VLOOKUP(A7,All!A:AO,41,0)="","",VLOOKUP(A7,All!A:AO,41,0))</f>
        <v>#N/A</v>
      </c>
      <c r="P7" s="109" t="e">
        <f>IF(VLOOKUP(A7,All!A:AN,40,0)="","",VLOOKUP(A7,All!A:AN,40,0))</f>
        <v>#N/A</v>
      </c>
      <c r="Q7" s="109" t="e">
        <f>IF(VLOOKUP(A7,All!A:AN,26,0)="","",VLOOKUP(A7,All!A:AN,26,0))</f>
        <v>#N/A</v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9" t="e">
        <f>IF(VLOOKUP(A8,All!A:AO,41,0)="","",VLOOKUP(A8,All!A:AO,41,0))</f>
        <v>#N/A</v>
      </c>
      <c r="P8" s="109" t="e">
        <f>IF(VLOOKUP(A8,All!A:AN,40,0)="","",VLOOKUP(A8,All!A:AN,40,0))</f>
        <v>#N/A</v>
      </c>
      <c r="Q8" s="109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9" t="e">
        <f>IF(VLOOKUP(A9,All!A:AO,41,0)="","",VLOOKUP(A9,All!A:AO,41,0))</f>
        <v>#N/A</v>
      </c>
      <c r="P9" s="109" t="e">
        <f>IF(VLOOKUP(A9,All!A:AN,40,0)="","",VLOOKUP(A9,All!A:AN,40,0))</f>
        <v>#N/A</v>
      </c>
      <c r="Q9" s="109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3" t="s">
        <v>285</v>
      </c>
      <c r="B12" s="333" t="s">
        <v>286</v>
      </c>
      <c r="C12" s="333" t="s">
        <v>271</v>
      </c>
      <c r="D12" s="335" t="s">
        <v>287</v>
      </c>
      <c r="E12" s="335" t="s">
        <v>288</v>
      </c>
      <c r="F12" s="335" t="s">
        <v>289</v>
      </c>
      <c r="G12" s="335" t="s">
        <v>290</v>
      </c>
      <c r="H12" s="335" t="s">
        <v>291</v>
      </c>
      <c r="I12" s="339" t="s">
        <v>292</v>
      </c>
      <c r="J12" s="340"/>
      <c r="K12" s="340"/>
      <c r="L12" s="340"/>
      <c r="M12" s="340"/>
      <c r="N12" s="341"/>
      <c r="O12" s="269"/>
      <c r="P12" s="336" t="s">
        <v>293</v>
      </c>
      <c r="Q12" s="337"/>
    </row>
    <row r="13" spans="1:25" ht="26.45">
      <c r="A13" s="334"/>
      <c r="B13" s="334"/>
      <c r="C13" s="334"/>
      <c r="D13" s="334"/>
      <c r="E13" s="334"/>
      <c r="F13" s="338"/>
      <c r="G13" s="338"/>
      <c r="H13" s="338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SHTN03_SEC_DD770_AD10</v>
      </c>
      <c r="B14" s="58" t="str">
        <f>VLOOKUP($A14,'DC Dist Allocations'!$A:$X,2,0)</f>
        <v>SHTN03;DC SYS02</v>
      </c>
      <c r="C14" s="58" t="str">
        <f>VLOOKUP($A14,'DC Dist Allocations'!$A:$X,3,0)</f>
        <v>SHTN03</v>
      </c>
      <c r="D14" s="58">
        <f>VLOOKUP($A14,'DC Dist Allocations'!$A:$X,5,0)</f>
        <v>210</v>
      </c>
      <c r="E14" s="58">
        <f>VLOOKUP($A14,'DC Dist Allocations'!$A:$X,6,0)</f>
        <v>210</v>
      </c>
      <c r="F14" s="61">
        <f>VLOOKUP($A14,'DC Dist Allocations'!$A:$X,7,0)</f>
        <v>45301</v>
      </c>
      <c r="G14" s="58">
        <f>VLOOKUP($A14,'DC Dist Allocations'!$A:$X,8,0)</f>
        <v>240</v>
      </c>
      <c r="H14" s="58">
        <f>VLOOKUP($A14,'DC Dist Allocations'!$A:$X,9,0)</f>
        <v>240</v>
      </c>
      <c r="I14" s="58">
        <f>VLOOKUP($A14,'DC Dist Allocations'!$A:$X,10,0)</f>
        <v>1</v>
      </c>
      <c r="J14" s="58">
        <f>VLOOKUP($A14,'DC Dist Allocations'!$A:$X,11,0)</f>
        <v>1</v>
      </c>
      <c r="K14" s="58">
        <f>VLOOKUP($A14,'DC Dist Allocations'!$A:$X,12,0)</f>
        <v>0</v>
      </c>
      <c r="L14" s="58">
        <f>VLOOKUP($A14,'DC Dist Allocations'!$A:$X,13,0)</f>
        <v>0</v>
      </c>
      <c r="M14" s="58">
        <f>VLOOKUP($A14,'DC Dist Allocations'!$A:$X,14,0)</f>
        <v>5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0</v>
      </c>
      <c r="Q14" s="60">
        <f>VLOOKUP(A14,'DC Dist Allocations'!$A:$BC,51,0)</f>
        <v>0</v>
      </c>
      <c r="T14" s="58">
        <f>G14</f>
        <v>240</v>
      </c>
      <c r="U14" s="58">
        <f>H14</f>
        <v>240</v>
      </c>
      <c r="V14" s="60">
        <f>SUM(G14/100)*90</f>
        <v>216</v>
      </c>
      <c r="W14" s="60">
        <f>SUM(G14/100)*75</f>
        <v>180</v>
      </c>
      <c r="X14" s="60">
        <f>SUM(G14/100)*74.99</f>
        <v>179.97599999999997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SHTN03_SEC_Eaton_ ANAP0</v>
      </c>
      <c r="B15" s="58" t="str">
        <f>VLOOKUP($A15,'DC Dist Allocations'!$A:$X,2,0)</f>
        <v>SHTN03;DC SYS02</v>
      </c>
      <c r="C15" s="58" t="str">
        <f>VLOOKUP($A15,'DC Dist Allocations'!$A:$X,3,0)</f>
        <v>SHTN03</v>
      </c>
      <c r="D15" s="58">
        <f>VLOOKUP($A15,'DC Dist Allocations'!$A:$X,5,0)</f>
        <v>30</v>
      </c>
      <c r="E15" s="58">
        <f>VLOOKUP($A15,'DC Dist Allocations'!$A:$X,6,0)</f>
        <v>27</v>
      </c>
      <c r="F15" s="61">
        <f>VLOOKUP($A15,'DC Dist Allocations'!$A:$X,7,0)</f>
        <v>44937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0</v>
      </c>
      <c r="J15" s="58">
        <f>VLOOKUP($A15,'DC Dist Allocations'!$A:$X,11,0)</f>
        <v>0</v>
      </c>
      <c r="K15" s="58">
        <f>VLOOKUP($A15,'DC Dist Allocations'!$A:$X,12,0)</f>
        <v>0</v>
      </c>
      <c r="L15" s="58">
        <f>VLOOKUP($A15,'DC Dist Allocations'!$A:$X,13,0)</f>
        <v>0</v>
      </c>
      <c r="M15" s="58">
        <f>VLOOKUP($A15,'DC Dist Allocations'!$A:$X,14,0)</f>
        <v>0</v>
      </c>
      <c r="N15" s="58">
        <f>VLOOKUP($A15,'DC Dist Allocations'!$A:$X,15,0)</f>
        <v>57</v>
      </c>
      <c r="O15" s="58">
        <f t="shared" si="0"/>
        <v>0</v>
      </c>
      <c r="P15" s="60">
        <f>VLOOKUP(A15,'DC Dist Allocations'!$A:$BC,50,0)</f>
        <v>7</v>
      </c>
      <c r="Q15" s="60">
        <f>VLOOKUP(A15,'DC Dist Allocations'!$A:$BC,51,0)</f>
        <v>145.83333333333334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/>
      </c>
      <c r="B16" s="58" t="e">
        <f>VLOOKUP($A16,'DC Dist Allocations'!$A:$X,2,0)</f>
        <v>#N/A</v>
      </c>
      <c r="C16" s="58" t="e">
        <f>VLOOKUP($A16,'DC Dist Allocations'!$A:$X,3,0)</f>
        <v>#N/A</v>
      </c>
      <c r="D16" s="58" t="e">
        <f>VLOOKUP($A16,'DC Dist Allocations'!$A:$X,5,0)</f>
        <v>#N/A</v>
      </c>
      <c r="E16" s="58" t="e">
        <f>VLOOKUP($A16,'DC Dist Allocations'!$A:$X,6,0)</f>
        <v>#N/A</v>
      </c>
      <c r="F16" s="61" t="e">
        <f>VLOOKUP($A16,'DC Dist Allocations'!$A:$X,7,0)</f>
        <v>#N/A</v>
      </c>
      <c r="G16" s="58" t="e">
        <f>VLOOKUP($A16,'DC Dist Allocations'!$A:$X,8,0)</f>
        <v>#N/A</v>
      </c>
      <c r="H16" s="58" t="e">
        <f>VLOOKUP($A16,'DC Dist Allocations'!$A:$X,9,0)</f>
        <v>#N/A</v>
      </c>
      <c r="I16" s="58" t="e">
        <f>VLOOKUP($A16,'DC Dist Allocations'!$A:$X,10,0)</f>
        <v>#N/A</v>
      </c>
      <c r="J16" s="58" t="e">
        <f>VLOOKUP($A16,'DC Dist Allocations'!$A:$X,11,0)</f>
        <v>#N/A</v>
      </c>
      <c r="K16" s="58" t="e">
        <f>VLOOKUP($A16,'DC Dist Allocations'!$A:$X,12,0)</f>
        <v>#N/A</v>
      </c>
      <c r="L16" s="58" t="e">
        <f>VLOOKUP($A16,'DC Dist Allocations'!$A:$X,13,0)</f>
        <v>#N/A</v>
      </c>
      <c r="M16" s="58" t="e">
        <f>VLOOKUP($A16,'DC Dist Allocations'!$A:$X,14,0)</f>
        <v>#N/A</v>
      </c>
      <c r="N16" s="58" t="e">
        <f>VLOOKUP($A16,'DC Dist Allocations'!$A:$X,15,0)</f>
        <v>#N/A</v>
      </c>
      <c r="O16" s="58">
        <f t="shared" si="0"/>
        <v>0</v>
      </c>
      <c r="P16" s="60" t="e">
        <f>VLOOKUP(A16,'DC Dist Allocations'!$A:$BC,50,0)</f>
        <v>#N/A</v>
      </c>
      <c r="Q16" s="60" t="e">
        <f>VLOOKUP(A16,'DC Dist Allocations'!$A:$BC,51,0)</f>
        <v>#N/A</v>
      </c>
      <c r="T16" s="58" t="e">
        <f t="shared" si="1"/>
        <v>#N/A</v>
      </c>
      <c r="U16" s="58" t="e">
        <f t="shared" si="2"/>
        <v>#N/A</v>
      </c>
      <c r="V16" s="60" t="e">
        <f t="shared" si="3"/>
        <v>#N/A</v>
      </c>
      <c r="W16" s="60" t="e">
        <f t="shared" si="4"/>
        <v>#N/A</v>
      </c>
      <c r="X16" s="60" t="e">
        <f t="shared" si="5"/>
        <v>#N/A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/>
      </c>
      <c r="B17" s="58" t="e">
        <f>VLOOKUP($A17,'DC Dist Allocations'!$A:$X,2,0)</f>
        <v>#N/A</v>
      </c>
      <c r="C17" s="58" t="e">
        <f>VLOOKUP($A17,'DC Dist Allocations'!$A:$X,3,0)</f>
        <v>#N/A</v>
      </c>
      <c r="D17" s="58" t="e">
        <f>VLOOKUP($A17,'DC Dist Allocations'!$A:$X,5,0)</f>
        <v>#N/A</v>
      </c>
      <c r="E17" s="58" t="e">
        <f>VLOOKUP($A17,'DC Dist Allocations'!$A:$X,6,0)</f>
        <v>#N/A</v>
      </c>
      <c r="F17" s="61" t="e">
        <f>VLOOKUP($A17,'DC Dist Allocations'!$A:$X,7,0)</f>
        <v>#N/A</v>
      </c>
      <c r="G17" s="58" t="e">
        <f>VLOOKUP($A17,'DC Dist Allocations'!$A:$X,8,0)</f>
        <v>#N/A</v>
      </c>
      <c r="H17" s="58" t="e">
        <f>VLOOKUP($A17,'DC Dist Allocations'!$A:$X,9,0)</f>
        <v>#N/A</v>
      </c>
      <c r="I17" s="58" t="e">
        <f>VLOOKUP($A17,'DC Dist Allocations'!$A:$X,10,0)</f>
        <v>#N/A</v>
      </c>
      <c r="J17" s="58" t="e">
        <f>VLOOKUP($A17,'DC Dist Allocations'!$A:$X,11,0)</f>
        <v>#N/A</v>
      </c>
      <c r="K17" s="58" t="e">
        <f>VLOOKUP($A17,'DC Dist Allocations'!$A:$X,12,0)</f>
        <v>#N/A</v>
      </c>
      <c r="L17" s="58" t="e">
        <f>VLOOKUP($A17,'DC Dist Allocations'!$A:$X,13,0)</f>
        <v>#N/A</v>
      </c>
      <c r="M17" s="58" t="e">
        <f>VLOOKUP($A17,'DC Dist Allocations'!$A:$X,14,0)</f>
        <v>#N/A</v>
      </c>
      <c r="N17" s="58" t="e">
        <f>VLOOKUP($A17,'DC Dist Allocations'!$A:$X,15,0)</f>
        <v>#N/A</v>
      </c>
      <c r="O17" s="58">
        <f t="shared" si="0"/>
        <v>0</v>
      </c>
      <c r="P17" s="60" t="e">
        <f>VLOOKUP(A17,'DC Dist Allocations'!$A:$BC,50,0)</f>
        <v>#N/A</v>
      </c>
      <c r="Q17" s="60" t="e">
        <f>VLOOKUP(A17,'DC Dist Allocations'!$A:$BC,51,0)</f>
        <v>#N/A</v>
      </c>
      <c r="T17" s="58" t="e">
        <f t="shared" si="1"/>
        <v>#N/A</v>
      </c>
      <c r="U17" s="58" t="e">
        <f t="shared" si="2"/>
        <v>#N/A</v>
      </c>
      <c r="V17" s="60" t="e">
        <f t="shared" si="3"/>
        <v>#N/A</v>
      </c>
      <c r="W17" s="60" t="e">
        <f t="shared" si="4"/>
        <v>#N/A</v>
      </c>
      <c r="X17" s="60" t="e">
        <f t="shared" si="5"/>
        <v>#N/A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/>
      </c>
      <c r="B18" s="58" t="e">
        <f>VLOOKUP($A18,'DC Dist Allocations'!$A:$X,2,0)</f>
        <v>#N/A</v>
      </c>
      <c r="C18" s="58" t="e">
        <f>VLOOKUP($A18,'DC Dist Allocations'!$A:$X,3,0)</f>
        <v>#N/A</v>
      </c>
      <c r="D18" s="58" t="e">
        <f>VLOOKUP($A18,'DC Dist Allocations'!$A:$X,5,0)</f>
        <v>#N/A</v>
      </c>
      <c r="E18" s="58" t="e">
        <f>VLOOKUP($A18,'DC Dist Allocations'!$A:$X,6,0)</f>
        <v>#N/A</v>
      </c>
      <c r="F18" s="61" t="e">
        <f>VLOOKUP($A18,'DC Dist Allocations'!$A:$X,7,0)</f>
        <v>#N/A</v>
      </c>
      <c r="G18" s="58" t="e">
        <f>VLOOKUP($A18,'DC Dist Allocations'!$A:$X,8,0)</f>
        <v>#N/A</v>
      </c>
      <c r="H18" s="58" t="e">
        <f>VLOOKUP($A18,'DC Dist Allocations'!$A:$X,9,0)</f>
        <v>#N/A</v>
      </c>
      <c r="I18" s="58" t="e">
        <f>VLOOKUP($A18,'DC Dist Allocations'!$A:$X,10,0)</f>
        <v>#N/A</v>
      </c>
      <c r="J18" s="58" t="e">
        <f>VLOOKUP($A18,'DC Dist Allocations'!$A:$X,11,0)</f>
        <v>#N/A</v>
      </c>
      <c r="K18" s="58" t="e">
        <f>VLOOKUP($A18,'DC Dist Allocations'!$A:$X,12,0)</f>
        <v>#N/A</v>
      </c>
      <c r="L18" s="58" t="e">
        <f>VLOOKUP($A18,'DC Dist Allocations'!$A:$X,13,0)</f>
        <v>#N/A</v>
      </c>
      <c r="M18" s="58" t="e">
        <f>VLOOKUP($A18,'DC Dist Allocations'!$A:$X,14,0)</f>
        <v>#N/A</v>
      </c>
      <c r="N18" s="58" t="e">
        <f>VLOOKUP($A18,'DC Dist Allocations'!$A:$X,15,0)</f>
        <v>#N/A</v>
      </c>
      <c r="O18" s="58">
        <f t="shared" si="0"/>
        <v>0</v>
      </c>
      <c r="P18" s="60" t="e">
        <f>VLOOKUP(A18,'DC Dist Allocations'!$A:$BC,50,0)</f>
        <v>#N/A</v>
      </c>
      <c r="Q18" s="60" t="e">
        <f>VLOOKUP(A18,'DC Dist Allocations'!$A:$BC,51,0)</f>
        <v>#N/A</v>
      </c>
      <c r="T18" s="58" t="e">
        <f t="shared" si="1"/>
        <v>#N/A</v>
      </c>
      <c r="U18" s="58" t="e">
        <f t="shared" si="2"/>
        <v>#N/A</v>
      </c>
      <c r="V18" s="60" t="e">
        <f t="shared" si="3"/>
        <v>#N/A</v>
      </c>
      <c r="W18" s="60" t="e">
        <f t="shared" si="4"/>
        <v>#N/A</v>
      </c>
      <c r="X18" s="60" t="e">
        <f t="shared" si="5"/>
        <v>#N/A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5" operator="lessThan">
      <formula>0</formula>
    </cfRule>
    <cfRule type="cellIs" dxfId="161" priority="207" operator="between">
      <formula>0</formula>
      <formula>9.999999999999</formula>
    </cfRule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</conditionalFormatting>
  <conditionalFormatting sqref="D14:D47">
    <cfRule type="cellIs" dxfId="158" priority="54" operator="between">
      <formula>U14-1</formula>
      <formula>V14</formula>
    </cfRule>
    <cfRule type="cellIs" dxfId="157" priority="55" operator="between">
      <formula>W14</formula>
      <formula>V14-1</formula>
    </cfRule>
    <cfRule type="cellIs" dxfId="156" priority="56" operator="between">
      <formula>0</formula>
      <formula>X14-1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38" stopIfTrue="1" operator="greaterThan">
      <formula>T14</formula>
    </cfRule>
    <cfRule type="cellIs" dxfId="140" priority="39" stopIfTrue="1" operator="between">
      <formula>U14-1</formula>
      <formula>V14</formula>
    </cfRule>
    <cfRule type="cellIs" dxfId="139" priority="40" stopIfTrue="1" operator="between">
      <formula>W14</formula>
      <formula>V14-0.5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3EBBB2-FD57-43F9-92D3-292D65B28D7E}">
          <x14:formula1>
            <xm:f>Data!$A$2:$A$207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I85" activePane="bottomRight" state="frozen"/>
      <selection pane="bottomRight" activeCell="K86" sqref="K86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9.28515625" style="2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9.28515625" style="2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4" t="s">
        <v>301</v>
      </c>
      <c r="E1" s="344"/>
      <c r="F1" s="344"/>
      <c r="G1" s="344"/>
      <c r="H1" s="344"/>
    </row>
    <row r="2" spans="1:48">
      <c r="A2" s="27" t="s">
        <v>3</v>
      </c>
      <c r="B2" s="47"/>
      <c r="C2" s="47"/>
      <c r="D2" s="321">
        <v>63</v>
      </c>
      <c r="E2" s="275" t="s">
        <v>302</v>
      </c>
      <c r="F2" s="275"/>
      <c r="G2" s="277">
        <f>SUM(D2*54.5)/1000</f>
        <v>3.4335</v>
      </c>
      <c r="H2" s="276" t="s">
        <v>303</v>
      </c>
      <c r="I2" s="272" t="s">
        <v>304</v>
      </c>
      <c r="J2" s="342" t="s">
        <v>305</v>
      </c>
      <c r="K2" s="343"/>
      <c r="L2" s="343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9" t="s">
        <v>307</v>
      </c>
      <c r="K3" s="273"/>
      <c r="L3" s="279"/>
      <c r="M3" s="273"/>
      <c r="N3" s="279"/>
      <c r="O3" s="271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8" t="s">
        <v>22</v>
      </c>
      <c r="H7" s="11" t="s">
        <v>309</v>
      </c>
      <c r="I7" s="13" t="s">
        <v>310</v>
      </c>
      <c r="J7" s="280" t="s">
        <v>311</v>
      </c>
      <c r="K7" s="13" t="s">
        <v>310</v>
      </c>
      <c r="L7" s="280" t="s">
        <v>311</v>
      </c>
      <c r="M7" s="13" t="s">
        <v>310</v>
      </c>
      <c r="N7" s="280" t="s">
        <v>311</v>
      </c>
      <c r="O7" s="13" t="s">
        <v>310</v>
      </c>
      <c r="P7" s="280" t="s">
        <v>311</v>
      </c>
      <c r="Q7" s="13" t="s">
        <v>310</v>
      </c>
      <c r="R7" s="280" t="s">
        <v>311</v>
      </c>
      <c r="S7" s="13" t="s">
        <v>310</v>
      </c>
      <c r="T7" s="280" t="s">
        <v>311</v>
      </c>
      <c r="U7" s="13" t="s">
        <v>310</v>
      </c>
      <c r="V7" s="280" t="s">
        <v>311</v>
      </c>
      <c r="W7" s="13" t="s">
        <v>310</v>
      </c>
      <c r="X7" s="280" t="s">
        <v>311</v>
      </c>
      <c r="Y7" s="13" t="s">
        <v>310</v>
      </c>
      <c r="Z7" s="280" t="s">
        <v>311</v>
      </c>
      <c r="AA7" s="13" t="s">
        <v>310</v>
      </c>
      <c r="AB7" s="280" t="s">
        <v>311</v>
      </c>
      <c r="AC7" s="13" t="s">
        <v>310</v>
      </c>
      <c r="AD7" s="280" t="s">
        <v>311</v>
      </c>
      <c r="AE7" s="13" t="s">
        <v>310</v>
      </c>
      <c r="AF7" s="280" t="s">
        <v>311</v>
      </c>
      <c r="AG7" s="13" t="s">
        <v>310</v>
      </c>
      <c r="AH7" s="280" t="s">
        <v>311</v>
      </c>
      <c r="AI7" s="13" t="s">
        <v>310</v>
      </c>
      <c r="AJ7" s="280" t="s">
        <v>311</v>
      </c>
      <c r="AK7" s="13" t="s">
        <v>310</v>
      </c>
      <c r="AL7" s="280" t="s">
        <v>311</v>
      </c>
      <c r="AM7" s="13" t="s">
        <v>310</v>
      </c>
      <c r="AN7" s="280" t="s">
        <v>311</v>
      </c>
      <c r="AO7" s="13" t="s">
        <v>310</v>
      </c>
      <c r="AP7" s="280" t="s">
        <v>311</v>
      </c>
      <c r="AQ7" s="13" t="s">
        <v>310</v>
      </c>
      <c r="AR7" s="280" t="s">
        <v>311</v>
      </c>
      <c r="AS7" s="13" t="s">
        <v>310</v>
      </c>
      <c r="AT7" s="280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2">
        <f t="shared" ref="G8:G72" si="0">SUM(J8,L8,N8,P8,R8,T8,V8,X8,Z8,AB8,AD8,AF8,AH8,AJ8,AL8,AN8,AP8,AR8,AT8,AV8)</f>
        <v>0</v>
      </c>
      <c r="H8" s="137">
        <f>SUM(G8*1000)/54.5</f>
        <v>0</v>
      </c>
      <c r="I8" s="81"/>
      <c r="J8" s="281"/>
      <c r="K8" s="81"/>
      <c r="L8" s="281"/>
      <c r="M8" s="81"/>
      <c r="N8" s="281"/>
      <c r="O8" s="81"/>
      <c r="P8" s="281"/>
      <c r="Q8" s="81"/>
      <c r="R8" s="281"/>
      <c r="S8" s="81"/>
      <c r="T8" s="281"/>
      <c r="U8" s="81"/>
      <c r="V8" s="281"/>
      <c r="W8" s="81"/>
      <c r="X8" s="281"/>
      <c r="Y8" s="81"/>
      <c r="Z8" s="281"/>
      <c r="AA8" s="81"/>
      <c r="AB8" s="281"/>
      <c r="AC8" s="81"/>
      <c r="AD8" s="281"/>
      <c r="AE8" s="81"/>
      <c r="AF8" s="281"/>
      <c r="AG8" s="81"/>
      <c r="AH8" s="281"/>
      <c r="AI8" s="81"/>
      <c r="AJ8" s="281"/>
      <c r="AK8" s="81"/>
      <c r="AL8" s="281"/>
      <c r="AM8" s="81"/>
      <c r="AN8" s="281"/>
      <c r="AO8" s="81"/>
      <c r="AP8" s="281"/>
      <c r="AQ8" s="81"/>
      <c r="AR8" s="281"/>
      <c r="AS8" s="81"/>
      <c r="AT8" s="281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2">
        <f t="shared" si="0"/>
        <v>6.5</v>
      </c>
      <c r="H9" s="137">
        <f t="shared" ref="H9:H74" si="1">SUM(G9*1000)/54.5</f>
        <v>119.26605504587155</v>
      </c>
      <c r="I9" s="81" t="s">
        <v>313</v>
      </c>
      <c r="J9" s="281">
        <v>0.5</v>
      </c>
      <c r="K9" s="87" t="s">
        <v>314</v>
      </c>
      <c r="L9" s="283">
        <v>2</v>
      </c>
      <c r="M9" s="87" t="s">
        <v>315</v>
      </c>
      <c r="N9" s="283">
        <v>2</v>
      </c>
      <c r="O9" s="87" t="s">
        <v>316</v>
      </c>
      <c r="P9" s="281">
        <v>2</v>
      </c>
      <c r="Q9" s="81"/>
      <c r="R9" s="281"/>
      <c r="S9" s="81"/>
      <c r="T9" s="281"/>
      <c r="U9" s="81"/>
      <c r="V9" s="281"/>
      <c r="W9" s="81"/>
      <c r="X9" s="281"/>
      <c r="Y9" s="81"/>
      <c r="Z9" s="281"/>
      <c r="AA9" s="81"/>
      <c r="AB9" s="281"/>
      <c r="AC9" s="81"/>
      <c r="AD9" s="281"/>
      <c r="AE9" s="81"/>
      <c r="AF9" s="281"/>
      <c r="AG9" s="81"/>
      <c r="AH9" s="281"/>
      <c r="AI9" s="81"/>
      <c r="AJ9" s="281"/>
      <c r="AK9" s="81"/>
      <c r="AL9" s="281"/>
      <c r="AM9" s="81"/>
      <c r="AN9" s="281"/>
      <c r="AO9" s="81"/>
      <c r="AP9" s="281"/>
      <c r="AQ9" s="81"/>
      <c r="AR9" s="281"/>
      <c r="AS9" s="81"/>
      <c r="AT9" s="281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2">
        <f t="shared" si="0"/>
        <v>2</v>
      </c>
      <c r="H10" s="137">
        <f t="shared" si="1"/>
        <v>36.697247706422019</v>
      </c>
      <c r="I10" s="87" t="s">
        <v>317</v>
      </c>
      <c r="J10" s="282">
        <v>1</v>
      </c>
      <c r="K10" s="87" t="s">
        <v>318</v>
      </c>
      <c r="L10" s="283">
        <v>1</v>
      </c>
      <c r="M10" s="87"/>
      <c r="N10" s="283"/>
      <c r="O10" s="87"/>
      <c r="P10" s="281"/>
      <c r="Q10" s="81"/>
      <c r="R10" s="281"/>
      <c r="S10" s="81"/>
      <c r="T10" s="281"/>
      <c r="U10" s="81"/>
      <c r="V10" s="281"/>
      <c r="W10" s="81"/>
      <c r="X10" s="281"/>
      <c r="Y10" s="81"/>
      <c r="Z10" s="281"/>
      <c r="AA10" s="81"/>
      <c r="AB10" s="281"/>
      <c r="AC10" s="81"/>
      <c r="AD10" s="281"/>
      <c r="AE10" s="81"/>
      <c r="AF10" s="281"/>
      <c r="AG10" s="81"/>
      <c r="AH10" s="281"/>
      <c r="AI10" s="81"/>
      <c r="AJ10" s="281"/>
      <c r="AK10" s="81"/>
      <c r="AL10" s="281"/>
      <c r="AM10" s="81"/>
      <c r="AN10" s="281"/>
      <c r="AO10" s="81"/>
      <c r="AP10" s="281"/>
      <c r="AQ10" s="81"/>
      <c r="AR10" s="281"/>
      <c r="AS10" s="81"/>
      <c r="AT10" s="281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2">
        <f t="shared" si="0"/>
        <v>5</v>
      </c>
      <c r="H11" s="137">
        <f t="shared" si="1"/>
        <v>91.743119266055047</v>
      </c>
      <c r="I11" s="81" t="s">
        <v>319</v>
      </c>
      <c r="J11" s="281">
        <v>4</v>
      </c>
      <c r="K11" s="87" t="s">
        <v>320</v>
      </c>
      <c r="L11" s="283">
        <v>1</v>
      </c>
      <c r="M11" s="87"/>
      <c r="N11" s="283"/>
      <c r="O11" s="87"/>
      <c r="P11" s="281"/>
      <c r="Q11" s="81"/>
      <c r="R11" s="281"/>
      <c r="S11" s="81"/>
      <c r="T11" s="281"/>
      <c r="U11" s="81"/>
      <c r="V11" s="281"/>
      <c r="W11" s="81"/>
      <c r="X11" s="281"/>
      <c r="Y11" s="81"/>
      <c r="Z11" s="281"/>
      <c r="AA11" s="81"/>
      <c r="AB11" s="281"/>
      <c r="AC11" s="81"/>
      <c r="AD11" s="281"/>
      <c r="AE11" s="81"/>
      <c r="AF11" s="281"/>
      <c r="AG11" s="81"/>
      <c r="AH11" s="281"/>
      <c r="AI11" s="81"/>
      <c r="AJ11" s="281"/>
      <c r="AK11" s="81"/>
      <c r="AL11" s="281"/>
      <c r="AM11" s="81"/>
      <c r="AN11" s="281"/>
      <c r="AO11" s="81"/>
      <c r="AP11" s="281"/>
      <c r="AQ11" s="81"/>
      <c r="AR11" s="281"/>
      <c r="AS11" s="81"/>
      <c r="AT11" s="281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2">
        <f t="shared" si="0"/>
        <v>6.7</v>
      </c>
      <c r="H12" s="137">
        <f t="shared" si="1"/>
        <v>122.93577981651376</v>
      </c>
      <c r="I12" s="81" t="s">
        <v>322</v>
      </c>
      <c r="J12" s="281">
        <v>1.3</v>
      </c>
      <c r="K12" s="81" t="s">
        <v>323</v>
      </c>
      <c r="L12" s="281">
        <v>2.7</v>
      </c>
      <c r="M12" s="87" t="s">
        <v>324</v>
      </c>
      <c r="N12" s="283">
        <v>0.8</v>
      </c>
      <c r="O12" s="87" t="s">
        <v>325</v>
      </c>
      <c r="P12" s="283">
        <v>0.9</v>
      </c>
      <c r="Q12" s="101" t="s">
        <v>326</v>
      </c>
      <c r="R12" s="291">
        <v>0.5</v>
      </c>
      <c r="S12" s="83" t="s">
        <v>327</v>
      </c>
      <c r="T12" s="286">
        <v>0.5</v>
      </c>
      <c r="U12" s="81"/>
      <c r="V12" s="281"/>
      <c r="W12" s="81"/>
      <c r="X12" s="281"/>
      <c r="Y12" s="81"/>
      <c r="Z12" s="281"/>
      <c r="AA12" s="81"/>
      <c r="AB12" s="281"/>
      <c r="AC12" s="81"/>
      <c r="AD12" s="281"/>
      <c r="AE12" s="81"/>
      <c r="AF12" s="281"/>
      <c r="AG12" s="81"/>
      <c r="AH12" s="281"/>
      <c r="AI12" s="81"/>
      <c r="AJ12" s="281"/>
      <c r="AK12" s="81"/>
      <c r="AL12" s="281"/>
      <c r="AM12" s="81"/>
      <c r="AN12" s="281"/>
      <c r="AO12" s="81"/>
      <c r="AP12" s="281"/>
      <c r="AQ12" s="81"/>
      <c r="AR12" s="281"/>
      <c r="AS12" s="81"/>
      <c r="AT12" s="281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2">
        <f t="shared" ref="G13" si="2">SUM(J13,L13,N13,P13,R13,T13,V13,X13,Z13,AB13,AD13,AF13,AH13,AJ13,AL13,AN13,AP13,AR13,AT13,AV13)</f>
        <v>6.7</v>
      </c>
      <c r="H13" s="137">
        <f t="shared" ref="H13" si="3">SUM(G13*1000)/54.5</f>
        <v>122.93577981651376</v>
      </c>
      <c r="I13" s="81" t="s">
        <v>322</v>
      </c>
      <c r="J13" s="281">
        <v>1.3</v>
      </c>
      <c r="K13" s="81" t="s">
        <v>323</v>
      </c>
      <c r="L13" s="281">
        <v>2.7</v>
      </c>
      <c r="M13" s="87" t="s">
        <v>324</v>
      </c>
      <c r="N13" s="283">
        <v>0.8</v>
      </c>
      <c r="O13" s="87" t="s">
        <v>325</v>
      </c>
      <c r="P13" s="283">
        <v>0.9</v>
      </c>
      <c r="Q13" s="101" t="s">
        <v>326</v>
      </c>
      <c r="R13" s="291">
        <v>0.5</v>
      </c>
      <c r="S13" s="83" t="s">
        <v>327</v>
      </c>
      <c r="T13" s="286">
        <v>0.5</v>
      </c>
      <c r="U13" s="81"/>
      <c r="V13" s="281"/>
      <c r="W13" s="81"/>
      <c r="X13" s="281"/>
      <c r="Y13" s="81"/>
      <c r="Z13" s="281"/>
      <c r="AA13" s="81"/>
      <c r="AB13" s="281"/>
      <c r="AC13" s="81"/>
      <c r="AD13" s="281"/>
      <c r="AE13" s="81"/>
      <c r="AF13" s="281"/>
      <c r="AG13" s="81"/>
      <c r="AH13" s="281"/>
      <c r="AI13" s="81"/>
      <c r="AJ13" s="281"/>
      <c r="AK13" s="81"/>
      <c r="AL13" s="281"/>
      <c r="AM13" s="81"/>
      <c r="AN13" s="281"/>
      <c r="AO13" s="81"/>
      <c r="AP13" s="281"/>
      <c r="AQ13" s="81"/>
      <c r="AR13" s="281"/>
      <c r="AS13" s="81"/>
      <c r="AT13" s="281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2">
        <f t="shared" si="0"/>
        <v>0.4</v>
      </c>
      <c r="H14" s="137">
        <f t="shared" si="1"/>
        <v>7.3394495412844041</v>
      </c>
      <c r="I14" s="83" t="s">
        <v>328</v>
      </c>
      <c r="J14" s="286">
        <v>0.4</v>
      </c>
      <c r="K14" s="81"/>
      <c r="L14" s="281"/>
      <c r="M14" s="81"/>
      <c r="N14" s="281"/>
      <c r="O14" s="81"/>
      <c r="P14" s="281"/>
      <c r="Q14" s="81"/>
      <c r="R14" s="281"/>
      <c r="S14" s="81"/>
      <c r="T14" s="281"/>
      <c r="U14" s="81"/>
      <c r="V14" s="281"/>
      <c r="W14" s="81"/>
      <c r="X14" s="281"/>
      <c r="Y14" s="81"/>
      <c r="Z14" s="281"/>
      <c r="AA14" s="81"/>
      <c r="AB14" s="281"/>
      <c r="AC14" s="81"/>
      <c r="AD14" s="281"/>
      <c r="AE14" s="81"/>
      <c r="AF14" s="281"/>
      <c r="AG14" s="81"/>
      <c r="AH14" s="281"/>
      <c r="AI14" s="81"/>
      <c r="AJ14" s="281"/>
      <c r="AK14" s="81"/>
      <c r="AL14" s="281"/>
      <c r="AM14" s="81"/>
      <c r="AN14" s="281"/>
      <c r="AO14" s="81"/>
      <c r="AP14" s="281"/>
      <c r="AQ14" s="81"/>
      <c r="AR14" s="281"/>
      <c r="AS14" s="81"/>
      <c r="AT14" s="281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2">
        <f t="shared" si="0"/>
        <v>0.5</v>
      </c>
      <c r="H15" s="137">
        <f t="shared" si="1"/>
        <v>9.1743119266055047</v>
      </c>
      <c r="I15" s="81" t="s">
        <v>329</v>
      </c>
      <c r="J15" s="281">
        <v>0.5</v>
      </c>
      <c r="K15" s="81"/>
      <c r="L15" s="281"/>
      <c r="M15" s="81"/>
      <c r="N15" s="281"/>
      <c r="O15" s="81"/>
      <c r="P15" s="281"/>
      <c r="Q15" s="81"/>
      <c r="R15" s="281"/>
      <c r="S15" s="81"/>
      <c r="T15" s="281"/>
      <c r="U15" s="81"/>
      <c r="V15" s="281"/>
      <c r="W15" s="81"/>
      <c r="X15" s="281"/>
      <c r="Y15" s="81"/>
      <c r="Z15" s="281"/>
      <c r="AA15" s="81"/>
      <c r="AB15" s="281"/>
      <c r="AC15" s="81"/>
      <c r="AD15" s="281"/>
      <c r="AE15" s="81"/>
      <c r="AF15" s="281"/>
      <c r="AG15" s="81"/>
      <c r="AH15" s="281"/>
      <c r="AI15" s="81"/>
      <c r="AJ15" s="281"/>
      <c r="AK15" s="81"/>
      <c r="AL15" s="281"/>
      <c r="AM15" s="81"/>
      <c r="AN15" s="281"/>
      <c r="AO15" s="81"/>
      <c r="AP15" s="281"/>
      <c r="AQ15" s="81"/>
      <c r="AR15" s="281"/>
      <c r="AS15" s="81"/>
      <c r="AT15" s="281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2">
        <f t="shared" si="0"/>
        <v>0</v>
      </c>
      <c r="H16" s="137">
        <f t="shared" si="1"/>
        <v>0</v>
      </c>
      <c r="I16" s="81"/>
      <c r="J16" s="281"/>
      <c r="K16" s="81"/>
      <c r="L16" s="281"/>
      <c r="M16" s="81"/>
      <c r="N16" s="281"/>
      <c r="O16" s="81"/>
      <c r="P16" s="281"/>
      <c r="Q16" s="81"/>
      <c r="R16" s="281"/>
      <c r="S16" s="81"/>
      <c r="T16" s="281"/>
      <c r="U16" s="81"/>
      <c r="V16" s="281"/>
      <c r="W16" s="81"/>
      <c r="X16" s="281"/>
      <c r="Y16" s="81"/>
      <c r="Z16" s="281"/>
      <c r="AA16" s="81"/>
      <c r="AB16" s="281"/>
      <c r="AC16" s="81"/>
      <c r="AD16" s="281"/>
      <c r="AE16" s="81"/>
      <c r="AF16" s="281"/>
      <c r="AG16" s="81"/>
      <c r="AH16" s="281"/>
      <c r="AI16" s="81"/>
      <c r="AJ16" s="281"/>
      <c r="AK16" s="81"/>
      <c r="AL16" s="281"/>
      <c r="AM16" s="81"/>
      <c r="AN16" s="281"/>
      <c r="AO16" s="81"/>
      <c r="AP16" s="281"/>
      <c r="AQ16" s="81"/>
      <c r="AR16" s="281"/>
      <c r="AS16" s="81"/>
      <c r="AT16" s="281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2">
        <f t="shared" si="0"/>
        <v>0</v>
      </c>
      <c r="H17" s="137">
        <f t="shared" si="1"/>
        <v>0</v>
      </c>
      <c r="I17" s="81"/>
      <c r="J17" s="281"/>
      <c r="K17" s="81"/>
      <c r="L17" s="281"/>
      <c r="M17" s="81"/>
      <c r="N17" s="281"/>
      <c r="O17" s="81"/>
      <c r="P17" s="281"/>
      <c r="Q17" s="81"/>
      <c r="R17" s="281"/>
      <c r="S17" s="81"/>
      <c r="T17" s="281"/>
      <c r="U17" s="81"/>
      <c r="V17" s="281"/>
      <c r="W17" s="81"/>
      <c r="X17" s="281"/>
      <c r="Y17" s="81"/>
      <c r="Z17" s="281"/>
      <c r="AA17" s="81"/>
      <c r="AB17" s="281"/>
      <c r="AC17" s="81"/>
      <c r="AD17" s="281"/>
      <c r="AE17" s="81"/>
      <c r="AF17" s="281"/>
      <c r="AG17" s="81"/>
      <c r="AH17" s="281"/>
      <c r="AI17" s="81"/>
      <c r="AJ17" s="281"/>
      <c r="AK17" s="81"/>
      <c r="AL17" s="281"/>
      <c r="AM17" s="81"/>
      <c r="AN17" s="281"/>
      <c r="AO17" s="81"/>
      <c r="AP17" s="281"/>
      <c r="AQ17" s="81"/>
      <c r="AR17" s="281"/>
      <c r="AS17" s="81"/>
      <c r="AT17" s="281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2">
        <f t="shared" si="0"/>
        <v>6.9</v>
      </c>
      <c r="H18" s="137">
        <f t="shared" si="1"/>
        <v>126.60550458715596</v>
      </c>
      <c r="I18" s="81" t="s">
        <v>330</v>
      </c>
      <c r="J18" s="281">
        <v>2.4</v>
      </c>
      <c r="K18" s="81" t="s">
        <v>331</v>
      </c>
      <c r="L18" s="281">
        <v>0.5</v>
      </c>
      <c r="M18" s="87" t="s">
        <v>332</v>
      </c>
      <c r="N18" s="283">
        <v>2</v>
      </c>
      <c r="O18" s="87" t="s">
        <v>333</v>
      </c>
      <c r="P18" s="283">
        <v>1</v>
      </c>
      <c r="Q18" s="87" t="s">
        <v>334</v>
      </c>
      <c r="R18" s="283">
        <v>1</v>
      </c>
      <c r="S18" s="81"/>
      <c r="T18" s="281"/>
      <c r="U18" s="81"/>
      <c r="V18" s="281"/>
      <c r="W18" s="81"/>
      <c r="X18" s="281"/>
      <c r="Y18" s="81"/>
      <c r="Z18" s="281"/>
      <c r="AA18" s="81"/>
      <c r="AB18" s="281"/>
      <c r="AC18" s="81"/>
      <c r="AD18" s="281"/>
      <c r="AE18" s="81"/>
      <c r="AF18" s="281"/>
      <c r="AG18" s="81"/>
      <c r="AH18" s="281"/>
      <c r="AI18" s="81"/>
      <c r="AJ18" s="281"/>
      <c r="AK18" s="81"/>
      <c r="AL18" s="281"/>
      <c r="AM18" s="81"/>
      <c r="AN18" s="281"/>
      <c r="AO18" s="81"/>
      <c r="AP18" s="281"/>
      <c r="AQ18" s="81"/>
      <c r="AR18" s="281"/>
      <c r="AS18" s="81"/>
      <c r="AT18" s="281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2">
        <f t="shared" si="0"/>
        <v>2</v>
      </c>
      <c r="H19" s="137">
        <f t="shared" si="1"/>
        <v>36.697247706422019</v>
      </c>
      <c r="I19" s="85" t="s">
        <v>335</v>
      </c>
      <c r="J19" s="282">
        <v>2</v>
      </c>
      <c r="K19" s="81"/>
      <c r="L19" s="281"/>
      <c r="M19" s="81"/>
      <c r="N19" s="281"/>
      <c r="O19" s="81"/>
      <c r="P19" s="281"/>
      <c r="Q19" s="81"/>
      <c r="R19" s="281"/>
      <c r="S19" s="81"/>
      <c r="T19" s="281"/>
      <c r="U19" s="81"/>
      <c r="V19" s="281"/>
      <c r="W19" s="81"/>
      <c r="X19" s="281"/>
      <c r="Y19" s="81"/>
      <c r="Z19" s="281"/>
      <c r="AA19" s="81"/>
      <c r="AB19" s="281"/>
      <c r="AC19" s="81"/>
      <c r="AD19" s="281"/>
      <c r="AE19" s="81"/>
      <c r="AF19" s="281"/>
      <c r="AG19" s="81"/>
      <c r="AH19" s="281"/>
      <c r="AI19" s="81"/>
      <c r="AJ19" s="281"/>
      <c r="AK19" s="81"/>
      <c r="AL19" s="281"/>
      <c r="AM19" s="81"/>
      <c r="AN19" s="281"/>
      <c r="AO19" s="81"/>
      <c r="AP19" s="281"/>
      <c r="AQ19" s="81"/>
      <c r="AR19" s="281"/>
      <c r="AS19" s="81"/>
      <c r="AT19" s="281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2">
        <f t="shared" si="0"/>
        <v>0</v>
      </c>
      <c r="H20" s="137">
        <f t="shared" si="1"/>
        <v>0</v>
      </c>
      <c r="I20" s="81"/>
      <c r="J20" s="281"/>
      <c r="K20" s="81"/>
      <c r="L20" s="281"/>
      <c r="M20" s="81"/>
      <c r="N20" s="281"/>
      <c r="O20" s="81"/>
      <c r="P20" s="281"/>
      <c r="Q20" s="81"/>
      <c r="R20" s="281"/>
      <c r="S20" s="81"/>
      <c r="T20" s="281"/>
      <c r="U20" s="81"/>
      <c r="V20" s="281"/>
      <c r="W20" s="81"/>
      <c r="X20" s="281"/>
      <c r="Y20" s="81"/>
      <c r="Z20" s="281"/>
      <c r="AA20" s="81"/>
      <c r="AB20" s="281"/>
      <c r="AC20" s="81"/>
      <c r="AD20" s="281"/>
      <c r="AE20" s="81"/>
      <c r="AF20" s="281"/>
      <c r="AG20" s="81"/>
      <c r="AH20" s="281"/>
      <c r="AI20" s="81"/>
      <c r="AJ20" s="281"/>
      <c r="AK20" s="81"/>
      <c r="AL20" s="281"/>
      <c r="AM20" s="81"/>
      <c r="AN20" s="281"/>
      <c r="AO20" s="81"/>
      <c r="AP20" s="281"/>
      <c r="AQ20" s="81"/>
      <c r="AR20" s="281"/>
      <c r="AS20" s="81"/>
      <c r="AT20" s="281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2">
        <f t="shared" si="0"/>
        <v>5.5</v>
      </c>
      <c r="H21" s="137">
        <f t="shared" si="1"/>
        <v>100.91743119266054</v>
      </c>
      <c r="I21" s="87" t="s">
        <v>336</v>
      </c>
      <c r="J21" s="283">
        <v>2</v>
      </c>
      <c r="K21" s="85" t="s">
        <v>337</v>
      </c>
      <c r="L21" s="282">
        <v>2</v>
      </c>
      <c r="M21" s="297" t="s">
        <v>338</v>
      </c>
      <c r="N21" s="298">
        <v>1.5</v>
      </c>
      <c r="O21" s="81"/>
      <c r="P21" s="281"/>
      <c r="Q21" s="81"/>
      <c r="R21" s="281"/>
      <c r="S21" s="81"/>
      <c r="T21" s="281"/>
      <c r="U21" s="81"/>
      <c r="V21" s="281"/>
      <c r="W21" s="81"/>
      <c r="X21" s="281"/>
      <c r="Y21" s="81"/>
      <c r="Z21" s="281"/>
      <c r="AA21" s="81"/>
      <c r="AB21" s="281"/>
      <c r="AC21" s="81"/>
      <c r="AD21" s="281"/>
      <c r="AE21" s="81"/>
      <c r="AF21" s="281"/>
      <c r="AG21" s="81"/>
      <c r="AH21" s="281"/>
      <c r="AI21" s="81"/>
      <c r="AJ21" s="281"/>
      <c r="AK21" s="81"/>
      <c r="AL21" s="281"/>
      <c r="AM21" s="81"/>
      <c r="AN21" s="281"/>
      <c r="AO21" s="81"/>
      <c r="AP21" s="281"/>
      <c r="AQ21" s="81"/>
      <c r="AR21" s="281"/>
      <c r="AS21" s="81"/>
      <c r="AT21" s="281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2">
        <f t="shared" si="0"/>
        <v>12.45</v>
      </c>
      <c r="H22" s="137">
        <f t="shared" si="1"/>
        <v>228.44036697247705</v>
      </c>
      <c r="I22" s="81" t="s">
        <v>339</v>
      </c>
      <c r="J22" s="281">
        <v>2</v>
      </c>
      <c r="K22" s="81" t="s">
        <v>340</v>
      </c>
      <c r="L22" s="281">
        <v>0.3</v>
      </c>
      <c r="M22" s="81" t="s">
        <v>341</v>
      </c>
      <c r="N22" s="281">
        <v>1.1000000000000001</v>
      </c>
      <c r="O22" s="81" t="s">
        <v>342</v>
      </c>
      <c r="P22" s="281">
        <v>1.45</v>
      </c>
      <c r="Q22" s="81" t="s">
        <v>343</v>
      </c>
      <c r="R22" s="281">
        <v>1.1499999999999999</v>
      </c>
      <c r="S22" s="81" t="s">
        <v>344</v>
      </c>
      <c r="T22" s="281">
        <v>1.75</v>
      </c>
      <c r="U22" s="87" t="s">
        <v>345</v>
      </c>
      <c r="V22" s="283">
        <v>1</v>
      </c>
      <c r="W22" s="87" t="s">
        <v>346</v>
      </c>
      <c r="X22" s="283">
        <v>2.2000000000000002</v>
      </c>
      <c r="Y22" s="85" t="s">
        <v>347</v>
      </c>
      <c r="Z22" s="282">
        <v>1.5</v>
      </c>
      <c r="AA22" s="81"/>
      <c r="AB22" s="281"/>
      <c r="AC22" s="81"/>
      <c r="AD22" s="281"/>
      <c r="AE22" s="81"/>
      <c r="AF22" s="281"/>
      <c r="AG22" s="81"/>
      <c r="AH22" s="281"/>
      <c r="AI22" s="81"/>
      <c r="AJ22" s="281"/>
      <c r="AK22" s="81"/>
      <c r="AL22" s="281"/>
      <c r="AM22" s="81"/>
      <c r="AN22" s="281"/>
      <c r="AO22" s="81"/>
      <c r="AP22" s="281"/>
      <c r="AQ22" s="81"/>
      <c r="AR22" s="281"/>
      <c r="AS22" s="81"/>
      <c r="AT22" s="281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2">
        <f t="shared" si="0"/>
        <v>11.95</v>
      </c>
      <c r="H23" s="137">
        <f t="shared" si="1"/>
        <v>219.26605504587155</v>
      </c>
      <c r="I23" s="81" t="s">
        <v>339</v>
      </c>
      <c r="J23" s="281">
        <v>2</v>
      </c>
      <c r="K23" s="81" t="s">
        <v>340</v>
      </c>
      <c r="L23" s="281">
        <v>0.4</v>
      </c>
      <c r="M23" s="81" t="s">
        <v>341</v>
      </c>
      <c r="N23" s="281">
        <v>0.5</v>
      </c>
      <c r="O23" s="81" t="s">
        <v>342</v>
      </c>
      <c r="P23" s="281">
        <v>1.35</v>
      </c>
      <c r="Q23" s="81" t="s">
        <v>343</v>
      </c>
      <c r="R23" s="281">
        <v>0.95</v>
      </c>
      <c r="S23" s="81" t="s">
        <v>344</v>
      </c>
      <c r="T23" s="281">
        <v>1.75</v>
      </c>
      <c r="U23" s="87" t="s">
        <v>345</v>
      </c>
      <c r="V23" s="283">
        <v>1</v>
      </c>
      <c r="W23" s="87" t="s">
        <v>346</v>
      </c>
      <c r="X23" s="283">
        <v>2.2999999999999998</v>
      </c>
      <c r="Y23" s="85" t="s">
        <v>348</v>
      </c>
      <c r="Z23" s="282">
        <v>1.7</v>
      </c>
      <c r="AA23" s="81"/>
      <c r="AB23" s="281"/>
      <c r="AC23" s="81"/>
      <c r="AD23" s="281"/>
      <c r="AE23" s="81"/>
      <c r="AF23" s="281"/>
      <c r="AG23" s="81"/>
      <c r="AH23" s="281"/>
      <c r="AI23" s="81"/>
      <c r="AJ23" s="281"/>
      <c r="AK23" s="81"/>
      <c r="AL23" s="281"/>
      <c r="AM23" s="81"/>
      <c r="AN23" s="281"/>
      <c r="AO23" s="81"/>
      <c r="AP23" s="281"/>
      <c r="AQ23" s="81"/>
      <c r="AR23" s="281"/>
      <c r="AS23" s="81"/>
      <c r="AT23" s="281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2">
        <f t="shared" si="0"/>
        <v>0</v>
      </c>
      <c r="H24" s="137">
        <f t="shared" si="1"/>
        <v>0</v>
      </c>
      <c r="I24" s="81"/>
      <c r="J24" s="281"/>
      <c r="K24" s="81"/>
      <c r="L24" s="281"/>
      <c r="M24" s="81"/>
      <c r="N24" s="281"/>
      <c r="O24" s="81"/>
      <c r="P24" s="281"/>
      <c r="Q24" s="81"/>
      <c r="R24" s="281"/>
      <c r="S24" s="81"/>
      <c r="T24" s="281"/>
      <c r="U24" s="81"/>
      <c r="V24" s="281"/>
      <c r="W24" s="81"/>
      <c r="X24" s="281"/>
      <c r="Y24" s="81"/>
      <c r="Z24" s="281"/>
      <c r="AA24" s="81"/>
      <c r="AB24" s="281"/>
      <c r="AC24" s="81"/>
      <c r="AD24" s="281"/>
      <c r="AE24" s="81"/>
      <c r="AF24" s="281"/>
      <c r="AG24" s="81"/>
      <c r="AH24" s="281"/>
      <c r="AI24" s="81"/>
      <c r="AJ24" s="281"/>
      <c r="AK24" s="81"/>
      <c r="AL24" s="281"/>
      <c r="AM24" s="81"/>
      <c r="AN24" s="281"/>
      <c r="AO24" s="81"/>
      <c r="AP24" s="281"/>
      <c r="AQ24" s="81"/>
      <c r="AR24" s="281"/>
      <c r="AS24" s="81"/>
      <c r="AT24" s="281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2">
        <f t="shared" si="0"/>
        <v>18.399999999999999</v>
      </c>
      <c r="H25" s="137">
        <f t="shared" si="1"/>
        <v>337.61467889908255</v>
      </c>
      <c r="I25" s="81" t="s">
        <v>349</v>
      </c>
      <c r="J25" s="281">
        <v>2.4</v>
      </c>
      <c r="K25" s="261" t="s">
        <v>350</v>
      </c>
      <c r="L25" s="283">
        <v>1</v>
      </c>
      <c r="M25" s="85" t="s">
        <v>351</v>
      </c>
      <c r="N25" s="282">
        <v>5</v>
      </c>
      <c r="O25" s="327" t="s">
        <v>352</v>
      </c>
      <c r="P25" s="328">
        <v>5</v>
      </c>
      <c r="Q25" s="327" t="s">
        <v>353</v>
      </c>
      <c r="R25" s="328">
        <v>5</v>
      </c>
      <c r="S25" s="81"/>
      <c r="T25" s="281"/>
      <c r="U25" s="81"/>
      <c r="V25" s="281"/>
      <c r="W25" s="81"/>
      <c r="X25" s="281"/>
      <c r="Y25" s="81"/>
      <c r="Z25" s="281"/>
      <c r="AA25" s="81"/>
      <c r="AB25" s="281"/>
      <c r="AC25" s="81"/>
      <c r="AD25" s="281"/>
      <c r="AE25" s="81"/>
      <c r="AF25" s="281"/>
      <c r="AG25" s="81"/>
      <c r="AH25" s="281"/>
      <c r="AI25" s="81"/>
      <c r="AJ25" s="281"/>
      <c r="AK25" s="81"/>
      <c r="AL25" s="281"/>
      <c r="AM25" s="81"/>
      <c r="AN25" s="281"/>
      <c r="AO25" s="81"/>
      <c r="AP25" s="281"/>
      <c r="AQ25" s="81"/>
      <c r="AR25" s="281"/>
      <c r="AS25" s="81"/>
      <c r="AT25" s="281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2">
        <f t="shared" si="0"/>
        <v>14.2</v>
      </c>
      <c r="H26" s="137">
        <f t="shared" si="1"/>
        <v>260.55045871559633</v>
      </c>
      <c r="I26" s="81" t="s">
        <v>354</v>
      </c>
      <c r="J26" s="281">
        <v>1.7</v>
      </c>
      <c r="K26" s="81" t="s">
        <v>355</v>
      </c>
      <c r="L26" s="281">
        <v>2</v>
      </c>
      <c r="M26" s="81" t="s">
        <v>356</v>
      </c>
      <c r="N26" s="281">
        <v>1</v>
      </c>
      <c r="O26" s="87" t="s">
        <v>357</v>
      </c>
      <c r="P26" s="283">
        <v>1</v>
      </c>
      <c r="Q26" s="85" t="s">
        <v>358</v>
      </c>
      <c r="R26" s="282">
        <v>2.5</v>
      </c>
      <c r="S26" s="85" t="s">
        <v>359</v>
      </c>
      <c r="T26" s="282">
        <v>2.5</v>
      </c>
      <c r="U26" s="85" t="s">
        <v>360</v>
      </c>
      <c r="V26" s="282">
        <v>3.5</v>
      </c>
      <c r="W26" s="81"/>
      <c r="X26" s="281"/>
      <c r="Y26" s="81"/>
      <c r="Z26" s="281"/>
      <c r="AA26" s="81"/>
      <c r="AB26" s="281"/>
      <c r="AC26" s="81"/>
      <c r="AD26" s="281"/>
      <c r="AE26" s="81"/>
      <c r="AF26" s="281"/>
      <c r="AG26" s="81"/>
      <c r="AH26" s="281"/>
      <c r="AI26" s="81"/>
      <c r="AJ26" s="281"/>
      <c r="AK26" s="81"/>
      <c r="AL26" s="281"/>
      <c r="AM26" s="81"/>
      <c r="AN26" s="281"/>
      <c r="AO26" s="81"/>
      <c r="AP26" s="281"/>
      <c r="AQ26" s="81"/>
      <c r="AR26" s="281"/>
      <c r="AS26" s="81"/>
      <c r="AT26" s="281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2">
        <f t="shared" si="0"/>
        <v>0</v>
      </c>
      <c r="H27" s="137">
        <f t="shared" si="1"/>
        <v>0</v>
      </c>
      <c r="I27" s="81"/>
      <c r="J27" s="281"/>
      <c r="K27" s="81"/>
      <c r="L27" s="281"/>
      <c r="M27" s="81"/>
      <c r="N27" s="281"/>
      <c r="O27" s="81"/>
      <c r="P27" s="281"/>
      <c r="Q27" s="81"/>
      <c r="R27" s="281"/>
      <c r="S27" s="81"/>
      <c r="T27" s="281"/>
      <c r="U27" s="81"/>
      <c r="V27" s="281"/>
      <c r="W27" s="81"/>
      <c r="X27" s="281"/>
      <c r="Y27" s="81"/>
      <c r="Z27" s="281"/>
      <c r="AA27" s="81"/>
      <c r="AB27" s="281"/>
      <c r="AC27" s="81"/>
      <c r="AD27" s="281"/>
      <c r="AE27" s="81"/>
      <c r="AF27" s="281"/>
      <c r="AG27" s="81"/>
      <c r="AH27" s="281"/>
      <c r="AI27" s="81"/>
      <c r="AJ27" s="281"/>
      <c r="AK27" s="81"/>
      <c r="AL27" s="281"/>
      <c r="AM27" s="81"/>
      <c r="AN27" s="281"/>
      <c r="AO27" s="81"/>
      <c r="AP27" s="281"/>
      <c r="AQ27" s="81"/>
      <c r="AR27" s="281"/>
      <c r="AS27" s="81"/>
      <c r="AT27" s="281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2">
        <f t="shared" si="0"/>
        <v>1</v>
      </c>
      <c r="H28" s="137">
        <f t="shared" si="1"/>
        <v>18.348623853211009</v>
      </c>
      <c r="I28" s="261" t="s">
        <v>361</v>
      </c>
      <c r="J28" s="281">
        <v>1</v>
      </c>
      <c r="K28" s="81"/>
      <c r="L28" s="281"/>
      <c r="M28" s="81"/>
      <c r="N28" s="281"/>
      <c r="O28" s="81"/>
      <c r="P28" s="281"/>
      <c r="Q28" s="81"/>
      <c r="R28" s="281"/>
      <c r="S28" s="81"/>
      <c r="T28" s="281"/>
      <c r="U28" s="81"/>
      <c r="V28" s="281"/>
      <c r="W28" s="81"/>
      <c r="X28" s="281"/>
      <c r="Y28" s="81"/>
      <c r="Z28" s="281"/>
      <c r="AA28" s="81"/>
      <c r="AB28" s="281"/>
      <c r="AC28" s="81"/>
      <c r="AD28" s="281"/>
      <c r="AE28" s="81"/>
      <c r="AF28" s="281"/>
      <c r="AG28" s="81"/>
      <c r="AH28" s="281"/>
      <c r="AI28" s="81"/>
      <c r="AJ28" s="281"/>
      <c r="AK28" s="81"/>
      <c r="AL28" s="281"/>
      <c r="AM28" s="81"/>
      <c r="AN28" s="281"/>
      <c r="AO28" s="81"/>
      <c r="AP28" s="281"/>
      <c r="AQ28" s="81"/>
      <c r="AR28" s="281"/>
      <c r="AS28" s="81"/>
      <c r="AT28" s="281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2">
        <f t="shared" si="0"/>
        <v>1</v>
      </c>
      <c r="H29" s="137">
        <f t="shared" si="1"/>
        <v>18.348623853211009</v>
      </c>
      <c r="I29" s="261" t="s">
        <v>361</v>
      </c>
      <c r="J29" s="281">
        <v>1</v>
      </c>
      <c r="K29" s="81"/>
      <c r="L29" s="281"/>
      <c r="M29" s="81"/>
      <c r="N29" s="281"/>
      <c r="O29" s="81"/>
      <c r="P29" s="281"/>
      <c r="Q29" s="81"/>
      <c r="R29" s="281"/>
      <c r="S29" s="81"/>
      <c r="T29" s="281"/>
      <c r="U29" s="81"/>
      <c r="V29" s="281"/>
      <c r="W29" s="81"/>
      <c r="X29" s="281"/>
      <c r="Y29" s="81"/>
      <c r="Z29" s="281"/>
      <c r="AA29" s="81"/>
      <c r="AB29" s="281"/>
      <c r="AC29" s="81"/>
      <c r="AD29" s="281"/>
      <c r="AE29" s="81"/>
      <c r="AF29" s="281"/>
      <c r="AG29" s="81"/>
      <c r="AH29" s="281"/>
      <c r="AI29" s="81"/>
      <c r="AJ29" s="281"/>
      <c r="AK29" s="81"/>
      <c r="AL29" s="281"/>
      <c r="AM29" s="81"/>
      <c r="AN29" s="281"/>
      <c r="AO29" s="81"/>
      <c r="AP29" s="281"/>
      <c r="AQ29" s="81"/>
      <c r="AR29" s="281"/>
      <c r="AS29" s="81"/>
      <c r="AT29" s="281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2">
        <f t="shared" si="0"/>
        <v>9.15</v>
      </c>
      <c r="H30" s="137">
        <f t="shared" si="1"/>
        <v>167.88990825688074</v>
      </c>
      <c r="I30" s="85" t="s">
        <v>362</v>
      </c>
      <c r="J30" s="282">
        <v>0.3</v>
      </c>
      <c r="K30" s="81" t="s">
        <v>363</v>
      </c>
      <c r="L30" s="281">
        <v>2.1</v>
      </c>
      <c r="M30" s="81" t="s">
        <v>364</v>
      </c>
      <c r="N30" s="281">
        <v>0.9</v>
      </c>
      <c r="O30" s="81" t="s">
        <v>365</v>
      </c>
      <c r="P30" s="281">
        <v>1.65</v>
      </c>
      <c r="Q30" s="81" t="s">
        <v>366</v>
      </c>
      <c r="R30" s="281">
        <v>0.9</v>
      </c>
      <c r="S30" s="81" t="s">
        <v>367</v>
      </c>
      <c r="T30" s="281">
        <v>1.5</v>
      </c>
      <c r="U30" s="81" t="s">
        <v>368</v>
      </c>
      <c r="V30" s="281">
        <v>1.8</v>
      </c>
      <c r="W30" s="81"/>
      <c r="X30" s="281"/>
      <c r="Y30" s="81"/>
      <c r="Z30" s="281"/>
      <c r="AA30" s="81"/>
      <c r="AB30" s="281"/>
      <c r="AC30" s="81"/>
      <c r="AD30" s="281"/>
      <c r="AE30" s="81"/>
      <c r="AF30" s="281"/>
      <c r="AG30" s="81"/>
      <c r="AH30" s="281"/>
      <c r="AI30" s="81"/>
      <c r="AJ30" s="281"/>
      <c r="AK30" s="81"/>
      <c r="AL30" s="281"/>
      <c r="AM30" s="81"/>
      <c r="AN30" s="281"/>
      <c r="AO30" s="81"/>
      <c r="AP30" s="281"/>
      <c r="AQ30" s="81"/>
      <c r="AR30" s="281"/>
      <c r="AS30" s="81"/>
      <c r="AT30" s="281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2">
        <f t="shared" si="0"/>
        <v>7.58</v>
      </c>
      <c r="H31" s="137">
        <f t="shared" si="1"/>
        <v>139.08256880733944</v>
      </c>
      <c r="I31" s="85" t="s">
        <v>362</v>
      </c>
      <c r="J31" s="282">
        <v>0.6</v>
      </c>
      <c r="K31" s="81" t="s">
        <v>363</v>
      </c>
      <c r="L31" s="281">
        <v>0.6</v>
      </c>
      <c r="M31" s="81" t="s">
        <v>364</v>
      </c>
      <c r="N31" s="281">
        <v>0.93</v>
      </c>
      <c r="O31" s="81" t="s">
        <v>365</v>
      </c>
      <c r="P31" s="281">
        <v>1.55</v>
      </c>
      <c r="Q31" s="81" t="s">
        <v>366</v>
      </c>
      <c r="R31" s="281">
        <v>0.7</v>
      </c>
      <c r="S31" s="81" t="s">
        <v>367</v>
      </c>
      <c r="T31" s="281">
        <v>1.3</v>
      </c>
      <c r="U31" s="81" t="s">
        <v>368</v>
      </c>
      <c r="V31" s="281">
        <v>1.9</v>
      </c>
      <c r="W31" s="81"/>
      <c r="X31" s="281"/>
      <c r="Y31" s="81"/>
      <c r="Z31" s="281"/>
      <c r="AA31" s="81"/>
      <c r="AB31" s="281"/>
      <c r="AC31" s="81"/>
      <c r="AD31" s="281"/>
      <c r="AE31" s="81"/>
      <c r="AF31" s="281"/>
      <c r="AG31" s="81"/>
      <c r="AH31" s="281"/>
      <c r="AI31" s="81"/>
      <c r="AJ31" s="281"/>
      <c r="AK31" s="81"/>
      <c r="AL31" s="281"/>
      <c r="AM31" s="81"/>
      <c r="AN31" s="281"/>
      <c r="AO31" s="81"/>
      <c r="AP31" s="281"/>
      <c r="AQ31" s="81"/>
      <c r="AR31" s="281"/>
      <c r="AS31" s="81"/>
      <c r="AT31" s="281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2">
        <f t="shared" si="0"/>
        <v>2.4</v>
      </c>
      <c r="H32" s="137">
        <f t="shared" si="1"/>
        <v>44.036697247706421</v>
      </c>
      <c r="I32" s="81" t="s">
        <v>369</v>
      </c>
      <c r="J32" s="281">
        <v>2.4</v>
      </c>
      <c r="K32" s="81"/>
      <c r="L32" s="281"/>
      <c r="M32" s="81"/>
      <c r="N32" s="281"/>
      <c r="O32" s="81"/>
      <c r="P32" s="281"/>
      <c r="Q32" s="81"/>
      <c r="R32" s="281"/>
      <c r="S32" s="81"/>
      <c r="T32" s="281"/>
      <c r="U32" s="81"/>
      <c r="V32" s="281"/>
      <c r="W32" s="81"/>
      <c r="X32" s="281"/>
      <c r="Y32" s="81"/>
      <c r="Z32" s="281"/>
      <c r="AA32" s="81"/>
      <c r="AB32" s="281"/>
      <c r="AC32" s="81"/>
      <c r="AD32" s="281"/>
      <c r="AE32" s="81"/>
      <c r="AF32" s="281"/>
      <c r="AG32" s="81"/>
      <c r="AH32" s="281"/>
      <c r="AI32" s="81"/>
      <c r="AJ32" s="281"/>
      <c r="AK32" s="81"/>
      <c r="AL32" s="281"/>
      <c r="AM32" s="81"/>
      <c r="AN32" s="281"/>
      <c r="AO32" s="81"/>
      <c r="AP32" s="281"/>
      <c r="AQ32" s="81"/>
      <c r="AR32" s="281"/>
      <c r="AS32" s="81"/>
      <c r="AT32" s="281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2">
        <f t="shared" si="0"/>
        <v>2.5</v>
      </c>
      <c r="H33" s="137">
        <f t="shared" si="1"/>
        <v>45.871559633027523</v>
      </c>
      <c r="I33" s="81" t="s">
        <v>369</v>
      </c>
      <c r="J33" s="281">
        <v>2.5</v>
      </c>
      <c r="K33" s="81"/>
      <c r="L33" s="281"/>
      <c r="M33" s="81"/>
      <c r="N33" s="281"/>
      <c r="O33" s="81"/>
      <c r="P33" s="281"/>
      <c r="Q33" s="81"/>
      <c r="R33" s="281"/>
      <c r="S33" s="81"/>
      <c r="T33" s="281"/>
      <c r="U33" s="81"/>
      <c r="V33" s="281"/>
      <c r="W33" s="81"/>
      <c r="X33" s="281"/>
      <c r="Y33" s="81"/>
      <c r="Z33" s="281"/>
      <c r="AA33" s="81"/>
      <c r="AB33" s="281"/>
      <c r="AC33" s="81"/>
      <c r="AD33" s="281"/>
      <c r="AE33" s="81"/>
      <c r="AF33" s="281"/>
      <c r="AG33" s="81"/>
      <c r="AH33" s="281"/>
      <c r="AI33" s="81"/>
      <c r="AJ33" s="281"/>
      <c r="AK33" s="81"/>
      <c r="AL33" s="281"/>
      <c r="AM33" s="81"/>
      <c r="AN33" s="281"/>
      <c r="AO33" s="81"/>
      <c r="AP33" s="281"/>
      <c r="AQ33" s="81"/>
      <c r="AR33" s="281"/>
      <c r="AS33" s="81"/>
      <c r="AT33" s="281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2">
        <f t="shared" si="0"/>
        <v>1</v>
      </c>
      <c r="H34" s="137">
        <f t="shared" si="1"/>
        <v>18.348623853211009</v>
      </c>
      <c r="I34" s="83" t="s">
        <v>370</v>
      </c>
      <c r="J34" s="286">
        <v>1</v>
      </c>
      <c r="K34" s="81"/>
      <c r="L34" s="281"/>
      <c r="M34" s="81"/>
      <c r="N34" s="281"/>
      <c r="O34" s="81"/>
      <c r="P34" s="281"/>
      <c r="Q34" s="81"/>
      <c r="R34" s="281"/>
      <c r="S34" s="81"/>
      <c r="T34" s="281"/>
      <c r="U34" s="81"/>
      <c r="V34" s="281"/>
      <c r="W34" s="81"/>
      <c r="X34" s="281"/>
      <c r="Y34" s="81"/>
      <c r="Z34" s="281"/>
      <c r="AA34" s="81"/>
      <c r="AB34" s="281"/>
      <c r="AC34" s="81"/>
      <c r="AD34" s="281"/>
      <c r="AE34" s="81"/>
      <c r="AF34" s="281"/>
      <c r="AG34" s="81"/>
      <c r="AH34" s="281"/>
      <c r="AI34" s="81"/>
      <c r="AJ34" s="281"/>
      <c r="AK34" s="81"/>
      <c r="AL34" s="281"/>
      <c r="AM34" s="81"/>
      <c r="AN34" s="281"/>
      <c r="AO34" s="81"/>
      <c r="AP34" s="281"/>
      <c r="AQ34" s="81"/>
      <c r="AR34" s="281"/>
      <c r="AS34" s="81"/>
      <c r="AT34" s="281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2">
        <f t="shared" si="0"/>
        <v>0</v>
      </c>
      <c r="H35" s="137">
        <f t="shared" si="1"/>
        <v>0</v>
      </c>
      <c r="I35" s="81"/>
      <c r="J35" s="281"/>
      <c r="K35" s="81"/>
      <c r="L35" s="281"/>
      <c r="M35" s="81"/>
      <c r="N35" s="281"/>
      <c r="O35" s="81"/>
      <c r="P35" s="281"/>
      <c r="Q35" s="81"/>
      <c r="R35" s="281"/>
      <c r="S35" s="81"/>
      <c r="T35" s="281"/>
      <c r="U35" s="81"/>
      <c r="V35" s="281"/>
      <c r="W35" s="81"/>
      <c r="X35" s="281"/>
      <c r="Y35" s="81"/>
      <c r="Z35" s="281"/>
      <c r="AA35" s="81"/>
      <c r="AB35" s="281"/>
      <c r="AC35" s="81"/>
      <c r="AD35" s="281"/>
      <c r="AE35" s="81"/>
      <c r="AF35" s="281"/>
      <c r="AG35" s="81"/>
      <c r="AH35" s="281"/>
      <c r="AI35" s="81"/>
      <c r="AJ35" s="281"/>
      <c r="AK35" s="81"/>
      <c r="AL35" s="281"/>
      <c r="AM35" s="81"/>
      <c r="AN35" s="281"/>
      <c r="AO35" s="81"/>
      <c r="AP35" s="281"/>
      <c r="AQ35" s="81"/>
      <c r="AR35" s="281"/>
      <c r="AS35" s="81"/>
      <c r="AT35" s="281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2">
        <f t="shared" si="0"/>
        <v>3</v>
      </c>
      <c r="H36" s="137">
        <f t="shared" si="1"/>
        <v>55.045871559633028</v>
      </c>
      <c r="I36" s="81" t="s">
        <v>371</v>
      </c>
      <c r="J36" s="281">
        <v>1</v>
      </c>
      <c r="K36" s="87" t="s">
        <v>372</v>
      </c>
      <c r="L36" s="283">
        <v>2</v>
      </c>
      <c r="M36" s="81"/>
      <c r="N36" s="281"/>
      <c r="O36" s="81"/>
      <c r="P36" s="281"/>
      <c r="Q36" s="81"/>
      <c r="R36" s="281"/>
      <c r="S36" s="81"/>
      <c r="T36" s="281"/>
      <c r="U36" s="81"/>
      <c r="V36" s="281"/>
      <c r="W36" s="81"/>
      <c r="X36" s="281"/>
      <c r="Y36" s="81"/>
      <c r="Z36" s="281"/>
      <c r="AA36" s="81"/>
      <c r="AB36" s="281"/>
      <c r="AC36" s="81"/>
      <c r="AD36" s="281"/>
      <c r="AE36" s="81"/>
      <c r="AF36" s="281"/>
      <c r="AG36" s="81"/>
      <c r="AH36" s="281"/>
      <c r="AI36" s="81"/>
      <c r="AJ36" s="281"/>
      <c r="AK36" s="81"/>
      <c r="AL36" s="281"/>
      <c r="AM36" s="81"/>
      <c r="AN36" s="281"/>
      <c r="AO36" s="81"/>
      <c r="AP36" s="281"/>
      <c r="AQ36" s="81"/>
      <c r="AR36" s="281"/>
      <c r="AS36" s="81"/>
      <c r="AT36" s="281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2">
        <f t="shared" si="0"/>
        <v>32.799999999999997</v>
      </c>
      <c r="H37" s="137">
        <f t="shared" si="1"/>
        <v>601.83486238532112</v>
      </c>
      <c r="I37" s="89" t="s">
        <v>373</v>
      </c>
      <c r="J37" s="284">
        <v>19</v>
      </c>
      <c r="K37" s="89" t="s">
        <v>374</v>
      </c>
      <c r="L37" s="284">
        <v>2</v>
      </c>
      <c r="M37" s="89" t="s">
        <v>375</v>
      </c>
      <c r="N37" s="284">
        <v>2.9</v>
      </c>
      <c r="O37" s="89" t="s">
        <v>376</v>
      </c>
      <c r="P37" s="284">
        <v>3.9</v>
      </c>
      <c r="Q37" s="83" t="s">
        <v>377</v>
      </c>
      <c r="R37" s="286">
        <v>5</v>
      </c>
      <c r="S37" s="87"/>
      <c r="T37" s="283"/>
      <c r="U37" s="87"/>
      <c r="V37" s="283"/>
      <c r="W37" s="261"/>
      <c r="X37" s="283"/>
      <c r="Y37" s="87"/>
      <c r="Z37" s="283"/>
      <c r="AA37" s="81"/>
      <c r="AB37" s="281"/>
      <c r="AC37" s="81"/>
      <c r="AD37" s="281"/>
      <c r="AE37" s="81"/>
      <c r="AF37" s="281"/>
      <c r="AG37" s="81"/>
      <c r="AH37" s="281"/>
      <c r="AI37" s="81"/>
      <c r="AJ37" s="281"/>
      <c r="AK37" s="81"/>
      <c r="AL37" s="281"/>
      <c r="AM37" s="81"/>
      <c r="AN37" s="281"/>
      <c r="AO37" s="81"/>
      <c r="AP37" s="281"/>
      <c r="AQ37" s="81"/>
      <c r="AR37" s="281"/>
      <c r="AS37" s="81"/>
      <c r="AT37" s="281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2">
        <f t="shared" si="0"/>
        <v>19</v>
      </c>
      <c r="H38" s="137">
        <f t="shared" si="1"/>
        <v>348.62385321100919</v>
      </c>
      <c r="I38" s="89" t="s">
        <v>373</v>
      </c>
      <c r="J38" s="284">
        <v>19</v>
      </c>
      <c r="K38" s="81"/>
      <c r="L38" s="281"/>
      <c r="M38" s="81"/>
      <c r="N38" s="281"/>
      <c r="O38" s="81"/>
      <c r="P38" s="281"/>
      <c r="Q38" s="81"/>
      <c r="R38" s="281"/>
      <c r="S38" s="81"/>
      <c r="T38" s="281"/>
      <c r="U38" s="81"/>
      <c r="V38" s="281"/>
      <c r="W38" s="81"/>
      <c r="X38" s="281"/>
      <c r="Y38" s="81"/>
      <c r="Z38" s="281"/>
      <c r="AA38" s="81"/>
      <c r="AB38" s="281"/>
      <c r="AC38" s="81"/>
      <c r="AD38" s="281"/>
      <c r="AE38" s="81"/>
      <c r="AF38" s="281"/>
      <c r="AG38" s="81"/>
      <c r="AH38" s="281"/>
      <c r="AI38" s="81"/>
      <c r="AJ38" s="281"/>
      <c r="AK38" s="81"/>
      <c r="AL38" s="281"/>
      <c r="AM38" s="81"/>
      <c r="AN38" s="281"/>
      <c r="AO38" s="81"/>
      <c r="AP38" s="281"/>
      <c r="AQ38" s="81"/>
      <c r="AR38" s="281"/>
      <c r="AS38" s="81"/>
      <c r="AT38" s="281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2">
        <f>SUM(J39,L39,N39,P39,R39,T39,V39,X39,Z39,AB39,AD39,AF39,AH39,AJ39,AL39,AN39,AP39,AR39,AT39,AV39)</f>
        <v>64.400000000000006</v>
      </c>
      <c r="H39" s="137">
        <f>SUM(G39*1000)/54.5</f>
        <v>1181.6513761467891</v>
      </c>
      <c r="I39" s="81" t="s">
        <v>378</v>
      </c>
      <c r="J39" s="281">
        <v>18.100000000000001</v>
      </c>
      <c r="K39" s="81" t="s">
        <v>379</v>
      </c>
      <c r="L39" s="281">
        <v>26.8</v>
      </c>
      <c r="M39" s="81" t="s">
        <v>380</v>
      </c>
      <c r="N39" s="281">
        <v>1</v>
      </c>
      <c r="O39" s="81" t="s">
        <v>381</v>
      </c>
      <c r="P39" s="281">
        <v>0.35</v>
      </c>
      <c r="Q39" s="87" t="s">
        <v>382</v>
      </c>
      <c r="R39" s="283">
        <v>0.5</v>
      </c>
      <c r="S39" s="87" t="s">
        <v>383</v>
      </c>
      <c r="T39" s="283">
        <v>0.5</v>
      </c>
      <c r="U39" s="81" t="s">
        <v>384</v>
      </c>
      <c r="V39" s="281">
        <v>0.45</v>
      </c>
      <c r="W39" s="81" t="s">
        <v>385</v>
      </c>
      <c r="X39" s="281">
        <v>0.22500000000000001</v>
      </c>
      <c r="Y39" s="81" t="s">
        <v>386</v>
      </c>
      <c r="Z39" s="281">
        <v>0.22500000000000001</v>
      </c>
      <c r="AA39" s="89" t="s">
        <v>387</v>
      </c>
      <c r="AB39" s="284">
        <v>0.9</v>
      </c>
      <c r="AC39" s="89" t="s">
        <v>388</v>
      </c>
      <c r="AD39" s="284">
        <v>0.45</v>
      </c>
      <c r="AE39" s="81" t="s">
        <v>389</v>
      </c>
      <c r="AF39" s="281">
        <v>1.4</v>
      </c>
      <c r="AG39" s="254" t="s">
        <v>390</v>
      </c>
      <c r="AH39" s="295">
        <v>1</v>
      </c>
      <c r="AI39" s="112" t="s">
        <v>391</v>
      </c>
      <c r="AJ39" s="294">
        <v>1</v>
      </c>
      <c r="AK39" s="112" t="s">
        <v>392</v>
      </c>
      <c r="AL39" s="294">
        <v>1</v>
      </c>
      <c r="AM39" s="254" t="s">
        <v>393</v>
      </c>
      <c r="AN39" s="302">
        <v>6.05</v>
      </c>
      <c r="AO39" s="83" t="s">
        <v>394</v>
      </c>
      <c r="AP39" s="286">
        <v>2</v>
      </c>
      <c r="AQ39" s="83" t="s">
        <v>395</v>
      </c>
      <c r="AR39" s="286">
        <v>2.4500000000000002</v>
      </c>
      <c r="AS39" s="81"/>
      <c r="AT39" s="281"/>
      <c r="AU39" s="81"/>
      <c r="AV39" s="50"/>
    </row>
    <row r="40" spans="1:48">
      <c r="A40" s="38" t="s">
        <v>56</v>
      </c>
      <c r="B40" s="4"/>
      <c r="C40" s="4"/>
      <c r="D40" s="4"/>
      <c r="E40" s="4"/>
      <c r="F40" s="4"/>
      <c r="G40" s="252">
        <f>SUM(J40,L40,N40,P40,R40,T40,V40,X40,Z40,AB40,AD40,AF40,AH40,AJ40,AL40,AN40,AP40,AR40,AT40,AV40)</f>
        <v>64.400000000000006</v>
      </c>
      <c r="H40" s="137">
        <f>SUM(G40*1000)/54.5</f>
        <v>1181.6513761467891</v>
      </c>
      <c r="I40" s="81" t="s">
        <v>378</v>
      </c>
      <c r="J40" s="281">
        <v>18.100000000000001</v>
      </c>
      <c r="K40" s="81" t="s">
        <v>379</v>
      </c>
      <c r="L40" s="281">
        <v>26.8</v>
      </c>
      <c r="M40" s="81" t="s">
        <v>380</v>
      </c>
      <c r="N40" s="281">
        <v>1</v>
      </c>
      <c r="O40" s="81" t="s">
        <v>381</v>
      </c>
      <c r="P40" s="281">
        <v>0.35</v>
      </c>
      <c r="Q40" s="87" t="s">
        <v>382</v>
      </c>
      <c r="R40" s="283">
        <v>0.5</v>
      </c>
      <c r="S40" s="87" t="s">
        <v>383</v>
      </c>
      <c r="T40" s="283">
        <v>0.5</v>
      </c>
      <c r="U40" s="81" t="s">
        <v>384</v>
      </c>
      <c r="V40" s="281">
        <v>0.45</v>
      </c>
      <c r="W40" s="81" t="s">
        <v>385</v>
      </c>
      <c r="X40" s="281">
        <v>0.22500000000000001</v>
      </c>
      <c r="Y40" s="81" t="s">
        <v>386</v>
      </c>
      <c r="Z40" s="281">
        <v>0.22500000000000001</v>
      </c>
      <c r="AA40" s="89" t="s">
        <v>387</v>
      </c>
      <c r="AB40" s="284">
        <v>0.9</v>
      </c>
      <c r="AC40" s="89" t="s">
        <v>388</v>
      </c>
      <c r="AD40" s="284">
        <v>0.45</v>
      </c>
      <c r="AE40" s="81" t="s">
        <v>389</v>
      </c>
      <c r="AF40" s="281">
        <v>1.4</v>
      </c>
      <c r="AG40" s="254" t="s">
        <v>390</v>
      </c>
      <c r="AH40" s="295">
        <v>1</v>
      </c>
      <c r="AI40" s="112" t="s">
        <v>391</v>
      </c>
      <c r="AJ40" s="294">
        <v>1</v>
      </c>
      <c r="AK40" s="112" t="s">
        <v>392</v>
      </c>
      <c r="AL40" s="294">
        <v>1</v>
      </c>
      <c r="AM40" s="254" t="s">
        <v>393</v>
      </c>
      <c r="AN40" s="302">
        <v>6.05</v>
      </c>
      <c r="AO40" s="83" t="s">
        <v>394</v>
      </c>
      <c r="AP40" s="286">
        <v>2</v>
      </c>
      <c r="AQ40" s="83" t="s">
        <v>395</v>
      </c>
      <c r="AR40" s="286">
        <v>2.4500000000000002</v>
      </c>
      <c r="AS40" s="81"/>
      <c r="AT40" s="281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2">
        <f t="shared" si="0"/>
        <v>0</v>
      </c>
      <c r="H41" s="137">
        <f t="shared" si="1"/>
        <v>0</v>
      </c>
      <c r="I41" s="81"/>
      <c r="J41" s="281"/>
      <c r="K41" s="81"/>
      <c r="L41" s="281"/>
      <c r="M41" s="81"/>
      <c r="N41" s="281"/>
      <c r="O41" s="81"/>
      <c r="P41" s="281"/>
      <c r="Q41" s="81"/>
      <c r="R41" s="281"/>
      <c r="S41" s="81"/>
      <c r="T41" s="281"/>
      <c r="U41" s="81"/>
      <c r="V41" s="281"/>
      <c r="W41" s="81"/>
      <c r="X41" s="281"/>
      <c r="Y41" s="81"/>
      <c r="Z41" s="281"/>
      <c r="AA41" s="81"/>
      <c r="AB41" s="281"/>
      <c r="AC41" s="81"/>
      <c r="AD41" s="281"/>
      <c r="AE41" s="81"/>
      <c r="AF41" s="281"/>
      <c r="AG41" s="81"/>
      <c r="AH41" s="281"/>
      <c r="AI41" s="81"/>
      <c r="AJ41" s="281"/>
      <c r="AK41" s="81"/>
      <c r="AL41" s="281"/>
      <c r="AM41" s="81"/>
      <c r="AN41" s="281"/>
      <c r="AO41" s="81"/>
      <c r="AP41" s="281"/>
      <c r="AQ41" s="81"/>
      <c r="AR41" s="281"/>
      <c r="AS41" s="81"/>
      <c r="AT41" s="281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2">
        <f t="shared" si="0"/>
        <v>0</v>
      </c>
      <c r="H42" s="137">
        <f t="shared" si="1"/>
        <v>0</v>
      </c>
      <c r="I42" s="81"/>
      <c r="J42" s="281"/>
      <c r="K42" s="81"/>
      <c r="L42" s="281"/>
      <c r="M42" s="81"/>
      <c r="N42" s="281"/>
      <c r="O42" s="81"/>
      <c r="P42" s="281"/>
      <c r="Q42" s="81"/>
      <c r="R42" s="281"/>
      <c r="S42" s="81"/>
      <c r="T42" s="281"/>
      <c r="U42" s="81"/>
      <c r="V42" s="281"/>
      <c r="W42" s="81"/>
      <c r="X42" s="281"/>
      <c r="Y42" s="81"/>
      <c r="Z42" s="281"/>
      <c r="AA42" s="81"/>
      <c r="AB42" s="281"/>
      <c r="AC42" s="81"/>
      <c r="AD42" s="281"/>
      <c r="AE42" s="81"/>
      <c r="AF42" s="281"/>
      <c r="AG42" s="81"/>
      <c r="AH42" s="281"/>
      <c r="AI42" s="81"/>
      <c r="AJ42" s="281"/>
      <c r="AK42" s="81"/>
      <c r="AL42" s="281"/>
      <c r="AM42" s="81"/>
      <c r="AN42" s="281"/>
      <c r="AO42" s="81"/>
      <c r="AP42" s="281"/>
      <c r="AQ42" s="81"/>
      <c r="AR42" s="281"/>
      <c r="AS42" s="81"/>
      <c r="AT42" s="281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2">
        <f t="shared" si="0"/>
        <v>0.5</v>
      </c>
      <c r="H43" s="137">
        <f t="shared" si="1"/>
        <v>9.1743119266055047</v>
      </c>
      <c r="I43" s="85" t="s">
        <v>396</v>
      </c>
      <c r="J43" s="282">
        <v>0.5</v>
      </c>
      <c r="K43" s="81"/>
      <c r="L43" s="281"/>
      <c r="M43" s="81"/>
      <c r="N43" s="281"/>
      <c r="O43" s="81"/>
      <c r="P43" s="281"/>
      <c r="Q43" s="81"/>
      <c r="R43" s="281"/>
      <c r="S43" s="81"/>
      <c r="T43" s="281"/>
      <c r="U43" s="81"/>
      <c r="V43" s="281"/>
      <c r="W43" s="81"/>
      <c r="X43" s="281"/>
      <c r="Y43" s="81"/>
      <c r="Z43" s="281"/>
      <c r="AA43" s="81"/>
      <c r="AB43" s="281"/>
      <c r="AC43" s="81"/>
      <c r="AD43" s="281"/>
      <c r="AE43" s="81"/>
      <c r="AF43" s="281"/>
      <c r="AG43" s="81"/>
      <c r="AH43" s="281"/>
      <c r="AI43" s="81"/>
      <c r="AJ43" s="281"/>
      <c r="AK43" s="81"/>
      <c r="AL43" s="281"/>
      <c r="AM43" s="81"/>
      <c r="AN43" s="281"/>
      <c r="AO43" s="81"/>
      <c r="AP43" s="281"/>
      <c r="AQ43" s="81"/>
      <c r="AR43" s="281"/>
      <c r="AS43" s="81"/>
      <c r="AT43" s="281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2">
        <f t="shared" si="0"/>
        <v>5.4</v>
      </c>
      <c r="H44" s="137">
        <f t="shared" si="1"/>
        <v>99.082568807339456</v>
      </c>
      <c r="I44" s="81" t="s">
        <v>397</v>
      </c>
      <c r="J44" s="281">
        <v>1</v>
      </c>
      <c r="K44" s="325" t="s">
        <v>398</v>
      </c>
      <c r="L44" s="284">
        <v>4.4000000000000004</v>
      </c>
      <c r="M44" s="81"/>
      <c r="N44" s="281"/>
      <c r="O44" s="81"/>
      <c r="P44" s="281"/>
      <c r="Q44" s="81"/>
      <c r="R44" s="281"/>
      <c r="S44" s="81"/>
      <c r="T44" s="281"/>
      <c r="U44" s="81"/>
      <c r="V44" s="281"/>
      <c r="W44" s="81"/>
      <c r="X44" s="281"/>
      <c r="Y44" s="81"/>
      <c r="Z44" s="281"/>
      <c r="AA44" s="81"/>
      <c r="AB44" s="281"/>
      <c r="AC44" s="81"/>
      <c r="AD44" s="281"/>
      <c r="AE44" s="81"/>
      <c r="AF44" s="281"/>
      <c r="AG44" s="81"/>
      <c r="AH44" s="281"/>
      <c r="AI44" s="81"/>
      <c r="AJ44" s="281"/>
      <c r="AK44" s="81"/>
      <c r="AL44" s="281"/>
      <c r="AM44" s="81"/>
      <c r="AN44" s="281"/>
      <c r="AO44" s="81"/>
      <c r="AP44" s="281"/>
      <c r="AQ44" s="81"/>
      <c r="AR44" s="281"/>
      <c r="AS44" s="81"/>
      <c r="AT44" s="281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2">
        <f t="shared" si="0"/>
        <v>0.5</v>
      </c>
      <c r="H45" s="137">
        <f t="shared" si="1"/>
        <v>9.1743119266055047</v>
      </c>
      <c r="I45" s="81" t="s">
        <v>399</v>
      </c>
      <c r="J45" s="281">
        <v>0.5</v>
      </c>
      <c r="K45" s="81"/>
      <c r="L45" s="281"/>
      <c r="M45" s="81"/>
      <c r="N45" s="281"/>
      <c r="O45" s="81"/>
      <c r="P45" s="281"/>
      <c r="Q45" s="81"/>
      <c r="R45" s="281"/>
      <c r="S45" s="81"/>
      <c r="T45" s="281"/>
      <c r="U45" s="81"/>
      <c r="V45" s="281"/>
      <c r="W45" s="81"/>
      <c r="X45" s="281"/>
      <c r="Y45" s="81"/>
      <c r="Z45" s="281"/>
      <c r="AA45" s="81"/>
      <c r="AB45" s="281"/>
      <c r="AC45" s="81"/>
      <c r="AD45" s="281"/>
      <c r="AE45" s="81"/>
      <c r="AF45" s="281"/>
      <c r="AG45" s="81"/>
      <c r="AH45" s="281"/>
      <c r="AI45" s="81"/>
      <c r="AJ45" s="281"/>
      <c r="AK45" s="81"/>
      <c r="AL45" s="281"/>
      <c r="AM45" s="81"/>
      <c r="AN45" s="281"/>
      <c r="AO45" s="81"/>
      <c r="AP45" s="281"/>
      <c r="AQ45" s="81"/>
      <c r="AR45" s="281"/>
      <c r="AS45" s="81"/>
      <c r="AT45" s="281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2">
        <f t="shared" si="0"/>
        <v>0.4</v>
      </c>
      <c r="H46" s="137">
        <f t="shared" si="1"/>
        <v>7.3394495412844041</v>
      </c>
      <c r="I46" s="83" t="s">
        <v>400</v>
      </c>
      <c r="J46" s="286">
        <v>0.4</v>
      </c>
      <c r="K46" s="81"/>
      <c r="L46" s="281"/>
      <c r="M46" s="81"/>
      <c r="N46" s="281"/>
      <c r="O46" s="81"/>
      <c r="P46" s="281"/>
      <c r="Q46" s="81"/>
      <c r="R46" s="281"/>
      <c r="S46" s="81"/>
      <c r="T46" s="281"/>
      <c r="U46" s="81"/>
      <c r="V46" s="281"/>
      <c r="W46" s="81"/>
      <c r="X46" s="281"/>
      <c r="Y46" s="81"/>
      <c r="Z46" s="281"/>
      <c r="AA46" s="81"/>
      <c r="AB46" s="281"/>
      <c r="AC46" s="81"/>
      <c r="AD46" s="281"/>
      <c r="AE46" s="81"/>
      <c r="AF46" s="281"/>
      <c r="AG46" s="81"/>
      <c r="AH46" s="281"/>
      <c r="AI46" s="81"/>
      <c r="AJ46" s="281"/>
      <c r="AK46" s="81"/>
      <c r="AL46" s="281"/>
      <c r="AM46" s="81"/>
      <c r="AN46" s="281"/>
      <c r="AO46" s="81"/>
      <c r="AP46" s="281"/>
      <c r="AQ46" s="81"/>
      <c r="AR46" s="281"/>
      <c r="AS46" s="81"/>
      <c r="AT46" s="281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2">
        <f t="shared" si="0"/>
        <v>4</v>
      </c>
      <c r="H47" s="137">
        <f t="shared" si="1"/>
        <v>73.394495412844037</v>
      </c>
      <c r="I47" s="261" t="s">
        <v>401</v>
      </c>
      <c r="J47" s="285">
        <v>3</v>
      </c>
      <c r="K47" s="87" t="s">
        <v>402</v>
      </c>
      <c r="L47" s="283">
        <v>1</v>
      </c>
      <c r="M47" s="81"/>
      <c r="N47" s="281"/>
      <c r="O47" s="81"/>
      <c r="P47" s="281"/>
      <c r="Q47" s="81"/>
      <c r="R47" s="281"/>
      <c r="S47" s="81"/>
      <c r="T47" s="281"/>
      <c r="U47" s="81"/>
      <c r="V47" s="281"/>
      <c r="W47" s="81"/>
      <c r="X47" s="281"/>
      <c r="Y47" s="81"/>
      <c r="Z47" s="281"/>
      <c r="AA47" s="81"/>
      <c r="AB47" s="281"/>
      <c r="AC47" s="81"/>
      <c r="AD47" s="281"/>
      <c r="AE47" s="81"/>
      <c r="AF47" s="281"/>
      <c r="AG47" s="81"/>
      <c r="AH47" s="281"/>
      <c r="AI47" s="81"/>
      <c r="AJ47" s="281"/>
      <c r="AK47" s="81"/>
      <c r="AL47" s="281"/>
      <c r="AM47" s="81"/>
      <c r="AN47" s="281"/>
      <c r="AO47" s="81"/>
      <c r="AP47" s="281"/>
      <c r="AQ47" s="81"/>
      <c r="AR47" s="281"/>
      <c r="AS47" s="81"/>
      <c r="AT47" s="281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2">
        <f t="shared" si="0"/>
        <v>21.1</v>
      </c>
      <c r="H48" s="137">
        <f t="shared" si="1"/>
        <v>387.1559633027523</v>
      </c>
      <c r="I48" s="81" t="s">
        <v>403</v>
      </c>
      <c r="J48" s="281">
        <v>1.5</v>
      </c>
      <c r="K48" s="87" t="s">
        <v>404</v>
      </c>
      <c r="L48" s="283">
        <v>0.3</v>
      </c>
      <c r="M48" s="87" t="s">
        <v>405</v>
      </c>
      <c r="N48" s="283">
        <v>1.6</v>
      </c>
      <c r="O48" s="87" t="s">
        <v>406</v>
      </c>
      <c r="P48" s="283">
        <v>1.4</v>
      </c>
      <c r="Q48" s="87" t="s">
        <v>407</v>
      </c>
      <c r="R48" s="283">
        <v>1.3</v>
      </c>
      <c r="S48" s="87" t="s">
        <v>408</v>
      </c>
      <c r="T48" s="283">
        <v>1.5</v>
      </c>
      <c r="U48" s="87" t="s">
        <v>409</v>
      </c>
      <c r="V48" s="283">
        <v>0.7</v>
      </c>
      <c r="W48" s="89" t="s">
        <v>410</v>
      </c>
      <c r="X48" s="284">
        <v>1.1000000000000001</v>
      </c>
      <c r="Y48" s="89" t="s">
        <v>411</v>
      </c>
      <c r="Z48" s="284">
        <v>1.1000000000000001</v>
      </c>
      <c r="AA48" s="89" t="s">
        <v>412</v>
      </c>
      <c r="AB48" s="284">
        <v>2</v>
      </c>
      <c r="AC48" s="81" t="s">
        <v>413</v>
      </c>
      <c r="AD48" s="281">
        <v>2.5</v>
      </c>
      <c r="AE48" s="87" t="s">
        <v>414</v>
      </c>
      <c r="AF48" s="283">
        <v>4</v>
      </c>
      <c r="AG48" s="264" t="s">
        <v>415</v>
      </c>
      <c r="AH48" s="285">
        <v>1.1000000000000001</v>
      </c>
      <c r="AI48" s="89" t="s">
        <v>416</v>
      </c>
      <c r="AJ48" s="284">
        <v>0.6</v>
      </c>
      <c r="AK48" s="81" t="s">
        <v>417</v>
      </c>
      <c r="AL48" s="281">
        <v>0.4</v>
      </c>
      <c r="AM48" s="81"/>
      <c r="AN48" s="281"/>
      <c r="AO48" s="81"/>
      <c r="AP48" s="281"/>
      <c r="AQ48" s="81"/>
      <c r="AR48" s="281"/>
      <c r="AS48" s="81"/>
      <c r="AT48" s="281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2">
        <f>SUM(J49,L49,N49,P49,R49,T49,V49,X49,Z49,AB49,AD49,AF49,AH49,AJ49,AL49,AN49,AP49,AR49,AT49,AV49)</f>
        <v>20.7</v>
      </c>
      <c r="H49" s="137">
        <f t="shared" si="1"/>
        <v>379.81651376146789</v>
      </c>
      <c r="I49" s="81" t="s">
        <v>403</v>
      </c>
      <c r="J49" s="281">
        <v>0.7</v>
      </c>
      <c r="K49" s="87" t="s">
        <v>404</v>
      </c>
      <c r="L49" s="283">
        <v>0.5</v>
      </c>
      <c r="M49" s="87" t="s">
        <v>405</v>
      </c>
      <c r="N49" s="283">
        <v>1.4</v>
      </c>
      <c r="O49" s="87" t="s">
        <v>406</v>
      </c>
      <c r="P49" s="283">
        <v>1.3</v>
      </c>
      <c r="Q49" s="87" t="s">
        <v>407</v>
      </c>
      <c r="R49" s="283">
        <v>1.3</v>
      </c>
      <c r="S49" s="87" t="s">
        <v>408</v>
      </c>
      <c r="T49" s="283">
        <v>1.4</v>
      </c>
      <c r="U49" s="87" t="s">
        <v>409</v>
      </c>
      <c r="V49" s="283">
        <v>0.7</v>
      </c>
      <c r="W49" s="89" t="s">
        <v>410</v>
      </c>
      <c r="X49" s="284">
        <v>0.7</v>
      </c>
      <c r="Y49" s="89" t="s">
        <v>411</v>
      </c>
      <c r="Z49" s="284">
        <v>1.1000000000000001</v>
      </c>
      <c r="AA49" s="89" t="s">
        <v>412</v>
      </c>
      <c r="AB49" s="284">
        <v>2</v>
      </c>
      <c r="AC49" s="81" t="s">
        <v>413</v>
      </c>
      <c r="AD49" s="281">
        <v>2.2000000000000002</v>
      </c>
      <c r="AE49" s="87" t="s">
        <v>414</v>
      </c>
      <c r="AF49" s="283">
        <v>4</v>
      </c>
      <c r="AG49" s="264" t="s">
        <v>415</v>
      </c>
      <c r="AH49" s="285">
        <v>1.2</v>
      </c>
      <c r="AI49" s="89" t="s">
        <v>416</v>
      </c>
      <c r="AJ49" s="284">
        <v>0.6</v>
      </c>
      <c r="AK49" s="81" t="s">
        <v>417</v>
      </c>
      <c r="AL49" s="281">
        <v>0.4</v>
      </c>
      <c r="AM49" s="81" t="s">
        <v>418</v>
      </c>
      <c r="AN49" s="281">
        <v>1.2</v>
      </c>
      <c r="AO49" s="81"/>
      <c r="AP49" s="281"/>
      <c r="AQ49" s="81"/>
      <c r="AR49" s="281"/>
      <c r="AS49" s="81"/>
      <c r="AT49" s="281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2">
        <f>SUM(J50,L50,N50,P50,R50,T50,V50,X50,Z50,AB50,AD50,AF50,AH50,AJ50,AL50,AN50,AP50,AR50,AT50,AV50)</f>
        <v>3.6</v>
      </c>
      <c r="H50" s="137">
        <f t="shared" si="1"/>
        <v>66.055045871559628</v>
      </c>
      <c r="I50" s="87" t="s">
        <v>419</v>
      </c>
      <c r="J50" s="283">
        <v>0.8</v>
      </c>
      <c r="K50" s="87" t="s">
        <v>420</v>
      </c>
      <c r="L50" s="283">
        <v>1</v>
      </c>
      <c r="M50" s="87" t="s">
        <v>421</v>
      </c>
      <c r="N50" s="283">
        <v>1.8</v>
      </c>
      <c r="O50" s="81"/>
      <c r="P50" s="281"/>
      <c r="Q50" s="81"/>
      <c r="R50" s="281"/>
      <c r="S50" s="81"/>
      <c r="T50" s="281"/>
      <c r="U50" s="81"/>
      <c r="V50" s="281"/>
      <c r="W50" s="81"/>
      <c r="X50" s="281"/>
      <c r="Y50" s="81"/>
      <c r="Z50" s="281"/>
      <c r="AA50" s="81"/>
      <c r="AB50" s="281"/>
      <c r="AC50" s="81"/>
      <c r="AD50" s="281"/>
      <c r="AE50" s="81"/>
      <c r="AF50" s="281"/>
      <c r="AG50" s="81"/>
      <c r="AH50" s="281"/>
      <c r="AI50" s="81"/>
      <c r="AJ50" s="281"/>
      <c r="AK50" s="81"/>
      <c r="AL50" s="281"/>
      <c r="AM50" s="81"/>
      <c r="AN50" s="281"/>
      <c r="AO50" s="81"/>
      <c r="AP50" s="281"/>
      <c r="AQ50" s="81"/>
      <c r="AR50" s="281"/>
      <c r="AS50" s="81"/>
      <c r="AT50" s="281"/>
      <c r="AU50" s="81"/>
      <c r="AV50" s="50">
        <f>IFERROR(VLOOKUP(A50,'Site check'!A:Q,14,0),0)</f>
        <v>0</v>
      </c>
    </row>
    <row r="51" spans="1:48">
      <c r="A51" s="35" t="s">
        <v>67</v>
      </c>
      <c r="B51" s="96"/>
      <c r="C51" s="4"/>
      <c r="D51" s="4"/>
      <c r="E51" s="4"/>
      <c r="F51" s="4"/>
      <c r="G51" s="252">
        <f>SUM(J51,L51,N51,P51,R51,T51,V51,X51,Z51,AB51,AD51,AF51,AH51,AJ51,AL51,AN51,AP51,AR51,AT51,AV51)</f>
        <v>14.399999999999999</v>
      </c>
      <c r="H51" s="137">
        <f t="shared" si="1"/>
        <v>264.22018348623851</v>
      </c>
      <c r="I51" s="85" t="s">
        <v>422</v>
      </c>
      <c r="J51" s="282">
        <v>2</v>
      </c>
      <c r="K51" s="83" t="s">
        <v>423</v>
      </c>
      <c r="L51" s="286">
        <v>2</v>
      </c>
      <c r="M51" s="83" t="s">
        <v>424</v>
      </c>
      <c r="N51" s="286">
        <v>8.6999999999999993</v>
      </c>
      <c r="O51" s="83" t="s">
        <v>418</v>
      </c>
      <c r="P51" s="286">
        <v>0.6</v>
      </c>
      <c r="Q51" s="83" t="s">
        <v>425</v>
      </c>
      <c r="R51" s="286">
        <v>1.1000000000000001</v>
      </c>
      <c r="S51" s="81"/>
      <c r="T51" s="281"/>
      <c r="U51" s="81"/>
      <c r="V51" s="281"/>
      <c r="W51" s="81"/>
      <c r="X51" s="281"/>
      <c r="Y51" s="81"/>
      <c r="Z51" s="281"/>
      <c r="AA51" s="81"/>
      <c r="AB51" s="281"/>
      <c r="AC51" s="81"/>
      <c r="AD51" s="281"/>
      <c r="AE51" s="81"/>
      <c r="AF51" s="281"/>
      <c r="AG51" s="81"/>
      <c r="AH51" s="281"/>
      <c r="AI51" s="81"/>
      <c r="AJ51" s="281"/>
      <c r="AK51" s="81"/>
      <c r="AL51" s="281"/>
      <c r="AM51" s="81"/>
      <c r="AN51" s="281"/>
      <c r="AO51" s="81"/>
      <c r="AP51" s="281"/>
      <c r="AQ51" s="81"/>
      <c r="AR51" s="281"/>
      <c r="AS51" s="81"/>
      <c r="AT51" s="281"/>
      <c r="AU51" s="81"/>
      <c r="AV51" s="50">
        <f>IFERROR(VLOOKUP(A51,'Site check'!A:Q,14,0),0)</f>
        <v>0</v>
      </c>
    </row>
    <row r="52" spans="1:48">
      <c r="A52" s="35" t="s">
        <v>68</v>
      </c>
      <c r="B52" s="96"/>
      <c r="C52" s="4"/>
      <c r="D52" s="4"/>
      <c r="E52" s="4"/>
      <c r="F52" s="4"/>
      <c r="G52" s="252">
        <f>SUM(J52,L52,N52,P52,R52,T52,V52,X52,Z52,AB52,AD52,AF52,AH52,AJ52,AL52,AN52,AP52,AR52,AT52,AV52)</f>
        <v>12.399999999999999</v>
      </c>
      <c r="H52" s="137">
        <f t="shared" si="1"/>
        <v>227.52293577981649</v>
      </c>
      <c r="I52" s="85"/>
      <c r="J52" s="282"/>
      <c r="K52" s="83" t="s">
        <v>423</v>
      </c>
      <c r="L52" s="286">
        <v>2</v>
      </c>
      <c r="M52" s="83" t="s">
        <v>424</v>
      </c>
      <c r="N52" s="286">
        <v>8.6999999999999993</v>
      </c>
      <c r="O52" s="83" t="s">
        <v>418</v>
      </c>
      <c r="P52" s="286">
        <v>0.6</v>
      </c>
      <c r="Q52" s="83" t="s">
        <v>425</v>
      </c>
      <c r="R52" s="286">
        <v>1.1000000000000001</v>
      </c>
      <c r="S52" s="81"/>
      <c r="T52" s="281"/>
      <c r="U52" s="81"/>
      <c r="V52" s="281"/>
      <c r="W52" s="81"/>
      <c r="X52" s="281"/>
      <c r="Y52" s="81"/>
      <c r="Z52" s="281"/>
      <c r="AA52" s="81"/>
      <c r="AB52" s="281"/>
      <c r="AC52" s="81"/>
      <c r="AD52" s="281"/>
      <c r="AE52" s="81"/>
      <c r="AF52" s="281"/>
      <c r="AG52" s="81"/>
      <c r="AH52" s="281"/>
      <c r="AI52" s="81"/>
      <c r="AJ52" s="281"/>
      <c r="AK52" s="81"/>
      <c r="AL52" s="281"/>
      <c r="AM52" s="81"/>
      <c r="AN52" s="281"/>
      <c r="AO52" s="81"/>
      <c r="AP52" s="281"/>
      <c r="AQ52" s="81"/>
      <c r="AR52" s="281"/>
      <c r="AS52" s="81"/>
      <c r="AT52" s="281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2">
        <f t="shared" si="0"/>
        <v>0</v>
      </c>
      <c r="H53" s="137">
        <f t="shared" si="1"/>
        <v>0</v>
      </c>
      <c r="I53" s="83"/>
      <c r="J53" s="286"/>
      <c r="K53" s="83"/>
      <c r="L53" s="286"/>
      <c r="M53" s="83"/>
      <c r="N53" s="286"/>
      <c r="O53" s="81"/>
      <c r="P53" s="281"/>
      <c r="Q53" s="81"/>
      <c r="R53" s="281"/>
      <c r="S53" s="83"/>
      <c r="T53" s="286"/>
      <c r="U53" s="83"/>
      <c r="V53" s="286"/>
      <c r="W53" s="83"/>
      <c r="X53" s="286"/>
      <c r="Y53" s="81"/>
      <c r="Z53" s="281"/>
      <c r="AA53" s="81"/>
      <c r="AB53" s="281"/>
      <c r="AC53" s="85"/>
      <c r="AD53" s="282"/>
      <c r="AE53" s="81"/>
      <c r="AF53" s="281"/>
      <c r="AG53" s="81"/>
      <c r="AH53" s="281"/>
      <c r="AI53" s="81"/>
      <c r="AJ53" s="281"/>
      <c r="AK53" s="81"/>
      <c r="AL53" s="281"/>
      <c r="AM53" s="81"/>
      <c r="AN53" s="281"/>
      <c r="AO53" s="81"/>
      <c r="AP53" s="281"/>
      <c r="AQ53" s="81"/>
      <c r="AR53" s="281"/>
      <c r="AS53" s="81"/>
      <c r="AT53" s="281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2">
        <f>SUM(J54,L54,N54,P54,R54,T54,V54,X54,Z54,AB54,AD54,AF54,AH54,AJ54,AL54,AN54,AP54,AR54,AT54,AV54)</f>
        <v>34.649999999999991</v>
      </c>
      <c r="H54" s="137">
        <f t="shared" si="1"/>
        <v>635.77981651376138</v>
      </c>
      <c r="I54" s="81" t="s">
        <v>426</v>
      </c>
      <c r="J54" s="281">
        <v>2.5</v>
      </c>
      <c r="K54" s="81" t="s">
        <v>427</v>
      </c>
      <c r="L54" s="281">
        <v>1</v>
      </c>
      <c r="M54" s="81" t="s">
        <v>428</v>
      </c>
      <c r="N54" s="281">
        <v>1.8</v>
      </c>
      <c r="O54" s="81" t="s">
        <v>429</v>
      </c>
      <c r="P54" s="281">
        <v>0.8</v>
      </c>
      <c r="Q54" s="81" t="s">
        <v>430</v>
      </c>
      <c r="R54" s="281">
        <v>10.7</v>
      </c>
      <c r="S54" s="81" t="s">
        <v>431</v>
      </c>
      <c r="T54" s="281">
        <v>0.5</v>
      </c>
      <c r="U54" s="89" t="s">
        <v>432</v>
      </c>
      <c r="V54" s="284">
        <v>2.2000000000000002</v>
      </c>
      <c r="W54" s="89" t="s">
        <v>433</v>
      </c>
      <c r="X54" s="284">
        <v>2.65</v>
      </c>
      <c r="Y54" s="89"/>
      <c r="Z54" s="284"/>
      <c r="AA54" s="263" t="s">
        <v>434</v>
      </c>
      <c r="AB54" s="283">
        <v>2</v>
      </c>
      <c r="AC54" s="85" t="s">
        <v>435</v>
      </c>
      <c r="AD54" s="282">
        <v>2.4</v>
      </c>
      <c r="AE54" s="87" t="s">
        <v>436</v>
      </c>
      <c r="AF54" s="283">
        <v>0.5</v>
      </c>
      <c r="AG54" s="87" t="s">
        <v>437</v>
      </c>
      <c r="AH54" s="283">
        <v>0.5</v>
      </c>
      <c r="AI54" s="87" t="s">
        <v>438</v>
      </c>
      <c r="AJ54" s="281">
        <v>3.2</v>
      </c>
      <c r="AK54" s="87" t="s">
        <v>439</v>
      </c>
      <c r="AL54" s="283">
        <v>3.9</v>
      </c>
      <c r="AM54" s="81"/>
      <c r="AN54" s="281"/>
      <c r="AO54" s="81"/>
      <c r="AP54" s="281"/>
      <c r="AQ54" s="81"/>
      <c r="AR54" s="281"/>
      <c r="AS54" s="81"/>
      <c r="AT54" s="281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2">
        <f>SUM(J55,L55,N55,P55,R55,T55,V55,X55,Z55,AB55,AD55,AF55,AH55,AJ55,AL55,AN55,AP55,AR55,AT55,AV55)</f>
        <v>2.25</v>
      </c>
      <c r="H55" s="137">
        <f t="shared" si="1"/>
        <v>41.284403669724767</v>
      </c>
      <c r="I55" s="87" t="s">
        <v>440</v>
      </c>
      <c r="J55" s="283">
        <v>2</v>
      </c>
      <c r="K55" s="81" t="s">
        <v>441</v>
      </c>
      <c r="L55" s="281">
        <v>0.25</v>
      </c>
      <c r="M55" s="81"/>
      <c r="N55" s="281"/>
      <c r="O55" s="81"/>
      <c r="P55" s="281"/>
      <c r="Q55" s="81"/>
      <c r="R55" s="281"/>
      <c r="S55" s="81"/>
      <c r="T55" s="281"/>
      <c r="U55" s="81"/>
      <c r="V55" s="281"/>
      <c r="W55" s="81"/>
      <c r="X55" s="281"/>
      <c r="Y55" s="81"/>
      <c r="Z55" s="281"/>
      <c r="AA55" s="81"/>
      <c r="AB55" s="281"/>
      <c r="AC55" s="81"/>
      <c r="AD55" s="281"/>
      <c r="AE55" s="81"/>
      <c r="AF55" s="281"/>
      <c r="AG55" s="81"/>
      <c r="AH55" s="281"/>
      <c r="AI55" s="81"/>
      <c r="AJ55" s="281"/>
      <c r="AK55" s="81"/>
      <c r="AL55" s="281"/>
      <c r="AM55" s="81"/>
      <c r="AN55" s="281"/>
      <c r="AO55" s="81"/>
      <c r="AP55" s="281"/>
      <c r="AQ55" s="81"/>
      <c r="AR55" s="281"/>
      <c r="AS55" s="81"/>
      <c r="AT55" s="281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2">
        <f>SUM(J56,L56,N56,P56,R56,T56,V56,X56,Z56,AB56,AD55,AF56,AH56,AJ56,AL56,AN56,AP56,AR56,AT56,AV56)</f>
        <v>5</v>
      </c>
      <c r="H56" s="137">
        <f t="shared" si="1"/>
        <v>91.743119266055047</v>
      </c>
      <c r="I56" s="87" t="s">
        <v>442</v>
      </c>
      <c r="J56" s="283">
        <v>2</v>
      </c>
      <c r="K56" s="265" t="s">
        <v>443</v>
      </c>
      <c r="L56" s="290">
        <v>3</v>
      </c>
      <c r="M56" s="112"/>
      <c r="N56" s="294"/>
      <c r="O56" s="83"/>
      <c r="P56" s="286"/>
      <c r="Q56" s="81"/>
      <c r="R56" s="281"/>
      <c r="S56" s="81"/>
      <c r="T56" s="281"/>
      <c r="U56" s="81"/>
      <c r="V56" s="281"/>
      <c r="W56" s="81"/>
      <c r="X56" s="281"/>
      <c r="Y56" s="81"/>
      <c r="Z56" s="281"/>
      <c r="AA56" s="81"/>
      <c r="AB56" s="281"/>
      <c r="AC56" s="81"/>
      <c r="AD56" s="281"/>
      <c r="AE56" s="81"/>
      <c r="AF56" s="281"/>
      <c r="AG56" s="81"/>
      <c r="AH56" s="281"/>
      <c r="AI56" s="81"/>
      <c r="AJ56" s="281"/>
      <c r="AK56" s="81"/>
      <c r="AL56" s="281"/>
      <c r="AM56" s="81"/>
      <c r="AN56" s="281"/>
      <c r="AO56" s="81"/>
      <c r="AP56" s="281"/>
      <c r="AQ56" s="81"/>
      <c r="AR56" s="281"/>
      <c r="AS56" s="81"/>
      <c r="AT56" s="281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444</v>
      </c>
      <c r="F57" s="30" t="s">
        <v>321</v>
      </c>
      <c r="G57" s="252">
        <f t="shared" si="0"/>
        <v>43.129999999999995</v>
      </c>
      <c r="H57" s="137">
        <f t="shared" si="1"/>
        <v>791.3761467889907</v>
      </c>
      <c r="I57" s="81" t="s">
        <v>445</v>
      </c>
      <c r="J57" s="281">
        <v>2.1</v>
      </c>
      <c r="K57" s="81" t="s">
        <v>446</v>
      </c>
      <c r="L57" s="281">
        <v>1.2</v>
      </c>
      <c r="M57" s="81" t="s">
        <v>447</v>
      </c>
      <c r="N57" s="281">
        <v>5.4</v>
      </c>
      <c r="O57" s="81" t="s">
        <v>448</v>
      </c>
      <c r="P57" s="281">
        <v>1.2</v>
      </c>
      <c r="Q57" s="81" t="s">
        <v>449</v>
      </c>
      <c r="R57" s="281">
        <v>1.8</v>
      </c>
      <c r="S57" s="81" t="s">
        <v>450</v>
      </c>
      <c r="T57" s="281">
        <v>11.7</v>
      </c>
      <c r="U57" s="89" t="s">
        <v>451</v>
      </c>
      <c r="V57" s="284">
        <v>2.4</v>
      </c>
      <c r="W57" s="89" t="s">
        <v>452</v>
      </c>
      <c r="X57" s="284">
        <v>2.2000000000000002</v>
      </c>
      <c r="Y57" s="89" t="s">
        <v>453</v>
      </c>
      <c r="Z57" s="284">
        <v>1.1000000000000001</v>
      </c>
      <c r="AA57" s="87" t="s">
        <v>454</v>
      </c>
      <c r="AB57" s="283">
        <v>0.5</v>
      </c>
      <c r="AC57" s="264" t="s">
        <v>455</v>
      </c>
      <c r="AD57" s="285">
        <v>6</v>
      </c>
      <c r="AE57" s="261" t="s">
        <v>456</v>
      </c>
      <c r="AF57" s="285">
        <v>1.7</v>
      </c>
      <c r="AG57" s="106" t="s">
        <v>457</v>
      </c>
      <c r="AH57" s="296">
        <v>2.9</v>
      </c>
      <c r="AI57" s="106" t="s">
        <v>458</v>
      </c>
      <c r="AJ57" s="296">
        <v>0.93</v>
      </c>
      <c r="AK57" s="83" t="s">
        <v>459</v>
      </c>
      <c r="AL57" s="286">
        <v>2</v>
      </c>
      <c r="AM57" s="83"/>
      <c r="AN57" s="286"/>
      <c r="AO57" s="81"/>
      <c r="AP57" s="281"/>
      <c r="AQ57" s="81"/>
      <c r="AR57" s="281"/>
      <c r="AS57" s="81"/>
      <c r="AT57" s="281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2">
        <f t="shared" si="0"/>
        <v>2.7</v>
      </c>
      <c r="H58" s="137">
        <f t="shared" si="1"/>
        <v>49.541284403669728</v>
      </c>
      <c r="I58" s="81" t="s">
        <v>460</v>
      </c>
      <c r="J58" s="281">
        <v>1.7</v>
      </c>
      <c r="K58" s="264" t="s">
        <v>461</v>
      </c>
      <c r="L58" s="285">
        <v>1</v>
      </c>
      <c r="M58" s="81"/>
      <c r="N58" s="281"/>
      <c r="O58" s="81"/>
      <c r="P58" s="281"/>
      <c r="Q58" s="81"/>
      <c r="R58" s="281"/>
      <c r="S58" s="81"/>
      <c r="T58" s="281"/>
      <c r="U58" s="81"/>
      <c r="V58" s="281"/>
      <c r="W58" s="81"/>
      <c r="X58" s="281"/>
      <c r="Y58" s="81"/>
      <c r="Z58" s="281"/>
      <c r="AA58" s="81"/>
      <c r="AB58" s="281"/>
      <c r="AC58" s="81"/>
      <c r="AD58" s="281"/>
      <c r="AE58" s="81"/>
      <c r="AF58" s="281"/>
      <c r="AG58" s="81"/>
      <c r="AH58" s="281"/>
      <c r="AI58" s="81"/>
      <c r="AJ58" s="281"/>
      <c r="AK58" s="81"/>
      <c r="AL58" s="281"/>
      <c r="AM58" s="81"/>
      <c r="AN58" s="281"/>
      <c r="AO58" s="81"/>
      <c r="AP58" s="281"/>
      <c r="AQ58" s="81"/>
      <c r="AR58" s="281"/>
      <c r="AS58" s="81"/>
      <c r="AT58" s="281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2">
        <f t="shared" si="0"/>
        <v>0</v>
      </c>
      <c r="H59" s="137">
        <f t="shared" si="1"/>
        <v>0</v>
      </c>
      <c r="I59" s="81"/>
      <c r="J59" s="281"/>
      <c r="K59" s="81"/>
      <c r="L59" s="281"/>
      <c r="M59" s="81"/>
      <c r="N59" s="281"/>
      <c r="O59" s="81"/>
      <c r="P59" s="281"/>
      <c r="Q59" s="81"/>
      <c r="R59" s="281"/>
      <c r="S59" s="81"/>
      <c r="T59" s="281"/>
      <c r="U59" s="81"/>
      <c r="V59" s="281"/>
      <c r="W59" s="81"/>
      <c r="X59" s="281"/>
      <c r="Y59" s="81"/>
      <c r="Z59" s="281"/>
      <c r="AA59" s="81"/>
      <c r="AB59" s="281"/>
      <c r="AC59" s="81"/>
      <c r="AD59" s="281"/>
      <c r="AE59" s="81"/>
      <c r="AF59" s="281"/>
      <c r="AG59" s="81"/>
      <c r="AH59" s="281"/>
      <c r="AI59" s="81"/>
      <c r="AJ59" s="281"/>
      <c r="AK59" s="81"/>
      <c r="AL59" s="281"/>
      <c r="AM59" s="81"/>
      <c r="AN59" s="281"/>
      <c r="AO59" s="81"/>
      <c r="AP59" s="281"/>
      <c r="AQ59" s="81"/>
      <c r="AR59" s="281"/>
      <c r="AS59" s="81"/>
      <c r="AT59" s="281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2">
        <f t="shared" si="0"/>
        <v>0</v>
      </c>
      <c r="H60" s="137">
        <f t="shared" si="1"/>
        <v>0</v>
      </c>
      <c r="I60" s="81"/>
      <c r="J60" s="281"/>
      <c r="K60" s="81"/>
      <c r="L60" s="281"/>
      <c r="M60" s="81"/>
      <c r="N60" s="281"/>
      <c r="O60" s="81"/>
      <c r="P60" s="281"/>
      <c r="Q60" s="81"/>
      <c r="R60" s="281"/>
      <c r="S60" s="81"/>
      <c r="T60" s="281"/>
      <c r="U60" s="81"/>
      <c r="V60" s="281"/>
      <c r="W60" s="81"/>
      <c r="X60" s="281"/>
      <c r="Y60" s="81"/>
      <c r="Z60" s="281"/>
      <c r="AA60" s="81"/>
      <c r="AB60" s="281"/>
      <c r="AC60" s="81"/>
      <c r="AD60" s="281"/>
      <c r="AE60" s="81"/>
      <c r="AF60" s="281"/>
      <c r="AG60" s="81"/>
      <c r="AH60" s="281"/>
      <c r="AI60" s="81"/>
      <c r="AJ60" s="281"/>
      <c r="AK60" s="81"/>
      <c r="AL60" s="281"/>
      <c r="AM60" s="81"/>
      <c r="AN60" s="281"/>
      <c r="AO60" s="81"/>
      <c r="AP60" s="281"/>
      <c r="AQ60" s="81"/>
      <c r="AR60" s="281"/>
      <c r="AS60" s="81"/>
      <c r="AT60" s="281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2">
        <f t="shared" si="0"/>
        <v>0</v>
      </c>
      <c r="H61" s="137">
        <f t="shared" si="1"/>
        <v>0</v>
      </c>
      <c r="I61" s="81"/>
      <c r="J61" s="281"/>
      <c r="K61" s="81"/>
      <c r="L61" s="281"/>
      <c r="M61" s="81"/>
      <c r="N61" s="281"/>
      <c r="O61" s="81"/>
      <c r="P61" s="281"/>
      <c r="Q61" s="81"/>
      <c r="R61" s="281"/>
      <c r="S61" s="81"/>
      <c r="T61" s="281"/>
      <c r="U61" s="81"/>
      <c r="V61" s="281"/>
      <c r="W61" s="81"/>
      <c r="X61" s="281"/>
      <c r="Y61" s="81"/>
      <c r="Z61" s="281"/>
      <c r="AA61" s="81"/>
      <c r="AB61" s="281"/>
      <c r="AC61" s="81"/>
      <c r="AD61" s="281"/>
      <c r="AE61" s="81"/>
      <c r="AF61" s="281"/>
      <c r="AG61" s="81"/>
      <c r="AH61" s="281"/>
      <c r="AI61" s="81"/>
      <c r="AJ61" s="281"/>
      <c r="AK61" s="81"/>
      <c r="AL61" s="281"/>
      <c r="AM61" s="81"/>
      <c r="AN61" s="281"/>
      <c r="AO61" s="81"/>
      <c r="AP61" s="281"/>
      <c r="AQ61" s="81"/>
      <c r="AR61" s="281"/>
      <c r="AS61" s="81"/>
      <c r="AT61" s="281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2">
        <f t="shared" si="0"/>
        <v>1</v>
      </c>
      <c r="H62" s="137">
        <f t="shared" si="1"/>
        <v>18.348623853211009</v>
      </c>
      <c r="I62" s="261" t="s">
        <v>462</v>
      </c>
      <c r="J62" s="285">
        <v>1</v>
      </c>
      <c r="K62" s="81"/>
      <c r="L62" s="281"/>
      <c r="M62" s="81"/>
      <c r="N62" s="281"/>
      <c r="O62" s="81"/>
      <c r="P62" s="281"/>
      <c r="Q62" s="81"/>
      <c r="R62" s="281"/>
      <c r="S62" s="81"/>
      <c r="T62" s="281"/>
      <c r="U62" s="81"/>
      <c r="V62" s="281"/>
      <c r="W62" s="81"/>
      <c r="X62" s="281"/>
      <c r="Y62" s="81"/>
      <c r="Z62" s="281"/>
      <c r="AA62" s="81"/>
      <c r="AB62" s="281"/>
      <c r="AC62" s="81"/>
      <c r="AD62" s="281"/>
      <c r="AE62" s="81"/>
      <c r="AF62" s="281"/>
      <c r="AG62" s="81"/>
      <c r="AH62" s="281"/>
      <c r="AI62" s="81"/>
      <c r="AJ62" s="281"/>
      <c r="AK62" s="81"/>
      <c r="AL62" s="281"/>
      <c r="AM62" s="81"/>
      <c r="AN62" s="281"/>
      <c r="AO62" s="81"/>
      <c r="AP62" s="281"/>
      <c r="AQ62" s="81"/>
      <c r="AR62" s="281"/>
      <c r="AS62" s="81"/>
      <c r="AT62" s="281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2">
        <f t="shared" si="0"/>
        <v>0</v>
      </c>
      <c r="H63" s="137">
        <f t="shared" si="1"/>
        <v>0</v>
      </c>
      <c r="I63" s="83"/>
      <c r="J63" s="286"/>
      <c r="K63" s="81"/>
      <c r="L63" s="281"/>
      <c r="M63" s="81"/>
      <c r="N63" s="281"/>
      <c r="O63" s="81"/>
      <c r="P63" s="281"/>
      <c r="Q63" s="81"/>
      <c r="R63" s="281"/>
      <c r="S63" s="81"/>
      <c r="T63" s="281"/>
      <c r="U63" s="81"/>
      <c r="V63" s="281"/>
      <c r="W63" s="81"/>
      <c r="X63" s="281"/>
      <c r="Y63" s="81"/>
      <c r="Z63" s="281"/>
      <c r="AA63" s="81"/>
      <c r="AB63" s="281"/>
      <c r="AC63" s="81"/>
      <c r="AD63" s="281"/>
      <c r="AE63" s="81"/>
      <c r="AF63" s="281"/>
      <c r="AG63" s="81"/>
      <c r="AH63" s="281"/>
      <c r="AI63" s="81"/>
      <c r="AJ63" s="281"/>
      <c r="AK63" s="81"/>
      <c r="AL63" s="281"/>
      <c r="AM63" s="81"/>
      <c r="AN63" s="281"/>
      <c r="AO63" s="81"/>
      <c r="AP63" s="281"/>
      <c r="AQ63" s="81"/>
      <c r="AR63" s="281"/>
      <c r="AS63" s="81"/>
      <c r="AT63" s="281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2">
        <f t="shared" si="0"/>
        <v>1</v>
      </c>
      <c r="H64" s="137">
        <f t="shared" si="1"/>
        <v>18.348623853211009</v>
      </c>
      <c r="I64" s="261" t="s">
        <v>463</v>
      </c>
      <c r="J64" s="285">
        <v>1</v>
      </c>
      <c r="K64" s="81"/>
      <c r="L64" s="281"/>
      <c r="M64" s="81"/>
      <c r="N64" s="281"/>
      <c r="O64" s="81"/>
      <c r="P64" s="281"/>
      <c r="Q64" s="81"/>
      <c r="R64" s="281"/>
      <c r="S64" s="81"/>
      <c r="T64" s="281"/>
      <c r="U64" s="81"/>
      <c r="V64" s="281"/>
      <c r="W64" s="81"/>
      <c r="X64" s="281"/>
      <c r="Y64" s="81"/>
      <c r="Z64" s="281"/>
      <c r="AA64" s="81"/>
      <c r="AB64" s="281"/>
      <c r="AC64" s="81"/>
      <c r="AD64" s="281"/>
      <c r="AE64" s="81"/>
      <c r="AF64" s="281"/>
      <c r="AG64" s="81"/>
      <c r="AH64" s="281"/>
      <c r="AI64" s="81"/>
      <c r="AJ64" s="281"/>
      <c r="AK64" s="81"/>
      <c r="AL64" s="281"/>
      <c r="AM64" s="81"/>
      <c r="AN64" s="281"/>
      <c r="AO64" s="81"/>
      <c r="AP64" s="281"/>
      <c r="AQ64" s="81"/>
      <c r="AR64" s="281"/>
      <c r="AS64" s="81"/>
      <c r="AT64" s="281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2">
        <f t="shared" si="0"/>
        <v>3</v>
      </c>
      <c r="H65" s="137">
        <f t="shared" si="1"/>
        <v>55.045871559633028</v>
      </c>
      <c r="I65" s="81" t="s">
        <v>464</v>
      </c>
      <c r="J65" s="281">
        <v>0.5</v>
      </c>
      <c r="K65" s="81" t="s">
        <v>465</v>
      </c>
      <c r="L65" s="281">
        <v>2.5</v>
      </c>
      <c r="M65" s="81"/>
      <c r="N65" s="281"/>
      <c r="O65" s="81"/>
      <c r="P65" s="281"/>
      <c r="Q65" s="81"/>
      <c r="R65" s="281"/>
      <c r="S65" s="81"/>
      <c r="T65" s="281"/>
      <c r="U65" s="81"/>
      <c r="V65" s="281"/>
      <c r="W65" s="81"/>
      <c r="X65" s="281"/>
      <c r="Y65" s="81"/>
      <c r="Z65" s="281"/>
      <c r="AA65" s="81"/>
      <c r="AB65" s="281"/>
      <c r="AC65" s="81"/>
      <c r="AD65" s="281"/>
      <c r="AE65" s="81"/>
      <c r="AF65" s="281"/>
      <c r="AG65" s="81"/>
      <c r="AH65" s="281"/>
      <c r="AI65" s="81"/>
      <c r="AJ65" s="281"/>
      <c r="AK65" s="81"/>
      <c r="AL65" s="281"/>
      <c r="AM65" s="81"/>
      <c r="AN65" s="281"/>
      <c r="AO65" s="81"/>
      <c r="AP65" s="281"/>
      <c r="AQ65" s="81"/>
      <c r="AR65" s="281"/>
      <c r="AS65" s="81"/>
      <c r="AT65" s="281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2">
        <f t="shared" si="0"/>
        <v>0</v>
      </c>
      <c r="H66" s="137">
        <f t="shared" si="1"/>
        <v>0</v>
      </c>
      <c r="I66" s="81"/>
      <c r="J66" s="281"/>
      <c r="K66" s="81"/>
      <c r="L66" s="281"/>
      <c r="M66" s="81"/>
      <c r="N66" s="281"/>
      <c r="O66" s="81"/>
      <c r="P66" s="281"/>
      <c r="Q66" s="81"/>
      <c r="R66" s="281"/>
      <c r="S66" s="81"/>
      <c r="T66" s="281"/>
      <c r="U66" s="81"/>
      <c r="V66" s="281"/>
      <c r="W66" s="81"/>
      <c r="X66" s="281"/>
      <c r="Y66" s="81"/>
      <c r="Z66" s="281"/>
      <c r="AA66" s="81"/>
      <c r="AB66" s="281"/>
      <c r="AC66" s="81"/>
      <c r="AD66" s="281"/>
      <c r="AE66" s="81"/>
      <c r="AF66" s="281"/>
      <c r="AG66" s="81"/>
      <c r="AH66" s="281"/>
      <c r="AI66" s="81"/>
      <c r="AJ66" s="281"/>
      <c r="AK66" s="81"/>
      <c r="AL66" s="281"/>
      <c r="AM66" s="81"/>
      <c r="AN66" s="281"/>
      <c r="AO66" s="81"/>
      <c r="AP66" s="281"/>
      <c r="AQ66" s="81"/>
      <c r="AR66" s="281"/>
      <c r="AS66" s="81"/>
      <c r="AT66" s="281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2">
        <f t="shared" si="0"/>
        <v>1.5</v>
      </c>
      <c r="H67" s="137">
        <f t="shared" si="1"/>
        <v>27.522935779816514</v>
      </c>
      <c r="I67" s="87" t="s">
        <v>466</v>
      </c>
      <c r="J67" s="283">
        <v>0.5</v>
      </c>
      <c r="K67" s="87" t="s">
        <v>467</v>
      </c>
      <c r="L67" s="283">
        <v>1</v>
      </c>
      <c r="M67" s="81"/>
      <c r="N67" s="281"/>
      <c r="O67" s="81"/>
      <c r="P67" s="281"/>
      <c r="Q67" s="81"/>
      <c r="R67" s="281"/>
      <c r="S67" s="81"/>
      <c r="T67" s="281"/>
      <c r="U67" s="81"/>
      <c r="V67" s="281"/>
      <c r="W67" s="81"/>
      <c r="X67" s="281"/>
      <c r="Y67" s="81"/>
      <c r="Z67" s="281"/>
      <c r="AA67" s="81"/>
      <c r="AB67" s="281"/>
      <c r="AC67" s="81"/>
      <c r="AD67" s="281"/>
      <c r="AE67" s="81"/>
      <c r="AF67" s="281"/>
      <c r="AG67" s="81"/>
      <c r="AH67" s="281"/>
      <c r="AI67" s="81"/>
      <c r="AJ67" s="281"/>
      <c r="AK67" s="81"/>
      <c r="AL67" s="281"/>
      <c r="AM67" s="81"/>
      <c r="AN67" s="281"/>
      <c r="AO67" s="81"/>
      <c r="AP67" s="281"/>
      <c r="AQ67" s="81"/>
      <c r="AR67" s="281"/>
      <c r="AS67" s="81"/>
      <c r="AT67" s="281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2">
        <f t="shared" si="0"/>
        <v>0</v>
      </c>
      <c r="H68" s="137">
        <f t="shared" si="1"/>
        <v>0</v>
      </c>
      <c r="I68" s="81"/>
      <c r="J68" s="281"/>
      <c r="K68" s="81"/>
      <c r="L68" s="281"/>
      <c r="M68" s="81"/>
      <c r="N68" s="281"/>
      <c r="O68" s="81"/>
      <c r="P68" s="281"/>
      <c r="Q68" s="81"/>
      <c r="R68" s="281"/>
      <c r="S68" s="81"/>
      <c r="T68" s="281"/>
      <c r="U68" s="81"/>
      <c r="V68" s="281"/>
      <c r="W68" s="81"/>
      <c r="X68" s="281"/>
      <c r="Y68" s="81"/>
      <c r="Z68" s="281"/>
      <c r="AA68" s="81"/>
      <c r="AB68" s="281"/>
      <c r="AC68" s="81"/>
      <c r="AD68" s="281"/>
      <c r="AE68" s="81"/>
      <c r="AF68" s="281"/>
      <c r="AG68" s="81"/>
      <c r="AH68" s="281"/>
      <c r="AI68" s="81"/>
      <c r="AJ68" s="281"/>
      <c r="AK68" s="81"/>
      <c r="AL68" s="281"/>
      <c r="AM68" s="81"/>
      <c r="AN68" s="281"/>
      <c r="AO68" s="81"/>
      <c r="AP68" s="281"/>
      <c r="AQ68" s="81"/>
      <c r="AR68" s="281"/>
      <c r="AS68" s="81"/>
      <c r="AT68" s="281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2">
        <f t="shared" si="0"/>
        <v>0</v>
      </c>
      <c r="H69" s="137">
        <f t="shared" si="1"/>
        <v>0</v>
      </c>
      <c r="I69" s="81"/>
      <c r="J69" s="281"/>
      <c r="K69" s="81"/>
      <c r="L69" s="281"/>
      <c r="M69" s="81"/>
      <c r="N69" s="281"/>
      <c r="O69" s="81"/>
      <c r="P69" s="281"/>
      <c r="Q69" s="81"/>
      <c r="R69" s="281"/>
      <c r="S69" s="81"/>
      <c r="T69" s="281"/>
      <c r="U69" s="81"/>
      <c r="V69" s="281"/>
      <c r="W69" s="81"/>
      <c r="X69" s="281"/>
      <c r="Y69" s="81"/>
      <c r="Z69" s="281"/>
      <c r="AA69" s="81"/>
      <c r="AB69" s="281"/>
      <c r="AC69" s="81"/>
      <c r="AD69" s="281"/>
      <c r="AE69" s="81"/>
      <c r="AF69" s="281"/>
      <c r="AG69" s="81"/>
      <c r="AH69" s="281"/>
      <c r="AI69" s="81"/>
      <c r="AJ69" s="281"/>
      <c r="AK69" s="81"/>
      <c r="AL69" s="281"/>
      <c r="AM69" s="81"/>
      <c r="AN69" s="281"/>
      <c r="AO69" s="81"/>
      <c r="AP69" s="281"/>
      <c r="AQ69" s="81"/>
      <c r="AR69" s="281"/>
      <c r="AS69" s="81"/>
      <c r="AT69" s="281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2">
        <f t="shared" si="0"/>
        <v>11.1</v>
      </c>
      <c r="H70" s="137">
        <f t="shared" si="1"/>
        <v>203.6697247706422</v>
      </c>
      <c r="I70" s="81" t="s">
        <v>468</v>
      </c>
      <c r="J70" s="281">
        <v>1</v>
      </c>
      <c r="K70" s="81" t="s">
        <v>469</v>
      </c>
      <c r="L70" s="281">
        <v>1</v>
      </c>
      <c r="M70" s="261" t="s">
        <v>470</v>
      </c>
      <c r="N70" s="285">
        <v>2</v>
      </c>
      <c r="O70" s="264" t="s">
        <v>471</v>
      </c>
      <c r="P70" s="285">
        <v>2</v>
      </c>
      <c r="Q70" s="261" t="s">
        <v>472</v>
      </c>
      <c r="R70" s="285">
        <v>2</v>
      </c>
      <c r="S70" s="264" t="s">
        <v>473</v>
      </c>
      <c r="T70" s="285">
        <v>2</v>
      </c>
      <c r="U70" s="92" t="s">
        <v>474</v>
      </c>
      <c r="V70" s="80">
        <v>1.1000000000000001</v>
      </c>
      <c r="W70" s="99"/>
      <c r="X70" s="291"/>
      <c r="Y70" s="101"/>
      <c r="Z70" s="291"/>
      <c r="AA70" s="81"/>
      <c r="AB70" s="281"/>
      <c r="AC70" s="81"/>
      <c r="AD70" s="281"/>
      <c r="AE70" s="81"/>
      <c r="AF70" s="281"/>
      <c r="AG70" s="81"/>
      <c r="AH70" s="281"/>
      <c r="AI70" s="81"/>
      <c r="AJ70" s="281"/>
      <c r="AK70" s="81"/>
      <c r="AL70" s="281"/>
      <c r="AM70" s="81"/>
      <c r="AN70" s="281"/>
      <c r="AO70" s="81"/>
      <c r="AP70" s="281"/>
      <c r="AQ70" s="81"/>
      <c r="AR70" s="281"/>
      <c r="AS70" s="81"/>
      <c r="AT70" s="281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2">
        <f t="shared" si="0"/>
        <v>1.5</v>
      </c>
      <c r="H71" s="137">
        <f t="shared" si="1"/>
        <v>27.522935779816514</v>
      </c>
      <c r="I71" s="81" t="s">
        <v>475</v>
      </c>
      <c r="J71" s="281">
        <v>1.5</v>
      </c>
      <c r="K71" s="81"/>
      <c r="L71" s="281"/>
      <c r="M71" s="81"/>
      <c r="N71" s="281"/>
      <c r="O71" s="81"/>
      <c r="P71" s="281"/>
      <c r="Q71" s="81"/>
      <c r="R71" s="281"/>
      <c r="S71" s="81"/>
      <c r="T71" s="281"/>
      <c r="U71" s="81"/>
      <c r="V71" s="281"/>
      <c r="W71" s="81"/>
      <c r="X71" s="281"/>
      <c r="Y71" s="81"/>
      <c r="Z71" s="281"/>
      <c r="AA71" s="81"/>
      <c r="AB71" s="281"/>
      <c r="AC71" s="81"/>
      <c r="AD71" s="281"/>
      <c r="AE71" s="81"/>
      <c r="AF71" s="281"/>
      <c r="AG71" s="81"/>
      <c r="AH71" s="281"/>
      <c r="AI71" s="81"/>
      <c r="AJ71" s="281"/>
      <c r="AK71" s="81"/>
      <c r="AL71" s="281"/>
      <c r="AM71" s="81"/>
      <c r="AN71" s="281"/>
      <c r="AO71" s="81"/>
      <c r="AP71" s="281"/>
      <c r="AQ71" s="81"/>
      <c r="AR71" s="281"/>
      <c r="AS71" s="81"/>
      <c r="AT71" s="281"/>
      <c r="AU71" s="81"/>
      <c r="AV71" s="50">
        <f>IFERROR(VLOOKUP(A71,'Site check'!A:Q,14,0),0)</f>
        <v>0</v>
      </c>
    </row>
    <row r="72" spans="1:48">
      <c r="A72" s="35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2">
        <f t="shared" si="0"/>
        <v>8.6</v>
      </c>
      <c r="H72" s="137">
        <f t="shared" si="1"/>
        <v>157.79816513761469</v>
      </c>
      <c r="I72" s="87"/>
      <c r="J72" s="283"/>
      <c r="K72" s="81" t="s">
        <v>476</v>
      </c>
      <c r="L72" s="281">
        <v>0.9</v>
      </c>
      <c r="M72" s="81" t="s">
        <v>477</v>
      </c>
      <c r="N72" s="281">
        <v>1.45</v>
      </c>
      <c r="O72" s="81" t="s">
        <v>478</v>
      </c>
      <c r="P72" s="281">
        <v>0.65</v>
      </c>
      <c r="Q72" s="81" t="s">
        <v>479</v>
      </c>
      <c r="R72" s="281">
        <v>1.25</v>
      </c>
      <c r="S72" s="89" t="s">
        <v>480</v>
      </c>
      <c r="T72" s="284">
        <v>0.35</v>
      </c>
      <c r="U72" s="87" t="s">
        <v>414</v>
      </c>
      <c r="V72" s="283">
        <v>4</v>
      </c>
      <c r="W72" s="81"/>
      <c r="X72" s="281"/>
      <c r="Y72" s="81"/>
      <c r="Z72" s="281"/>
      <c r="AA72" s="81"/>
      <c r="AB72" s="281"/>
      <c r="AC72" s="81"/>
      <c r="AD72" s="281"/>
      <c r="AE72" s="81"/>
      <c r="AF72" s="281"/>
      <c r="AG72" s="81"/>
      <c r="AH72" s="281"/>
      <c r="AI72" s="81"/>
      <c r="AJ72" s="281"/>
      <c r="AK72" s="81"/>
      <c r="AL72" s="281"/>
      <c r="AM72" s="81"/>
      <c r="AN72" s="281"/>
      <c r="AO72" s="81"/>
      <c r="AP72" s="281"/>
      <c r="AQ72" s="81"/>
      <c r="AR72" s="281"/>
      <c r="AS72" s="81"/>
      <c r="AT72" s="281"/>
      <c r="AU72" s="81"/>
      <c r="AV72" s="50">
        <f>IFERROR(VLOOKUP(A72,'Site check'!A:Q,14,0),0)</f>
        <v>0</v>
      </c>
    </row>
    <row r="73" spans="1:48">
      <c r="A73" s="35" t="s">
        <v>89</v>
      </c>
      <c r="B73" s="96"/>
      <c r="C73" s="4"/>
      <c r="D73" s="4"/>
      <c r="E73" s="4"/>
      <c r="F73" s="4"/>
      <c r="G73" s="252">
        <f t="shared" ref="G73" si="4">SUM(J73,L73,N73,P73,R73,T73,V73,X73,Z73,AB73,AD73,AF73,AH73,AJ73,AL73,AN73,AP73,AR73,AT73,AV73)</f>
        <v>9.1999999999999993</v>
      </c>
      <c r="H73" s="137">
        <f t="shared" ref="H73" si="5">SUM(G73*1000)/54.5</f>
        <v>168.80733944954127</v>
      </c>
      <c r="I73" s="87"/>
      <c r="J73" s="283"/>
      <c r="K73" s="81" t="s">
        <v>476</v>
      </c>
      <c r="L73" s="281">
        <v>1.2</v>
      </c>
      <c r="M73" s="81" t="s">
        <v>477</v>
      </c>
      <c r="N73" s="281">
        <v>1.45</v>
      </c>
      <c r="O73" s="81" t="s">
        <v>478</v>
      </c>
      <c r="P73" s="281">
        <v>0.65</v>
      </c>
      <c r="Q73" s="81" t="s">
        <v>479</v>
      </c>
      <c r="R73" s="281">
        <v>1.35</v>
      </c>
      <c r="S73" s="89" t="s">
        <v>480</v>
      </c>
      <c r="T73" s="284">
        <v>0.55000000000000004</v>
      </c>
      <c r="U73" s="87" t="s">
        <v>414</v>
      </c>
      <c r="V73" s="283">
        <v>4</v>
      </c>
      <c r="W73" s="81"/>
      <c r="X73" s="281"/>
      <c r="Y73" s="81"/>
      <c r="Z73" s="281"/>
      <c r="AA73" s="81"/>
      <c r="AB73" s="281"/>
      <c r="AC73" s="81"/>
      <c r="AD73" s="281"/>
      <c r="AE73" s="81"/>
      <c r="AF73" s="281"/>
      <c r="AG73" s="81"/>
      <c r="AH73" s="281"/>
      <c r="AI73" s="81"/>
      <c r="AJ73" s="281"/>
      <c r="AK73" s="81"/>
      <c r="AL73" s="281"/>
      <c r="AM73" s="81"/>
      <c r="AN73" s="281"/>
      <c r="AO73" s="81"/>
      <c r="AP73" s="281"/>
      <c r="AQ73" s="81"/>
      <c r="AR73" s="281"/>
      <c r="AS73" s="81"/>
      <c r="AT73" s="281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444</v>
      </c>
      <c r="F74" s="4"/>
      <c r="G74" s="252">
        <f t="shared" ref="G74:G141" si="6">SUM(J74,L74,N74,P74,R74,T74,V74,X74,Z74,AB74,AD74,AF74,AH74,AJ74,AL74,AN74,AP74,AR74,AT74,AV74)</f>
        <v>6.9</v>
      </c>
      <c r="H74" s="137">
        <f t="shared" si="1"/>
        <v>126.60550458715596</v>
      </c>
      <c r="I74" s="81" t="s">
        <v>481</v>
      </c>
      <c r="J74" s="281">
        <v>5.9</v>
      </c>
      <c r="K74" s="254" t="s">
        <v>482</v>
      </c>
      <c r="L74" s="301">
        <v>1</v>
      </c>
      <c r="M74" s="106"/>
      <c r="N74" s="301"/>
      <c r="O74" s="81"/>
      <c r="P74" s="281"/>
      <c r="Q74" s="81"/>
      <c r="R74" s="281"/>
      <c r="S74" s="81"/>
      <c r="T74" s="281"/>
      <c r="U74" s="81"/>
      <c r="V74" s="281"/>
      <c r="W74" s="81"/>
      <c r="X74" s="281"/>
      <c r="Y74" s="81"/>
      <c r="Z74" s="281"/>
      <c r="AA74" s="81"/>
      <c r="AB74" s="281"/>
      <c r="AC74" s="81"/>
      <c r="AD74" s="281"/>
      <c r="AE74" s="81"/>
      <c r="AF74" s="281"/>
      <c r="AG74" s="81"/>
      <c r="AH74" s="281"/>
      <c r="AI74" s="81"/>
      <c r="AJ74" s="281"/>
      <c r="AK74" s="81"/>
      <c r="AL74" s="281"/>
      <c r="AM74" s="81"/>
      <c r="AN74" s="281"/>
      <c r="AO74" s="81"/>
      <c r="AP74" s="281"/>
      <c r="AQ74" s="81"/>
      <c r="AR74" s="281"/>
      <c r="AS74" s="81"/>
      <c r="AT74" s="281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2">
        <f t="shared" si="6"/>
        <v>6.8</v>
      </c>
      <c r="H75" s="137">
        <f t="shared" ref="H75:H142" si="7">SUM(G75*1000)/54.5</f>
        <v>124.77064220183486</v>
      </c>
      <c r="I75" s="81" t="s">
        <v>481</v>
      </c>
      <c r="J75" s="281">
        <v>5.8</v>
      </c>
      <c r="K75" s="254" t="s">
        <v>482</v>
      </c>
      <c r="L75" s="301">
        <v>1</v>
      </c>
      <c r="M75" s="106"/>
      <c r="N75" s="301"/>
      <c r="O75" s="81"/>
      <c r="P75" s="281"/>
      <c r="Q75" s="81"/>
      <c r="R75" s="281"/>
      <c r="S75" s="81"/>
      <c r="T75" s="281"/>
      <c r="U75" s="81"/>
      <c r="V75" s="281"/>
      <c r="W75" s="81"/>
      <c r="X75" s="281"/>
      <c r="Y75" s="81"/>
      <c r="Z75" s="281"/>
      <c r="AA75" s="81"/>
      <c r="AB75" s="281"/>
      <c r="AC75" s="81"/>
      <c r="AD75" s="281"/>
      <c r="AE75" s="81"/>
      <c r="AF75" s="281"/>
      <c r="AG75" s="81"/>
      <c r="AH75" s="281"/>
      <c r="AI75" s="81"/>
      <c r="AJ75" s="281"/>
      <c r="AK75" s="81"/>
      <c r="AL75" s="281"/>
      <c r="AM75" s="81"/>
      <c r="AN75" s="281"/>
      <c r="AO75" s="81"/>
      <c r="AP75" s="281"/>
      <c r="AQ75" s="81"/>
      <c r="AR75" s="281"/>
      <c r="AS75" s="81"/>
      <c r="AT75" s="281"/>
      <c r="AU75" s="81"/>
      <c r="AV75" s="50">
        <f>IFERROR(VLOOKUP(A75,'Site check'!A:Q,14,0),0)</f>
        <v>0</v>
      </c>
    </row>
    <row r="76" spans="1:48">
      <c r="A76" s="35" t="s">
        <v>92</v>
      </c>
      <c r="B76" s="96"/>
      <c r="C76" s="96"/>
      <c r="D76" s="4"/>
      <c r="E76" s="4"/>
      <c r="F76" s="30" t="s">
        <v>321</v>
      </c>
      <c r="G76" s="252">
        <f t="shared" si="6"/>
        <v>16.5</v>
      </c>
      <c r="H76" s="137">
        <f t="shared" si="7"/>
        <v>302.75229357798167</v>
      </c>
      <c r="I76" s="81" t="s">
        <v>483</v>
      </c>
      <c r="J76" s="281">
        <v>4.5</v>
      </c>
      <c r="K76" s="81" t="s">
        <v>484</v>
      </c>
      <c r="L76" s="281">
        <v>4.5</v>
      </c>
      <c r="M76" s="81" t="s">
        <v>485</v>
      </c>
      <c r="N76" s="281">
        <v>4.5</v>
      </c>
      <c r="O76" s="261" t="s">
        <v>486</v>
      </c>
      <c r="P76" s="285">
        <v>2</v>
      </c>
      <c r="Q76" s="101" t="s">
        <v>487</v>
      </c>
      <c r="R76" s="291">
        <v>1</v>
      </c>
      <c r="S76" s="81"/>
      <c r="T76" s="281"/>
      <c r="U76" s="81"/>
      <c r="V76" s="281"/>
      <c r="W76" s="81"/>
      <c r="X76" s="281"/>
      <c r="Y76" s="81"/>
      <c r="Z76" s="281"/>
      <c r="AA76" s="81"/>
      <c r="AB76" s="281"/>
      <c r="AC76" s="81"/>
      <c r="AD76" s="281"/>
      <c r="AE76" s="81"/>
      <c r="AF76" s="281"/>
      <c r="AG76" s="81"/>
      <c r="AH76" s="281"/>
      <c r="AI76" s="81"/>
      <c r="AJ76" s="281"/>
      <c r="AK76" s="81"/>
      <c r="AL76" s="281"/>
      <c r="AM76" s="81"/>
      <c r="AN76" s="281"/>
      <c r="AO76" s="81"/>
      <c r="AP76" s="281"/>
      <c r="AQ76" s="81"/>
      <c r="AR76" s="281"/>
      <c r="AS76" s="81"/>
      <c r="AT76" s="281"/>
      <c r="AU76" s="81"/>
      <c r="AV76" s="50">
        <f>IFERROR(VLOOKUP(A76,'Site check'!A:Q,14,0),0)</f>
        <v>0</v>
      </c>
    </row>
    <row r="77" spans="1:48">
      <c r="A77" s="35" t="s">
        <v>93</v>
      </c>
      <c r="B77" s="96"/>
      <c r="C77" s="96"/>
      <c r="D77" s="4"/>
      <c r="E77" s="4"/>
      <c r="F77" s="30"/>
      <c r="G77" s="252"/>
      <c r="H77" s="137"/>
      <c r="I77" s="81"/>
      <c r="J77" s="281"/>
      <c r="K77" s="81"/>
      <c r="L77" s="281"/>
      <c r="M77" s="81"/>
      <c r="N77" s="281"/>
      <c r="O77" s="261"/>
      <c r="P77" s="285"/>
      <c r="Q77" s="101"/>
      <c r="R77" s="291"/>
      <c r="S77" s="81"/>
      <c r="T77" s="281"/>
      <c r="U77" s="81"/>
      <c r="V77" s="281"/>
      <c r="W77" s="81"/>
      <c r="X77" s="281"/>
      <c r="Y77" s="81"/>
      <c r="Z77" s="281"/>
      <c r="AA77" s="81"/>
      <c r="AB77" s="281"/>
      <c r="AC77" s="81"/>
      <c r="AD77" s="281"/>
      <c r="AE77" s="81"/>
      <c r="AF77" s="281"/>
      <c r="AG77" s="81"/>
      <c r="AH77" s="281"/>
      <c r="AI77" s="81"/>
      <c r="AJ77" s="281"/>
      <c r="AK77" s="81"/>
      <c r="AL77" s="281"/>
      <c r="AM77" s="81"/>
      <c r="AN77" s="281"/>
      <c r="AO77" s="81"/>
      <c r="AP77" s="281"/>
      <c r="AQ77" s="81"/>
      <c r="AR77" s="281"/>
      <c r="AS77" s="81"/>
      <c r="AT77" s="281"/>
      <c r="AU77" s="81"/>
      <c r="AV77" s="50"/>
    </row>
    <row r="78" spans="1:48">
      <c r="A78" s="35" t="s">
        <v>94</v>
      </c>
      <c r="B78" s="96"/>
      <c r="C78" s="4"/>
      <c r="D78" s="4"/>
      <c r="E78" s="4"/>
      <c r="F78" s="4"/>
      <c r="G78" s="252">
        <f t="shared" si="6"/>
        <v>0</v>
      </c>
      <c r="H78" s="137">
        <f t="shared" si="7"/>
        <v>0</v>
      </c>
      <c r="I78" s="81"/>
      <c r="J78" s="281"/>
      <c r="K78" s="81"/>
      <c r="L78" s="281"/>
      <c r="M78" s="81"/>
      <c r="N78" s="281"/>
      <c r="O78" s="81"/>
      <c r="P78" s="281"/>
      <c r="Q78" s="81"/>
      <c r="R78" s="281"/>
      <c r="S78" s="81"/>
      <c r="T78" s="281"/>
      <c r="U78" s="81"/>
      <c r="V78" s="281"/>
      <c r="W78" s="81"/>
      <c r="X78" s="281"/>
      <c r="Y78" s="81"/>
      <c r="Z78" s="281"/>
      <c r="AA78" s="81"/>
      <c r="AB78" s="281"/>
      <c r="AC78" s="81"/>
      <c r="AD78" s="281"/>
      <c r="AE78" s="81"/>
      <c r="AF78" s="281"/>
      <c r="AG78" s="81"/>
      <c r="AH78" s="281"/>
      <c r="AI78" s="81"/>
      <c r="AJ78" s="281"/>
      <c r="AK78" s="81"/>
      <c r="AL78" s="281"/>
      <c r="AM78" s="81"/>
      <c r="AN78" s="281"/>
      <c r="AO78" s="81"/>
      <c r="AP78" s="281"/>
      <c r="AQ78" s="81"/>
      <c r="AR78" s="281"/>
      <c r="AS78" s="81"/>
      <c r="AT78" s="281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2">
        <f t="shared" si="6"/>
        <v>2</v>
      </c>
      <c r="H79" s="137">
        <f t="shared" si="7"/>
        <v>36.697247706422019</v>
      </c>
      <c r="I79" s="87" t="s">
        <v>488</v>
      </c>
      <c r="J79" s="283">
        <v>2</v>
      </c>
      <c r="K79" s="81"/>
      <c r="L79" s="281"/>
      <c r="M79" s="81"/>
      <c r="N79" s="281"/>
      <c r="O79" s="81"/>
      <c r="P79" s="281"/>
      <c r="Q79" s="81"/>
      <c r="R79" s="281"/>
      <c r="S79" s="81"/>
      <c r="T79" s="281"/>
      <c r="U79" s="81"/>
      <c r="V79" s="281"/>
      <c r="W79" s="81"/>
      <c r="X79" s="281"/>
      <c r="Y79" s="81"/>
      <c r="Z79" s="281"/>
      <c r="AA79" s="81"/>
      <c r="AB79" s="281"/>
      <c r="AC79" s="81"/>
      <c r="AD79" s="281"/>
      <c r="AE79" s="81"/>
      <c r="AF79" s="281"/>
      <c r="AG79" s="81"/>
      <c r="AH79" s="281"/>
      <c r="AI79" s="81"/>
      <c r="AJ79" s="281"/>
      <c r="AK79" s="81"/>
      <c r="AL79" s="281"/>
      <c r="AM79" s="81"/>
      <c r="AN79" s="281"/>
      <c r="AO79" s="81"/>
      <c r="AP79" s="281"/>
      <c r="AQ79" s="81"/>
      <c r="AR79" s="281"/>
      <c r="AS79" s="81"/>
      <c r="AT79" s="281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444</v>
      </c>
      <c r="F80" s="4"/>
      <c r="G80" s="252">
        <f t="shared" si="6"/>
        <v>6.8</v>
      </c>
      <c r="H80" s="137">
        <f t="shared" si="7"/>
        <v>124.77064220183486</v>
      </c>
      <c r="I80" s="81" t="s">
        <v>489</v>
      </c>
      <c r="J80" s="281">
        <v>5.8</v>
      </c>
      <c r="K80" s="254" t="s">
        <v>490</v>
      </c>
      <c r="L80" s="302">
        <v>1</v>
      </c>
      <c r="M80" s="254"/>
      <c r="N80" s="302"/>
      <c r="O80" s="81"/>
      <c r="P80" s="281"/>
      <c r="Q80" s="81"/>
      <c r="R80" s="281"/>
      <c r="S80" s="81"/>
      <c r="T80" s="281"/>
      <c r="U80" s="81"/>
      <c r="V80" s="281"/>
      <c r="W80" s="81"/>
      <c r="X80" s="281"/>
      <c r="Y80" s="81"/>
      <c r="Z80" s="281"/>
      <c r="AA80" s="81"/>
      <c r="AB80" s="281"/>
      <c r="AC80" s="81"/>
      <c r="AD80" s="281"/>
      <c r="AE80" s="81"/>
      <c r="AF80" s="281"/>
      <c r="AG80" s="81"/>
      <c r="AH80" s="281"/>
      <c r="AI80" s="81"/>
      <c r="AJ80" s="281"/>
      <c r="AK80" s="81"/>
      <c r="AL80" s="281"/>
      <c r="AM80" s="81"/>
      <c r="AN80" s="281"/>
      <c r="AO80" s="81"/>
      <c r="AP80" s="281"/>
      <c r="AQ80" s="81"/>
      <c r="AR80" s="281"/>
      <c r="AS80" s="81"/>
      <c r="AT80" s="281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2">
        <f t="shared" si="6"/>
        <v>6.9</v>
      </c>
      <c r="H81" s="137">
        <f t="shared" si="7"/>
        <v>126.60550458715596</v>
      </c>
      <c r="I81" s="81" t="s">
        <v>489</v>
      </c>
      <c r="J81" s="281">
        <v>5.9</v>
      </c>
      <c r="K81" s="254" t="s">
        <v>490</v>
      </c>
      <c r="L81" s="302">
        <v>1</v>
      </c>
      <c r="M81" s="254"/>
      <c r="N81" s="302"/>
      <c r="O81" s="81"/>
      <c r="P81" s="281"/>
      <c r="Q81" s="81"/>
      <c r="R81" s="281"/>
      <c r="S81" s="81"/>
      <c r="T81" s="281"/>
      <c r="U81" s="81"/>
      <c r="V81" s="281"/>
      <c r="W81" s="81"/>
      <c r="X81" s="281"/>
      <c r="Y81" s="81"/>
      <c r="Z81" s="281"/>
      <c r="AA81" s="81"/>
      <c r="AB81" s="281"/>
      <c r="AC81" s="81"/>
      <c r="AD81" s="281"/>
      <c r="AE81" s="81"/>
      <c r="AF81" s="281"/>
      <c r="AG81" s="81"/>
      <c r="AH81" s="281"/>
      <c r="AI81" s="81"/>
      <c r="AJ81" s="281"/>
      <c r="AK81" s="81"/>
      <c r="AL81" s="281"/>
      <c r="AM81" s="81"/>
      <c r="AN81" s="281"/>
      <c r="AO81" s="81"/>
      <c r="AP81" s="281"/>
      <c r="AQ81" s="81"/>
      <c r="AR81" s="281"/>
      <c r="AS81" s="81"/>
      <c r="AT81" s="281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2">
        <f t="shared" si="6"/>
        <v>0</v>
      </c>
      <c r="H82" s="137">
        <f t="shared" si="7"/>
        <v>0</v>
      </c>
      <c r="I82" s="81"/>
      <c r="J82" s="281"/>
      <c r="K82" s="81"/>
      <c r="L82" s="281"/>
      <c r="M82" s="81"/>
      <c r="N82" s="281"/>
      <c r="O82" s="81"/>
      <c r="P82" s="281"/>
      <c r="Q82" s="81"/>
      <c r="R82" s="281"/>
      <c r="S82" s="81"/>
      <c r="T82" s="281"/>
      <c r="U82" s="81"/>
      <c r="V82" s="281"/>
      <c r="W82" s="81"/>
      <c r="X82" s="281"/>
      <c r="Y82" s="81"/>
      <c r="Z82" s="281"/>
      <c r="AA82" s="81"/>
      <c r="AB82" s="281"/>
      <c r="AC82" s="81"/>
      <c r="AD82" s="281"/>
      <c r="AE82" s="81"/>
      <c r="AF82" s="281"/>
      <c r="AG82" s="81"/>
      <c r="AH82" s="281"/>
      <c r="AI82" s="81"/>
      <c r="AJ82" s="281"/>
      <c r="AK82" s="81"/>
      <c r="AL82" s="281"/>
      <c r="AM82" s="81"/>
      <c r="AN82" s="281"/>
      <c r="AO82" s="81"/>
      <c r="AP82" s="281"/>
      <c r="AQ82" s="81"/>
      <c r="AR82" s="281"/>
      <c r="AS82" s="81"/>
      <c r="AT82" s="281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2">
        <f t="shared" si="6"/>
        <v>4</v>
      </c>
      <c r="H83" s="137">
        <f t="shared" si="7"/>
        <v>73.394495412844037</v>
      </c>
      <c r="I83" s="81" t="s">
        <v>491</v>
      </c>
      <c r="J83" s="281">
        <v>3</v>
      </c>
      <c r="K83" s="264" t="s">
        <v>492</v>
      </c>
      <c r="L83" s="285">
        <v>1</v>
      </c>
      <c r="M83" s="81"/>
      <c r="N83" s="281"/>
      <c r="O83" s="81"/>
      <c r="P83" s="281"/>
      <c r="Q83" s="81"/>
      <c r="R83" s="281"/>
      <c r="S83" s="81"/>
      <c r="T83" s="281"/>
      <c r="U83" s="81"/>
      <c r="V83" s="281"/>
      <c r="W83" s="81"/>
      <c r="X83" s="281"/>
      <c r="Y83" s="81"/>
      <c r="Z83" s="281"/>
      <c r="AA83" s="81"/>
      <c r="AB83" s="281"/>
      <c r="AC83" s="81"/>
      <c r="AD83" s="281"/>
      <c r="AE83" s="81"/>
      <c r="AF83" s="281"/>
      <c r="AG83" s="81"/>
      <c r="AH83" s="281"/>
      <c r="AI83" s="81"/>
      <c r="AJ83" s="281"/>
      <c r="AK83" s="81"/>
      <c r="AL83" s="281"/>
      <c r="AM83" s="81"/>
      <c r="AN83" s="281"/>
      <c r="AO83" s="81"/>
      <c r="AP83" s="281"/>
      <c r="AQ83" s="81"/>
      <c r="AR83" s="281"/>
      <c r="AS83" s="81"/>
      <c r="AT83" s="281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2">
        <f t="shared" si="6"/>
        <v>3</v>
      </c>
      <c r="H84" s="137">
        <f t="shared" si="7"/>
        <v>55.045871559633028</v>
      </c>
      <c r="I84" s="81" t="s">
        <v>493</v>
      </c>
      <c r="J84" s="281">
        <v>2</v>
      </c>
      <c r="K84" s="261" t="s">
        <v>494</v>
      </c>
      <c r="L84" s="285">
        <v>1</v>
      </c>
      <c r="M84" s="81"/>
      <c r="N84" s="281"/>
      <c r="O84" s="81"/>
      <c r="P84" s="281"/>
      <c r="Q84" s="81"/>
      <c r="R84" s="281"/>
      <c r="S84" s="81"/>
      <c r="T84" s="281"/>
      <c r="U84" s="81"/>
      <c r="V84" s="281"/>
      <c r="W84" s="81"/>
      <c r="X84" s="281"/>
      <c r="Y84" s="81"/>
      <c r="Z84" s="281"/>
      <c r="AA84" s="81"/>
      <c r="AB84" s="281"/>
      <c r="AC84" s="81"/>
      <c r="AD84" s="281"/>
      <c r="AE84" s="81"/>
      <c r="AF84" s="281"/>
      <c r="AG84" s="81"/>
      <c r="AH84" s="281"/>
      <c r="AI84" s="81"/>
      <c r="AJ84" s="281"/>
      <c r="AK84" s="81"/>
      <c r="AL84" s="281"/>
      <c r="AM84" s="81"/>
      <c r="AN84" s="281"/>
      <c r="AO84" s="81"/>
      <c r="AP84" s="281"/>
      <c r="AQ84" s="81"/>
      <c r="AR84" s="281"/>
      <c r="AS84" s="81"/>
      <c r="AT84" s="281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2">
        <f t="shared" si="6"/>
        <v>1</v>
      </c>
      <c r="H85" s="137">
        <f t="shared" si="7"/>
        <v>18.348623853211009</v>
      </c>
      <c r="I85" s="81"/>
      <c r="J85" s="281"/>
      <c r="K85" s="261" t="s">
        <v>495</v>
      </c>
      <c r="L85" s="285">
        <v>1</v>
      </c>
      <c r="M85" s="81"/>
      <c r="N85" s="281"/>
      <c r="O85" s="81"/>
      <c r="P85" s="281"/>
      <c r="Q85" s="81"/>
      <c r="R85" s="281"/>
      <c r="S85" s="81"/>
      <c r="T85" s="281"/>
      <c r="U85" s="81"/>
      <c r="V85" s="281"/>
      <c r="W85" s="81"/>
      <c r="X85" s="281"/>
      <c r="Y85" s="81"/>
      <c r="Z85" s="281"/>
      <c r="AA85" s="81"/>
      <c r="AB85" s="281"/>
      <c r="AC85" s="81"/>
      <c r="AD85" s="281"/>
      <c r="AE85" s="81"/>
      <c r="AF85" s="281"/>
      <c r="AG85" s="81"/>
      <c r="AH85" s="281"/>
      <c r="AI85" s="81"/>
      <c r="AJ85" s="281"/>
      <c r="AK85" s="81"/>
      <c r="AL85" s="281"/>
      <c r="AM85" s="81"/>
      <c r="AN85" s="281"/>
      <c r="AO85" s="81"/>
      <c r="AP85" s="281"/>
      <c r="AQ85" s="81"/>
      <c r="AR85" s="281"/>
      <c r="AS85" s="81"/>
      <c r="AT85" s="281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2">
        <f t="shared" si="6"/>
        <v>4.4000000000000004</v>
      </c>
      <c r="H86" s="137">
        <f t="shared" si="7"/>
        <v>80.733944954128447</v>
      </c>
      <c r="I86" s="83" t="s">
        <v>496</v>
      </c>
      <c r="J86" s="286">
        <v>4.4000000000000004</v>
      </c>
      <c r="K86" s="81"/>
      <c r="L86" s="281"/>
      <c r="M86" s="81"/>
      <c r="N86" s="281"/>
      <c r="O86" s="81"/>
      <c r="P86" s="281"/>
      <c r="Q86" s="81"/>
      <c r="R86" s="281"/>
      <c r="S86" s="81"/>
      <c r="T86" s="281"/>
      <c r="U86" s="81"/>
      <c r="V86" s="281"/>
      <c r="W86" s="81"/>
      <c r="X86" s="281"/>
      <c r="Y86" s="81"/>
      <c r="Z86" s="281"/>
      <c r="AA86" s="81"/>
      <c r="AB86" s="281"/>
      <c r="AC86" s="81"/>
      <c r="AD86" s="281"/>
      <c r="AE86" s="81"/>
      <c r="AF86" s="281"/>
      <c r="AG86" s="81"/>
      <c r="AH86" s="281"/>
      <c r="AI86" s="81"/>
      <c r="AJ86" s="281"/>
      <c r="AK86" s="81"/>
      <c r="AL86" s="281"/>
      <c r="AM86" s="81"/>
      <c r="AN86" s="281"/>
      <c r="AO86" s="81"/>
      <c r="AP86" s="281"/>
      <c r="AQ86" s="81"/>
      <c r="AR86" s="281"/>
      <c r="AS86" s="81"/>
      <c r="AT86" s="281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2">
        <f t="shared" si="6"/>
        <v>2</v>
      </c>
      <c r="H87" s="137">
        <f t="shared" si="7"/>
        <v>36.697247706422019</v>
      </c>
      <c r="I87" s="87" t="s">
        <v>497</v>
      </c>
      <c r="J87" s="283">
        <v>1</v>
      </c>
      <c r="K87" s="87" t="s">
        <v>498</v>
      </c>
      <c r="L87" s="283">
        <v>1</v>
      </c>
      <c r="M87" s="81"/>
      <c r="N87" s="281"/>
      <c r="O87" s="81"/>
      <c r="P87" s="281"/>
      <c r="Q87" s="81"/>
      <c r="R87" s="281"/>
      <c r="S87" s="81"/>
      <c r="T87" s="281"/>
      <c r="U87" s="81"/>
      <c r="V87" s="281"/>
      <c r="W87" s="81"/>
      <c r="X87" s="281"/>
      <c r="Y87" s="81"/>
      <c r="Z87" s="281"/>
      <c r="AA87" s="81"/>
      <c r="AB87" s="281"/>
      <c r="AC87" s="81"/>
      <c r="AD87" s="281"/>
      <c r="AE87" s="81"/>
      <c r="AF87" s="281"/>
      <c r="AG87" s="81"/>
      <c r="AH87" s="281"/>
      <c r="AI87" s="81"/>
      <c r="AJ87" s="281"/>
      <c r="AK87" s="81"/>
      <c r="AL87" s="281"/>
      <c r="AM87" s="81"/>
      <c r="AN87" s="281"/>
      <c r="AO87" s="81"/>
      <c r="AP87" s="281"/>
      <c r="AQ87" s="81"/>
      <c r="AR87" s="281"/>
      <c r="AS87" s="81"/>
      <c r="AT87" s="281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2">
        <f t="shared" si="6"/>
        <v>0</v>
      </c>
      <c r="H88" s="137">
        <f t="shared" si="7"/>
        <v>0</v>
      </c>
      <c r="I88" s="87"/>
      <c r="J88" s="283"/>
      <c r="K88" s="81"/>
      <c r="L88" s="281"/>
      <c r="M88" s="81"/>
      <c r="N88" s="281"/>
      <c r="O88" s="81"/>
      <c r="P88" s="281"/>
      <c r="Q88" s="81"/>
      <c r="R88" s="281"/>
      <c r="S88" s="81"/>
      <c r="T88" s="281"/>
      <c r="U88" s="81"/>
      <c r="V88" s="281"/>
      <c r="W88" s="81"/>
      <c r="X88" s="281"/>
      <c r="Y88" s="81"/>
      <c r="Z88" s="281"/>
      <c r="AA88" s="81"/>
      <c r="AB88" s="281"/>
      <c r="AC88" s="81"/>
      <c r="AD88" s="281"/>
      <c r="AE88" s="81"/>
      <c r="AF88" s="281"/>
      <c r="AG88" s="81"/>
      <c r="AH88" s="281"/>
      <c r="AI88" s="81"/>
      <c r="AJ88" s="281"/>
      <c r="AK88" s="81"/>
      <c r="AL88" s="281"/>
      <c r="AM88" s="81"/>
      <c r="AN88" s="281"/>
      <c r="AO88" s="81"/>
      <c r="AP88" s="281"/>
      <c r="AQ88" s="81"/>
      <c r="AR88" s="281"/>
      <c r="AS88" s="81"/>
      <c r="AT88" s="281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2">
        <f t="shared" si="6"/>
        <v>0</v>
      </c>
      <c r="H89" s="137">
        <f t="shared" si="7"/>
        <v>0</v>
      </c>
      <c r="I89" s="87"/>
      <c r="J89" s="283"/>
      <c r="K89" s="81"/>
      <c r="L89" s="281"/>
      <c r="M89" s="81"/>
      <c r="N89" s="281"/>
      <c r="O89" s="81"/>
      <c r="P89" s="281"/>
      <c r="Q89" s="81"/>
      <c r="R89" s="281"/>
      <c r="S89" s="81"/>
      <c r="T89" s="281"/>
      <c r="U89" s="81"/>
      <c r="V89" s="281"/>
      <c r="W89" s="81"/>
      <c r="X89" s="281"/>
      <c r="Y89" s="81"/>
      <c r="Z89" s="281"/>
      <c r="AA89" s="81"/>
      <c r="AB89" s="281"/>
      <c r="AC89" s="81"/>
      <c r="AD89" s="281"/>
      <c r="AE89" s="81"/>
      <c r="AF89" s="281"/>
      <c r="AG89" s="81"/>
      <c r="AH89" s="281"/>
      <c r="AI89" s="81"/>
      <c r="AJ89" s="281"/>
      <c r="AK89" s="81"/>
      <c r="AL89" s="281"/>
      <c r="AM89" s="81"/>
      <c r="AN89" s="281"/>
      <c r="AO89" s="81"/>
      <c r="AP89" s="281"/>
      <c r="AQ89" s="81"/>
      <c r="AR89" s="281"/>
      <c r="AS89" s="81"/>
      <c r="AT89" s="281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2">
        <f t="shared" si="6"/>
        <v>0</v>
      </c>
      <c r="H90" s="137">
        <f t="shared" si="7"/>
        <v>0</v>
      </c>
      <c r="I90" s="87"/>
      <c r="J90" s="283"/>
      <c r="K90" s="81"/>
      <c r="L90" s="281"/>
      <c r="M90" s="81"/>
      <c r="N90" s="281"/>
      <c r="O90" s="81"/>
      <c r="P90" s="281"/>
      <c r="Q90" s="81"/>
      <c r="R90" s="281"/>
      <c r="S90" s="81"/>
      <c r="T90" s="281"/>
      <c r="U90" s="81"/>
      <c r="V90" s="281"/>
      <c r="W90" s="81"/>
      <c r="X90" s="281"/>
      <c r="Y90" s="81"/>
      <c r="Z90" s="281"/>
      <c r="AA90" s="81"/>
      <c r="AB90" s="281"/>
      <c r="AC90" s="81"/>
      <c r="AD90" s="281"/>
      <c r="AE90" s="81"/>
      <c r="AF90" s="281"/>
      <c r="AG90" s="81"/>
      <c r="AH90" s="281"/>
      <c r="AI90" s="81"/>
      <c r="AJ90" s="281"/>
      <c r="AK90" s="81"/>
      <c r="AL90" s="281"/>
      <c r="AM90" s="81"/>
      <c r="AN90" s="281"/>
      <c r="AO90" s="81"/>
      <c r="AP90" s="281"/>
      <c r="AQ90" s="81"/>
      <c r="AR90" s="281"/>
      <c r="AS90" s="81"/>
      <c r="AT90" s="281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2">
        <f t="shared" si="6"/>
        <v>7.4</v>
      </c>
      <c r="H91" s="137">
        <f t="shared" si="7"/>
        <v>135.77981651376146</v>
      </c>
      <c r="I91" s="87" t="s">
        <v>499</v>
      </c>
      <c r="J91" s="283">
        <v>2.4</v>
      </c>
      <c r="K91" s="264" t="s">
        <v>500</v>
      </c>
      <c r="L91" s="285">
        <v>2</v>
      </c>
      <c r="M91" s="261" t="s">
        <v>501</v>
      </c>
      <c r="N91" s="285">
        <v>2</v>
      </c>
      <c r="O91" s="101" t="s">
        <v>502</v>
      </c>
      <c r="P91" s="291">
        <v>1</v>
      </c>
      <c r="Q91" s="81"/>
      <c r="R91" s="281"/>
      <c r="S91" s="81"/>
      <c r="T91" s="281"/>
      <c r="U91" s="81"/>
      <c r="V91" s="281"/>
      <c r="W91" s="81"/>
      <c r="X91" s="281"/>
      <c r="Y91" s="81"/>
      <c r="Z91" s="281"/>
      <c r="AA91" s="81"/>
      <c r="AB91" s="281"/>
      <c r="AC91" s="81"/>
      <c r="AD91" s="281"/>
      <c r="AE91" s="81"/>
      <c r="AF91" s="281"/>
      <c r="AG91" s="81"/>
      <c r="AH91" s="281"/>
      <c r="AI91" s="81"/>
      <c r="AJ91" s="281"/>
      <c r="AK91" s="81"/>
      <c r="AL91" s="281"/>
      <c r="AM91" s="81"/>
      <c r="AN91" s="281"/>
      <c r="AO91" s="81"/>
      <c r="AP91" s="281"/>
      <c r="AQ91" s="81"/>
      <c r="AR91" s="281"/>
      <c r="AS91" s="81"/>
      <c r="AT91" s="281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2">
        <f t="shared" si="6"/>
        <v>0</v>
      </c>
      <c r="H92" s="137">
        <f t="shared" si="7"/>
        <v>0</v>
      </c>
      <c r="I92" s="87"/>
      <c r="J92" s="283"/>
      <c r="K92" s="81"/>
      <c r="L92" s="281"/>
      <c r="M92" s="81"/>
      <c r="N92" s="281"/>
      <c r="O92" s="81"/>
      <c r="P92" s="281"/>
      <c r="Q92" s="81"/>
      <c r="R92" s="281"/>
      <c r="S92" s="81"/>
      <c r="T92" s="281"/>
      <c r="U92" s="81"/>
      <c r="V92" s="281"/>
      <c r="W92" s="81"/>
      <c r="X92" s="281"/>
      <c r="Y92" s="81"/>
      <c r="Z92" s="281"/>
      <c r="AA92" s="81"/>
      <c r="AB92" s="281"/>
      <c r="AC92" s="81"/>
      <c r="AD92" s="281"/>
      <c r="AE92" s="81"/>
      <c r="AF92" s="281"/>
      <c r="AG92" s="81"/>
      <c r="AH92" s="281"/>
      <c r="AI92" s="81"/>
      <c r="AJ92" s="281"/>
      <c r="AK92" s="81"/>
      <c r="AL92" s="281"/>
      <c r="AM92" s="81"/>
      <c r="AN92" s="281"/>
      <c r="AO92" s="81"/>
      <c r="AP92" s="281"/>
      <c r="AQ92" s="81"/>
      <c r="AR92" s="281"/>
      <c r="AS92" s="81"/>
      <c r="AT92" s="281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2">
        <f t="shared" si="6"/>
        <v>1</v>
      </c>
      <c r="H93" s="137">
        <f t="shared" si="7"/>
        <v>18.348623853211009</v>
      </c>
      <c r="I93" s="87" t="s">
        <v>503</v>
      </c>
      <c r="J93" s="283">
        <v>1</v>
      </c>
      <c r="K93" s="105"/>
      <c r="L93" s="288"/>
      <c r="M93" s="81"/>
      <c r="N93" s="281"/>
      <c r="O93" s="81"/>
      <c r="P93" s="281"/>
      <c r="Q93" s="81"/>
      <c r="R93" s="281"/>
      <c r="S93" s="81"/>
      <c r="T93" s="281"/>
      <c r="U93" s="81"/>
      <c r="V93" s="281"/>
      <c r="W93" s="81"/>
      <c r="X93" s="281"/>
      <c r="Y93" s="81"/>
      <c r="Z93" s="281"/>
      <c r="AA93" s="81"/>
      <c r="AB93" s="281"/>
      <c r="AC93" s="81"/>
      <c r="AD93" s="281"/>
      <c r="AE93" s="81"/>
      <c r="AF93" s="281"/>
      <c r="AG93" s="81"/>
      <c r="AH93" s="281"/>
      <c r="AI93" s="81"/>
      <c r="AJ93" s="281"/>
      <c r="AK93" s="81"/>
      <c r="AL93" s="281"/>
      <c r="AM93" s="81"/>
      <c r="AN93" s="281"/>
      <c r="AO93" s="81"/>
      <c r="AP93" s="281"/>
      <c r="AQ93" s="81"/>
      <c r="AR93" s="281"/>
      <c r="AS93" s="81"/>
      <c r="AT93" s="281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2">
        <f t="shared" si="6"/>
        <v>4.7</v>
      </c>
      <c r="H94" s="137">
        <f t="shared" si="7"/>
        <v>86.238532110091739</v>
      </c>
      <c r="I94" s="81" t="s">
        <v>504</v>
      </c>
      <c r="J94" s="281">
        <v>1.7</v>
      </c>
      <c r="K94" s="81" t="s">
        <v>505</v>
      </c>
      <c r="L94" s="281">
        <v>2</v>
      </c>
      <c r="M94" s="87"/>
      <c r="N94" s="283"/>
      <c r="O94" s="87"/>
      <c r="P94" s="283"/>
      <c r="Q94" s="83" t="s">
        <v>506</v>
      </c>
      <c r="R94" s="286">
        <v>1</v>
      </c>
      <c r="S94" s="81"/>
      <c r="T94" s="281"/>
      <c r="U94" s="81"/>
      <c r="V94" s="281"/>
      <c r="W94" s="81"/>
      <c r="X94" s="281"/>
      <c r="Y94" s="81"/>
      <c r="Z94" s="281"/>
      <c r="AA94" s="81"/>
      <c r="AB94" s="281"/>
      <c r="AC94" s="81"/>
      <c r="AD94" s="281"/>
      <c r="AE94" s="81"/>
      <c r="AF94" s="281"/>
      <c r="AG94" s="81"/>
      <c r="AH94" s="281"/>
      <c r="AI94" s="81"/>
      <c r="AJ94" s="281"/>
      <c r="AK94" s="81"/>
      <c r="AL94" s="281"/>
      <c r="AM94" s="81"/>
      <c r="AN94" s="281"/>
      <c r="AO94" s="81"/>
      <c r="AP94" s="281"/>
      <c r="AQ94" s="81"/>
      <c r="AR94" s="281"/>
      <c r="AS94" s="81"/>
      <c r="AT94" s="281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2">
        <f t="shared" si="6"/>
        <v>0</v>
      </c>
      <c r="H95" s="137">
        <f t="shared" si="7"/>
        <v>0</v>
      </c>
      <c r="I95" s="81"/>
      <c r="J95" s="281"/>
      <c r="K95" s="81"/>
      <c r="L95" s="281"/>
      <c r="M95" s="81"/>
      <c r="N95" s="281"/>
      <c r="O95" s="81"/>
      <c r="P95" s="281"/>
      <c r="Q95" s="81"/>
      <c r="R95" s="281"/>
      <c r="S95" s="81"/>
      <c r="T95" s="281"/>
      <c r="U95" s="81"/>
      <c r="V95" s="281"/>
      <c r="W95" s="81"/>
      <c r="X95" s="281"/>
      <c r="Y95" s="81"/>
      <c r="Z95" s="281"/>
      <c r="AA95" s="81"/>
      <c r="AB95" s="281"/>
      <c r="AC95" s="81"/>
      <c r="AD95" s="281"/>
      <c r="AE95" s="81"/>
      <c r="AF95" s="281"/>
      <c r="AG95" s="81"/>
      <c r="AH95" s="281"/>
      <c r="AI95" s="81"/>
      <c r="AJ95" s="281"/>
      <c r="AK95" s="81"/>
      <c r="AL95" s="281"/>
      <c r="AM95" s="81"/>
      <c r="AN95" s="281"/>
      <c r="AO95" s="81"/>
      <c r="AP95" s="281"/>
      <c r="AQ95" s="81"/>
      <c r="AR95" s="281"/>
      <c r="AS95" s="81"/>
      <c r="AT95" s="281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2">
        <f t="shared" si="6"/>
        <v>0.5</v>
      </c>
      <c r="H96" s="137">
        <f t="shared" si="7"/>
        <v>9.1743119266055047</v>
      </c>
      <c r="I96" s="81" t="s">
        <v>507</v>
      </c>
      <c r="J96" s="281">
        <v>0.5</v>
      </c>
      <c r="K96" s="81"/>
      <c r="L96" s="281"/>
      <c r="M96" s="81"/>
      <c r="N96" s="281"/>
      <c r="O96" s="81"/>
      <c r="P96" s="281"/>
      <c r="Q96" s="81"/>
      <c r="R96" s="281"/>
      <c r="S96" s="81"/>
      <c r="T96" s="281"/>
      <c r="U96" s="81"/>
      <c r="V96" s="281"/>
      <c r="W96" s="81"/>
      <c r="X96" s="281"/>
      <c r="Y96" s="81"/>
      <c r="Z96" s="281"/>
      <c r="AA96" s="81"/>
      <c r="AB96" s="281"/>
      <c r="AC96" s="81"/>
      <c r="AD96" s="281"/>
      <c r="AE96" s="81"/>
      <c r="AF96" s="281"/>
      <c r="AG96" s="81"/>
      <c r="AH96" s="281"/>
      <c r="AI96" s="81"/>
      <c r="AJ96" s="281"/>
      <c r="AK96" s="81"/>
      <c r="AL96" s="281"/>
      <c r="AM96" s="81"/>
      <c r="AN96" s="281"/>
      <c r="AO96" s="81"/>
      <c r="AP96" s="281"/>
      <c r="AQ96" s="81"/>
      <c r="AR96" s="281"/>
      <c r="AS96" s="81"/>
      <c r="AT96" s="281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2">
        <f t="shared" si="6"/>
        <v>0</v>
      </c>
      <c r="H97" s="137">
        <f t="shared" si="7"/>
        <v>0</v>
      </c>
      <c r="I97" s="81"/>
      <c r="J97" s="281"/>
      <c r="K97" s="81"/>
      <c r="L97" s="281"/>
      <c r="M97" s="81"/>
      <c r="N97" s="281"/>
      <c r="O97" s="81"/>
      <c r="P97" s="281"/>
      <c r="Q97" s="81"/>
      <c r="R97" s="281"/>
      <c r="S97" s="81"/>
      <c r="T97" s="281"/>
      <c r="U97" s="81"/>
      <c r="V97" s="281"/>
      <c r="W97" s="81"/>
      <c r="X97" s="281"/>
      <c r="Y97" s="81"/>
      <c r="Z97" s="281"/>
      <c r="AA97" s="81"/>
      <c r="AB97" s="281"/>
      <c r="AC97" s="81"/>
      <c r="AD97" s="281"/>
      <c r="AE97" s="81"/>
      <c r="AF97" s="281"/>
      <c r="AG97" s="81"/>
      <c r="AH97" s="281"/>
      <c r="AI97" s="81"/>
      <c r="AJ97" s="281"/>
      <c r="AK97" s="81"/>
      <c r="AL97" s="281"/>
      <c r="AM97" s="81"/>
      <c r="AN97" s="281"/>
      <c r="AO97" s="81"/>
      <c r="AP97" s="281"/>
      <c r="AQ97" s="81"/>
      <c r="AR97" s="281"/>
      <c r="AS97" s="81"/>
      <c r="AT97" s="281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2">
        <f t="shared" si="6"/>
        <v>0</v>
      </c>
      <c r="H98" s="137">
        <f t="shared" si="7"/>
        <v>0</v>
      </c>
      <c r="I98" s="81"/>
      <c r="J98" s="281"/>
      <c r="K98" s="81"/>
      <c r="L98" s="281"/>
      <c r="M98" s="81"/>
      <c r="N98" s="281"/>
      <c r="O98" s="81"/>
      <c r="P98" s="281"/>
      <c r="Q98" s="81"/>
      <c r="R98" s="281"/>
      <c r="S98" s="81"/>
      <c r="T98" s="281"/>
      <c r="U98" s="81"/>
      <c r="V98" s="281"/>
      <c r="W98" s="81"/>
      <c r="X98" s="281"/>
      <c r="Y98" s="81"/>
      <c r="Z98" s="281"/>
      <c r="AA98" s="81"/>
      <c r="AB98" s="281"/>
      <c r="AC98" s="81"/>
      <c r="AD98" s="281"/>
      <c r="AE98" s="81"/>
      <c r="AF98" s="281"/>
      <c r="AG98" s="81"/>
      <c r="AH98" s="281"/>
      <c r="AI98" s="81"/>
      <c r="AJ98" s="281"/>
      <c r="AK98" s="81"/>
      <c r="AL98" s="281"/>
      <c r="AM98" s="81"/>
      <c r="AN98" s="281"/>
      <c r="AO98" s="81"/>
      <c r="AP98" s="281"/>
      <c r="AQ98" s="81"/>
      <c r="AR98" s="281"/>
      <c r="AS98" s="81"/>
      <c r="AT98" s="281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2">
        <f t="shared" si="6"/>
        <v>4</v>
      </c>
      <c r="H99" s="137">
        <f t="shared" si="7"/>
        <v>73.394495412844037</v>
      </c>
      <c r="I99" s="85" t="s">
        <v>508</v>
      </c>
      <c r="J99" s="282">
        <v>4</v>
      </c>
      <c r="K99" s="81"/>
      <c r="L99" s="281"/>
      <c r="M99" s="81"/>
      <c r="N99" s="281"/>
      <c r="O99" s="81"/>
      <c r="P99" s="281"/>
      <c r="Q99" s="81"/>
      <c r="R99" s="281"/>
      <c r="S99" s="81"/>
      <c r="T99" s="281"/>
      <c r="U99" s="81"/>
      <c r="V99" s="281"/>
      <c r="W99" s="81"/>
      <c r="X99" s="281"/>
      <c r="Y99" s="81"/>
      <c r="Z99" s="281"/>
      <c r="AA99" s="81"/>
      <c r="AB99" s="281"/>
      <c r="AC99" s="81"/>
      <c r="AD99" s="281"/>
      <c r="AE99" s="81"/>
      <c r="AF99" s="281"/>
      <c r="AG99" s="81"/>
      <c r="AH99" s="281"/>
      <c r="AI99" s="81"/>
      <c r="AJ99" s="281"/>
      <c r="AK99" s="81"/>
      <c r="AL99" s="281"/>
      <c r="AM99" s="81"/>
      <c r="AN99" s="281"/>
      <c r="AO99" s="81"/>
      <c r="AP99" s="281"/>
      <c r="AQ99" s="81"/>
      <c r="AR99" s="281"/>
      <c r="AS99" s="81"/>
      <c r="AT99" s="281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2">
        <f t="shared" si="6"/>
        <v>1</v>
      </c>
      <c r="H100" s="137">
        <f t="shared" si="7"/>
        <v>18.348623853211009</v>
      </c>
      <c r="I100" s="87" t="s">
        <v>509</v>
      </c>
      <c r="J100" s="283">
        <v>1</v>
      </c>
      <c r="K100" s="81"/>
      <c r="L100" s="281"/>
      <c r="M100" s="81"/>
      <c r="N100" s="281"/>
      <c r="O100" s="81"/>
      <c r="P100" s="281"/>
      <c r="Q100" s="81"/>
      <c r="R100" s="281"/>
      <c r="S100" s="81"/>
      <c r="T100" s="281"/>
      <c r="U100" s="81"/>
      <c r="V100" s="281"/>
      <c r="W100" s="81"/>
      <c r="X100" s="281"/>
      <c r="Y100" s="81"/>
      <c r="Z100" s="281"/>
      <c r="AA100" s="81"/>
      <c r="AB100" s="281"/>
      <c r="AC100" s="81"/>
      <c r="AD100" s="281"/>
      <c r="AE100" s="81"/>
      <c r="AF100" s="281"/>
      <c r="AG100" s="81"/>
      <c r="AH100" s="281"/>
      <c r="AI100" s="81"/>
      <c r="AJ100" s="281"/>
      <c r="AK100" s="81"/>
      <c r="AL100" s="281"/>
      <c r="AM100" s="81"/>
      <c r="AN100" s="281"/>
      <c r="AO100" s="81"/>
      <c r="AP100" s="281"/>
      <c r="AQ100" s="81"/>
      <c r="AR100" s="281"/>
      <c r="AS100" s="81"/>
      <c r="AT100" s="281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2">
        <f t="shared" si="6"/>
        <v>0</v>
      </c>
      <c r="H101" s="137">
        <f t="shared" si="7"/>
        <v>0</v>
      </c>
      <c r="I101" s="87"/>
      <c r="J101" s="283"/>
      <c r="K101" s="81"/>
      <c r="L101" s="281"/>
      <c r="M101" s="81"/>
      <c r="N101" s="281"/>
      <c r="O101" s="81"/>
      <c r="P101" s="281"/>
      <c r="Q101" s="81"/>
      <c r="R101" s="281"/>
      <c r="S101" s="81"/>
      <c r="T101" s="281"/>
      <c r="U101" s="81"/>
      <c r="V101" s="281"/>
      <c r="W101" s="81"/>
      <c r="X101" s="281"/>
      <c r="Y101" s="81"/>
      <c r="Z101" s="281"/>
      <c r="AA101" s="81"/>
      <c r="AB101" s="281"/>
      <c r="AC101" s="81"/>
      <c r="AD101" s="281"/>
      <c r="AE101" s="81"/>
      <c r="AF101" s="281"/>
      <c r="AG101" s="81"/>
      <c r="AH101" s="281"/>
      <c r="AI101" s="81"/>
      <c r="AJ101" s="281"/>
      <c r="AK101" s="81"/>
      <c r="AL101" s="286"/>
      <c r="AM101" s="81"/>
      <c r="AN101" s="281"/>
      <c r="AO101" s="81"/>
      <c r="AP101" s="281"/>
      <c r="AQ101" s="81"/>
      <c r="AR101" s="281"/>
      <c r="AS101" s="81"/>
      <c r="AT101" s="281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2">
        <f>SUM(J102,L102,N102,P102,R102,T102,V102,X102,Z102,AB102,AD102,AF102,AH102,AJ102,AL102,AN102,AP102,AR102,AT102,AV102)</f>
        <v>22.349999999999998</v>
      </c>
      <c r="H102" s="137">
        <f t="shared" si="7"/>
        <v>410.09174311926597</v>
      </c>
      <c r="I102" s="87" t="s">
        <v>510</v>
      </c>
      <c r="J102" s="283">
        <v>1.3</v>
      </c>
      <c r="K102" s="81" t="s">
        <v>511</v>
      </c>
      <c r="L102" s="281">
        <v>0.5</v>
      </c>
      <c r="M102" s="81" t="s">
        <v>512</v>
      </c>
      <c r="N102" s="281">
        <v>1.3</v>
      </c>
      <c r="O102" s="81" t="s">
        <v>513</v>
      </c>
      <c r="P102" s="281">
        <v>1.5</v>
      </c>
      <c r="Q102" s="261" t="s">
        <v>494</v>
      </c>
      <c r="R102" s="285">
        <v>0.3</v>
      </c>
      <c r="S102" s="261" t="s">
        <v>514</v>
      </c>
      <c r="T102" s="285">
        <v>1.8</v>
      </c>
      <c r="U102" s="261" t="s">
        <v>515</v>
      </c>
      <c r="V102" s="281">
        <v>1.7</v>
      </c>
      <c r="W102" s="83" t="s">
        <v>516</v>
      </c>
      <c r="X102" s="286"/>
      <c r="Y102" s="85" t="s">
        <v>517</v>
      </c>
      <c r="Z102" s="282">
        <v>2.75</v>
      </c>
      <c r="AA102" s="85" t="s">
        <v>518</v>
      </c>
      <c r="AB102" s="282">
        <v>2.75</v>
      </c>
      <c r="AC102" s="85" t="s">
        <v>519</v>
      </c>
      <c r="AD102" s="282">
        <v>2.75</v>
      </c>
      <c r="AE102" s="85" t="s">
        <v>520</v>
      </c>
      <c r="AF102" s="282">
        <v>0.7</v>
      </c>
      <c r="AG102" s="85" t="s">
        <v>521</v>
      </c>
      <c r="AH102" s="282">
        <v>2</v>
      </c>
      <c r="AI102" s="85" t="s">
        <v>522</v>
      </c>
      <c r="AJ102" s="282">
        <v>2</v>
      </c>
      <c r="AK102" s="85" t="s">
        <v>523</v>
      </c>
      <c r="AL102" s="282">
        <v>1</v>
      </c>
      <c r="AM102" s="81"/>
      <c r="AN102" s="281"/>
      <c r="AO102" s="81"/>
      <c r="AP102" s="281"/>
      <c r="AQ102" s="81"/>
      <c r="AR102" s="281"/>
      <c r="AS102" s="81"/>
      <c r="AT102" s="281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2">
        <f>SUM(J103,L103,N103,P103,R103,T103,V103,X103,Z103,AB103,AD103,AF103,AH103,AJ103,AL103,AN103,AP103,AR103,AT103,AV103)</f>
        <v>22.15</v>
      </c>
      <c r="H103" s="137">
        <f t="shared" si="7"/>
        <v>406.42201834862385</v>
      </c>
      <c r="I103" s="87" t="s">
        <v>510</v>
      </c>
      <c r="J103" s="283">
        <v>0.7</v>
      </c>
      <c r="K103" s="81" t="s">
        <v>511</v>
      </c>
      <c r="L103" s="281">
        <v>0.5</v>
      </c>
      <c r="M103" s="81" t="s">
        <v>512</v>
      </c>
      <c r="N103" s="281">
        <v>1.2</v>
      </c>
      <c r="O103" s="81" t="s">
        <v>513</v>
      </c>
      <c r="P103" s="281">
        <v>1.4</v>
      </c>
      <c r="Q103" s="261" t="s">
        <v>494</v>
      </c>
      <c r="R103" s="285">
        <v>0.3</v>
      </c>
      <c r="S103" s="264" t="s">
        <v>514</v>
      </c>
      <c r="T103" s="285">
        <v>1.8</v>
      </c>
      <c r="U103" s="261" t="s">
        <v>515</v>
      </c>
      <c r="V103" s="281">
        <v>1.8</v>
      </c>
      <c r="W103" s="83" t="s">
        <v>516</v>
      </c>
      <c r="X103" s="286"/>
      <c r="Y103" s="85" t="s">
        <v>517</v>
      </c>
      <c r="Z103" s="282">
        <v>2.75</v>
      </c>
      <c r="AA103" s="85" t="s">
        <v>518</v>
      </c>
      <c r="AB103" s="282">
        <v>2.75</v>
      </c>
      <c r="AC103" s="85" t="s">
        <v>519</v>
      </c>
      <c r="AD103" s="282">
        <v>2.75</v>
      </c>
      <c r="AE103" s="85" t="s">
        <v>520</v>
      </c>
      <c r="AF103" s="282">
        <v>1.2</v>
      </c>
      <c r="AG103" s="85" t="s">
        <v>521</v>
      </c>
      <c r="AH103" s="282">
        <v>2</v>
      </c>
      <c r="AI103" s="85" t="s">
        <v>522</v>
      </c>
      <c r="AJ103" s="282">
        <v>2</v>
      </c>
      <c r="AK103" s="85" t="s">
        <v>523</v>
      </c>
      <c r="AL103" s="282">
        <v>1</v>
      </c>
      <c r="AM103" s="81"/>
      <c r="AN103" s="281"/>
      <c r="AO103" s="81"/>
      <c r="AP103" s="281"/>
      <c r="AQ103" s="81"/>
      <c r="AR103" s="281"/>
      <c r="AS103" s="81"/>
      <c r="AT103" s="281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2">
        <f t="shared" si="6"/>
        <v>8.7515000000000001</v>
      </c>
      <c r="H104" s="137">
        <f t="shared" si="7"/>
        <v>160.57798165137615</v>
      </c>
      <c r="I104" s="87" t="s">
        <v>524</v>
      </c>
      <c r="J104" s="283">
        <v>1</v>
      </c>
      <c r="K104" s="81" t="s">
        <v>525</v>
      </c>
      <c r="L104" s="281">
        <v>2.2999999999999998</v>
      </c>
      <c r="M104" s="87" t="s">
        <v>421</v>
      </c>
      <c r="N104" s="283">
        <v>0.9</v>
      </c>
      <c r="O104" s="87" t="s">
        <v>526</v>
      </c>
      <c r="P104" s="283">
        <v>1.5</v>
      </c>
      <c r="Q104" s="264" t="s">
        <v>527</v>
      </c>
      <c r="R104" s="285">
        <v>2</v>
      </c>
      <c r="S104" s="87" t="s">
        <v>528</v>
      </c>
      <c r="T104" s="283">
        <v>0.30149999999999999</v>
      </c>
      <c r="U104" s="87" t="s">
        <v>454</v>
      </c>
      <c r="V104" s="283">
        <v>0.25</v>
      </c>
      <c r="W104" s="81" t="s">
        <v>529</v>
      </c>
      <c r="X104" s="281">
        <v>0.5</v>
      </c>
      <c r="Y104" s="81"/>
      <c r="Z104" s="281"/>
      <c r="AA104" s="81"/>
      <c r="AB104" s="281"/>
      <c r="AC104" s="81"/>
      <c r="AD104" s="281"/>
      <c r="AE104" s="81"/>
      <c r="AF104" s="281"/>
      <c r="AG104" s="81"/>
      <c r="AH104" s="281"/>
      <c r="AI104" s="81"/>
      <c r="AJ104" s="281"/>
      <c r="AK104" s="81"/>
      <c r="AL104" s="281"/>
      <c r="AM104" s="81"/>
      <c r="AN104" s="281"/>
      <c r="AO104" s="81"/>
      <c r="AP104" s="281"/>
      <c r="AQ104" s="81"/>
      <c r="AR104" s="281"/>
      <c r="AS104" s="81"/>
      <c r="AT104" s="281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2">
        <f t="shared" si="6"/>
        <v>6.7515000000000001</v>
      </c>
      <c r="H105" s="137">
        <f t="shared" si="7"/>
        <v>123.88073394495413</v>
      </c>
      <c r="I105" s="87" t="s">
        <v>530</v>
      </c>
      <c r="J105" s="283">
        <v>1</v>
      </c>
      <c r="K105" s="81" t="s">
        <v>525</v>
      </c>
      <c r="L105" s="281">
        <v>2.2999999999999998</v>
      </c>
      <c r="M105" s="87" t="s">
        <v>421</v>
      </c>
      <c r="N105" s="283">
        <v>0.9</v>
      </c>
      <c r="O105" s="87" t="s">
        <v>526</v>
      </c>
      <c r="P105" s="283">
        <v>1.5</v>
      </c>
      <c r="Q105" s="87"/>
      <c r="R105" s="283"/>
      <c r="S105" s="87" t="s">
        <v>528</v>
      </c>
      <c r="T105" s="283">
        <v>0.30149999999999999</v>
      </c>
      <c r="U105" s="87" t="s">
        <v>454</v>
      </c>
      <c r="V105" s="283">
        <v>0.25</v>
      </c>
      <c r="W105" s="81" t="s">
        <v>529</v>
      </c>
      <c r="X105" s="281">
        <v>0.5</v>
      </c>
      <c r="Y105" s="81"/>
      <c r="Z105" s="281"/>
      <c r="AA105" s="81"/>
      <c r="AB105" s="281"/>
      <c r="AC105" s="81"/>
      <c r="AD105" s="281"/>
      <c r="AE105" s="81"/>
      <c r="AF105" s="281"/>
      <c r="AG105" s="81"/>
      <c r="AH105" s="281"/>
      <c r="AI105" s="81"/>
      <c r="AJ105" s="281"/>
      <c r="AK105" s="81"/>
      <c r="AL105" s="281"/>
      <c r="AM105" s="81"/>
      <c r="AN105" s="281"/>
      <c r="AO105" s="81"/>
      <c r="AP105" s="281"/>
      <c r="AQ105" s="81"/>
      <c r="AR105" s="281"/>
      <c r="AS105" s="81"/>
      <c r="AT105" s="281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2">
        <f t="shared" si="6"/>
        <v>1</v>
      </c>
      <c r="H106" s="137">
        <f t="shared" si="7"/>
        <v>18.348623853211009</v>
      </c>
      <c r="I106" s="87" t="s">
        <v>531</v>
      </c>
      <c r="J106" s="283">
        <v>1</v>
      </c>
      <c r="K106" s="81"/>
      <c r="L106" s="281"/>
      <c r="M106" s="81"/>
      <c r="N106" s="281"/>
      <c r="O106" s="81"/>
      <c r="P106" s="281"/>
      <c r="Q106" s="81"/>
      <c r="R106" s="281"/>
      <c r="S106" s="81"/>
      <c r="T106" s="281"/>
      <c r="U106" s="81"/>
      <c r="V106" s="281"/>
      <c r="W106" s="81"/>
      <c r="X106" s="281"/>
      <c r="Y106" s="81"/>
      <c r="Z106" s="281"/>
      <c r="AA106" s="81"/>
      <c r="AB106" s="281"/>
      <c r="AC106" s="81"/>
      <c r="AD106" s="281"/>
      <c r="AE106" s="81"/>
      <c r="AF106" s="281"/>
      <c r="AG106" s="81"/>
      <c r="AH106" s="281"/>
      <c r="AI106" s="81"/>
      <c r="AJ106" s="281"/>
      <c r="AK106" s="81"/>
      <c r="AL106" s="281"/>
      <c r="AM106" s="81"/>
      <c r="AN106" s="281"/>
      <c r="AO106" s="81"/>
      <c r="AP106" s="281"/>
      <c r="AQ106" s="81"/>
      <c r="AR106" s="281"/>
      <c r="AS106" s="81"/>
      <c r="AT106" s="281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2">
        <f t="shared" si="6"/>
        <v>1</v>
      </c>
      <c r="H107" s="137">
        <f t="shared" si="7"/>
        <v>18.348623853211009</v>
      </c>
      <c r="I107" s="87" t="s">
        <v>532</v>
      </c>
      <c r="J107" s="283">
        <v>1</v>
      </c>
      <c r="K107" s="81"/>
      <c r="L107" s="281"/>
      <c r="M107" s="81"/>
      <c r="N107" s="281"/>
      <c r="O107" s="81"/>
      <c r="P107" s="281"/>
      <c r="Q107" s="81"/>
      <c r="R107" s="281"/>
      <c r="S107" s="81"/>
      <c r="T107" s="281"/>
      <c r="U107" s="81"/>
      <c r="V107" s="281"/>
      <c r="W107" s="81"/>
      <c r="X107" s="281"/>
      <c r="Y107" s="81"/>
      <c r="Z107" s="281"/>
      <c r="AA107" s="81"/>
      <c r="AB107" s="281"/>
      <c r="AC107" s="81"/>
      <c r="AD107" s="281"/>
      <c r="AE107" s="81"/>
      <c r="AF107" s="281"/>
      <c r="AG107" s="81"/>
      <c r="AH107" s="281"/>
      <c r="AI107" s="81"/>
      <c r="AJ107" s="281"/>
      <c r="AK107" s="81"/>
      <c r="AL107" s="281"/>
      <c r="AM107" s="81"/>
      <c r="AN107" s="281"/>
      <c r="AO107" s="81"/>
      <c r="AP107" s="281"/>
      <c r="AQ107" s="81"/>
      <c r="AR107" s="281"/>
      <c r="AS107" s="81"/>
      <c r="AT107" s="281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2">
        <f t="shared" si="6"/>
        <v>3</v>
      </c>
      <c r="H108" s="137">
        <f t="shared" si="7"/>
        <v>55.045871559633028</v>
      </c>
      <c r="I108" s="85" t="s">
        <v>533</v>
      </c>
      <c r="J108" s="282">
        <v>2</v>
      </c>
      <c r="K108" s="81" t="s">
        <v>534</v>
      </c>
      <c r="L108" s="281">
        <v>1</v>
      </c>
      <c r="M108" s="81"/>
      <c r="N108" s="281"/>
      <c r="O108" s="81"/>
      <c r="P108" s="281"/>
      <c r="Q108" s="81"/>
      <c r="R108" s="281"/>
      <c r="S108" s="81"/>
      <c r="T108" s="281"/>
      <c r="U108" s="81"/>
      <c r="V108" s="281"/>
      <c r="W108" s="81"/>
      <c r="X108" s="281"/>
      <c r="Y108" s="81"/>
      <c r="Z108" s="281"/>
      <c r="AA108" s="81"/>
      <c r="AB108" s="281"/>
      <c r="AC108" s="81"/>
      <c r="AD108" s="281"/>
      <c r="AE108" s="81"/>
      <c r="AF108" s="281"/>
      <c r="AG108" s="81"/>
      <c r="AH108" s="281"/>
      <c r="AI108" s="81"/>
      <c r="AJ108" s="281"/>
      <c r="AK108" s="81"/>
      <c r="AL108" s="281"/>
      <c r="AM108" s="81"/>
      <c r="AN108" s="281"/>
      <c r="AO108" s="81"/>
      <c r="AP108" s="281"/>
      <c r="AQ108" s="81"/>
      <c r="AR108" s="281"/>
      <c r="AS108" s="81"/>
      <c r="AT108" s="281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444</v>
      </c>
      <c r="F109" s="4"/>
      <c r="G109" s="252">
        <f t="shared" ref="G109:G110" si="8">SUM(J109,L109,N109,P109,R109,T109,V109,X109,Z109,AB109,AD109,AF109,AH109,AJ109,AL109,AN109,AP109,AR109,AT109,AV109)</f>
        <v>5.9</v>
      </c>
      <c r="H109" s="137">
        <f t="shared" ref="H109:H110" si="9">SUM(G109*1000)/54.5</f>
        <v>108.25688073394495</v>
      </c>
      <c r="I109" s="81" t="s">
        <v>535</v>
      </c>
      <c r="J109" s="281">
        <v>5.9</v>
      </c>
      <c r="K109" s="81"/>
      <c r="L109" s="281"/>
      <c r="M109" s="81"/>
      <c r="N109" s="281"/>
      <c r="O109" s="81"/>
      <c r="P109" s="281"/>
      <c r="Q109" s="81"/>
      <c r="R109" s="281"/>
      <c r="S109" s="81"/>
      <c r="T109" s="281"/>
      <c r="U109" s="81"/>
      <c r="V109" s="281"/>
      <c r="W109" s="81"/>
      <c r="X109" s="281"/>
      <c r="Y109" s="81"/>
      <c r="Z109" s="281"/>
      <c r="AA109" s="81"/>
      <c r="AB109" s="281"/>
      <c r="AC109" s="81"/>
      <c r="AD109" s="281"/>
      <c r="AE109" s="81"/>
      <c r="AF109" s="281"/>
      <c r="AG109" s="81"/>
      <c r="AH109" s="281"/>
      <c r="AI109" s="81"/>
      <c r="AJ109" s="281"/>
      <c r="AK109" s="81"/>
      <c r="AL109" s="281"/>
      <c r="AM109" s="81"/>
      <c r="AN109" s="281"/>
      <c r="AO109" s="81"/>
      <c r="AP109" s="281"/>
      <c r="AQ109" s="81"/>
      <c r="AR109" s="281"/>
      <c r="AS109" s="81"/>
      <c r="AT109" s="281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2">
        <f t="shared" si="8"/>
        <v>5.9</v>
      </c>
      <c r="H110" s="137">
        <f t="shared" si="9"/>
        <v>108.25688073394495</v>
      </c>
      <c r="I110" s="81" t="s">
        <v>535</v>
      </c>
      <c r="J110" s="281">
        <v>5.9</v>
      </c>
      <c r="K110" s="81"/>
      <c r="L110" s="281"/>
      <c r="M110" s="81"/>
      <c r="N110" s="281"/>
      <c r="O110" s="81"/>
      <c r="P110" s="281"/>
      <c r="Q110" s="81"/>
      <c r="R110" s="281"/>
      <c r="S110" s="81"/>
      <c r="T110" s="281"/>
      <c r="U110" s="81"/>
      <c r="V110" s="281"/>
      <c r="W110" s="81"/>
      <c r="X110" s="281"/>
      <c r="Y110" s="81"/>
      <c r="Z110" s="281"/>
      <c r="AA110" s="81"/>
      <c r="AB110" s="281"/>
      <c r="AC110" s="81"/>
      <c r="AD110" s="281"/>
      <c r="AE110" s="81"/>
      <c r="AF110" s="281"/>
      <c r="AG110" s="81"/>
      <c r="AH110" s="281"/>
      <c r="AI110" s="81"/>
      <c r="AJ110" s="281"/>
      <c r="AK110" s="81"/>
      <c r="AL110" s="281"/>
      <c r="AM110" s="81"/>
      <c r="AN110" s="281"/>
      <c r="AO110" s="81"/>
      <c r="AP110" s="281"/>
      <c r="AQ110" s="81"/>
      <c r="AR110" s="281"/>
      <c r="AS110" s="81"/>
      <c r="AT110" s="281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2">
        <f t="shared" si="6"/>
        <v>0</v>
      </c>
      <c r="H111" s="137">
        <f t="shared" si="7"/>
        <v>0</v>
      </c>
      <c r="I111" s="81"/>
      <c r="J111" s="281"/>
      <c r="K111" s="81"/>
      <c r="L111" s="281"/>
      <c r="M111" s="81"/>
      <c r="N111" s="281"/>
      <c r="O111" s="81"/>
      <c r="P111" s="281"/>
      <c r="Q111" s="81"/>
      <c r="R111" s="281"/>
      <c r="S111" s="81"/>
      <c r="T111" s="281"/>
      <c r="U111" s="81"/>
      <c r="V111" s="281"/>
      <c r="W111" s="81"/>
      <c r="X111" s="281"/>
      <c r="Y111" s="81"/>
      <c r="Z111" s="281"/>
      <c r="AA111" s="81"/>
      <c r="AB111" s="281"/>
      <c r="AC111" s="81"/>
      <c r="AD111" s="281"/>
      <c r="AE111" s="81"/>
      <c r="AF111" s="281"/>
      <c r="AG111" s="81"/>
      <c r="AH111" s="281"/>
      <c r="AI111" s="81"/>
      <c r="AJ111" s="281"/>
      <c r="AK111" s="81"/>
      <c r="AL111" s="281"/>
      <c r="AM111" s="81"/>
      <c r="AN111" s="281"/>
      <c r="AO111" s="81"/>
      <c r="AP111" s="281"/>
      <c r="AQ111" s="81"/>
      <c r="AR111" s="281"/>
      <c r="AS111" s="81"/>
      <c r="AT111" s="281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2">
        <f t="shared" si="6"/>
        <v>0</v>
      </c>
      <c r="H112" s="137">
        <f t="shared" si="7"/>
        <v>0</v>
      </c>
      <c r="I112" s="81"/>
      <c r="J112" s="281"/>
      <c r="K112" s="81"/>
      <c r="L112" s="281"/>
      <c r="M112" s="81"/>
      <c r="N112" s="281"/>
      <c r="O112" s="81"/>
      <c r="P112" s="281"/>
      <c r="Q112" s="81"/>
      <c r="R112" s="281"/>
      <c r="S112" s="81"/>
      <c r="T112" s="281"/>
      <c r="U112" s="81"/>
      <c r="V112" s="281"/>
      <c r="W112" s="81"/>
      <c r="X112" s="281"/>
      <c r="Y112" s="81"/>
      <c r="Z112" s="281"/>
      <c r="AA112" s="81"/>
      <c r="AB112" s="281"/>
      <c r="AC112" s="81"/>
      <c r="AD112" s="281"/>
      <c r="AE112" s="81"/>
      <c r="AF112" s="281"/>
      <c r="AG112" s="81"/>
      <c r="AH112" s="281"/>
      <c r="AI112" s="81"/>
      <c r="AJ112" s="281"/>
      <c r="AK112" s="81"/>
      <c r="AL112" s="281"/>
      <c r="AM112" s="81"/>
      <c r="AN112" s="281"/>
      <c r="AO112" s="81"/>
      <c r="AP112" s="281"/>
      <c r="AQ112" s="81"/>
      <c r="AR112" s="281"/>
      <c r="AS112" s="81"/>
      <c r="AT112" s="281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2">
        <f t="shared" si="6"/>
        <v>0</v>
      </c>
      <c r="H113" s="137">
        <f t="shared" si="7"/>
        <v>0</v>
      </c>
      <c r="I113" s="81"/>
      <c r="J113" s="281"/>
      <c r="K113" s="81"/>
      <c r="L113" s="281"/>
      <c r="M113" s="81"/>
      <c r="N113" s="281"/>
      <c r="O113" s="81"/>
      <c r="P113" s="281"/>
      <c r="Q113" s="81"/>
      <c r="R113" s="281"/>
      <c r="S113" s="81"/>
      <c r="T113" s="281"/>
      <c r="U113" s="81"/>
      <c r="V113" s="281"/>
      <c r="W113" s="81"/>
      <c r="X113" s="281"/>
      <c r="Y113" s="81"/>
      <c r="Z113" s="281"/>
      <c r="AA113" s="81"/>
      <c r="AB113" s="281"/>
      <c r="AC113" s="81"/>
      <c r="AD113" s="281"/>
      <c r="AE113" s="81"/>
      <c r="AF113" s="281"/>
      <c r="AG113" s="81"/>
      <c r="AH113" s="281"/>
      <c r="AI113" s="81"/>
      <c r="AJ113" s="281"/>
      <c r="AK113" s="81"/>
      <c r="AL113" s="281"/>
      <c r="AM113" s="81"/>
      <c r="AN113" s="281"/>
      <c r="AO113" s="81"/>
      <c r="AP113" s="281"/>
      <c r="AQ113" s="81"/>
      <c r="AR113" s="281"/>
      <c r="AS113" s="81"/>
      <c r="AT113" s="281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444</v>
      </c>
      <c r="F114" s="4"/>
      <c r="G114" s="252">
        <f t="shared" si="6"/>
        <v>5.9</v>
      </c>
      <c r="H114" s="137">
        <f t="shared" si="7"/>
        <v>108.25688073394495</v>
      </c>
      <c r="I114" s="81" t="s">
        <v>536</v>
      </c>
      <c r="J114" s="281">
        <v>5.9</v>
      </c>
      <c r="K114" s="81"/>
      <c r="L114" s="281"/>
      <c r="M114" s="81"/>
      <c r="N114" s="281"/>
      <c r="O114" s="81"/>
      <c r="P114" s="281"/>
      <c r="Q114" s="81"/>
      <c r="R114" s="281"/>
      <c r="S114" s="81"/>
      <c r="T114" s="281"/>
      <c r="U114" s="81"/>
      <c r="V114" s="281"/>
      <c r="W114" s="81"/>
      <c r="X114" s="281"/>
      <c r="Y114" s="81"/>
      <c r="Z114" s="281"/>
      <c r="AA114" s="81"/>
      <c r="AB114" s="281"/>
      <c r="AC114" s="81"/>
      <c r="AD114" s="281"/>
      <c r="AE114" s="81"/>
      <c r="AF114" s="281"/>
      <c r="AG114" s="81"/>
      <c r="AH114" s="281"/>
      <c r="AI114" s="81"/>
      <c r="AJ114" s="281"/>
      <c r="AK114" s="81"/>
      <c r="AL114" s="281"/>
      <c r="AM114" s="81"/>
      <c r="AN114" s="281"/>
      <c r="AO114" s="81"/>
      <c r="AP114" s="281"/>
      <c r="AQ114" s="81"/>
      <c r="AR114" s="281"/>
      <c r="AS114" s="81"/>
      <c r="AT114" s="281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2">
        <f t="shared" si="6"/>
        <v>5.8</v>
      </c>
      <c r="H115" s="137">
        <f t="shared" si="7"/>
        <v>106.42201834862385</v>
      </c>
      <c r="I115" s="81" t="s">
        <v>536</v>
      </c>
      <c r="J115" s="281">
        <v>5.8</v>
      </c>
      <c r="K115" s="81"/>
      <c r="L115" s="281"/>
      <c r="M115" s="81"/>
      <c r="N115" s="281"/>
      <c r="O115" s="81"/>
      <c r="P115" s="281"/>
      <c r="Q115" s="81"/>
      <c r="R115" s="281"/>
      <c r="S115" s="81"/>
      <c r="T115" s="281"/>
      <c r="U115" s="81"/>
      <c r="V115" s="281"/>
      <c r="W115" s="81"/>
      <c r="X115" s="281"/>
      <c r="Y115" s="81"/>
      <c r="Z115" s="281"/>
      <c r="AA115" s="81"/>
      <c r="AB115" s="281"/>
      <c r="AC115" s="81"/>
      <c r="AD115" s="281"/>
      <c r="AE115" s="81"/>
      <c r="AF115" s="281"/>
      <c r="AG115" s="81"/>
      <c r="AH115" s="281"/>
      <c r="AI115" s="81"/>
      <c r="AJ115" s="281"/>
      <c r="AK115" s="81"/>
      <c r="AL115" s="281"/>
      <c r="AM115" s="81"/>
      <c r="AN115" s="281"/>
      <c r="AO115" s="81"/>
      <c r="AP115" s="281"/>
      <c r="AQ115" s="81"/>
      <c r="AR115" s="281"/>
      <c r="AS115" s="81"/>
      <c r="AT115" s="281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2">
        <f t="shared" si="6"/>
        <v>3.4</v>
      </c>
      <c r="H116" s="137">
        <f t="shared" si="7"/>
        <v>62.38532110091743</v>
      </c>
      <c r="I116" s="87" t="s">
        <v>537</v>
      </c>
      <c r="J116" s="283">
        <v>2.4</v>
      </c>
      <c r="K116" s="87" t="s">
        <v>538</v>
      </c>
      <c r="L116" s="283">
        <v>1</v>
      </c>
      <c r="M116" s="81"/>
      <c r="N116" s="281"/>
      <c r="O116" s="81"/>
      <c r="P116" s="281"/>
      <c r="Q116" s="81"/>
      <c r="R116" s="281"/>
      <c r="S116" s="81"/>
      <c r="T116" s="281"/>
      <c r="U116" s="81"/>
      <c r="V116" s="281"/>
      <c r="W116" s="81"/>
      <c r="X116" s="281"/>
      <c r="Y116" s="81"/>
      <c r="Z116" s="281"/>
      <c r="AA116" s="81"/>
      <c r="AB116" s="281"/>
      <c r="AC116" s="81"/>
      <c r="AD116" s="281"/>
      <c r="AE116" s="81"/>
      <c r="AF116" s="281"/>
      <c r="AG116" s="81"/>
      <c r="AH116" s="281"/>
      <c r="AI116" s="81"/>
      <c r="AJ116" s="281"/>
      <c r="AK116" s="81"/>
      <c r="AL116" s="281"/>
      <c r="AM116" s="81"/>
      <c r="AN116" s="281"/>
      <c r="AO116" s="81"/>
      <c r="AP116" s="281"/>
      <c r="AQ116" s="81"/>
      <c r="AR116" s="281"/>
      <c r="AS116" s="81"/>
      <c r="AT116" s="281"/>
      <c r="AU116" s="81"/>
      <c r="AV116" s="50">
        <f>IFERROR(VLOOKUP(A116,'Site check'!A:Q,14,0),0)</f>
        <v>0</v>
      </c>
    </row>
    <row r="117" spans="1:48">
      <c r="A117" s="258" t="s">
        <v>133</v>
      </c>
      <c r="B117" s="96"/>
      <c r="C117" s="30" t="s">
        <v>18</v>
      </c>
      <c r="D117" s="4"/>
      <c r="E117" s="4"/>
      <c r="F117" s="4"/>
      <c r="G117" s="252">
        <f t="shared" si="6"/>
        <v>7.3</v>
      </c>
      <c r="H117" s="137">
        <f t="shared" si="7"/>
        <v>133.94495412844037</v>
      </c>
      <c r="I117" s="81" t="s">
        <v>539</v>
      </c>
      <c r="J117" s="281">
        <v>2.2000000000000002</v>
      </c>
      <c r="K117" s="81" t="s">
        <v>540</v>
      </c>
      <c r="L117" s="281">
        <v>2.4</v>
      </c>
      <c r="M117" s="81" t="s">
        <v>541</v>
      </c>
      <c r="N117" s="281">
        <v>1.5</v>
      </c>
      <c r="O117" s="264" t="s">
        <v>542</v>
      </c>
      <c r="P117" s="293">
        <v>0.8</v>
      </c>
      <c r="Q117" s="311" t="s">
        <v>543</v>
      </c>
      <c r="R117" s="319">
        <v>0.4</v>
      </c>
      <c r="S117" s="83"/>
      <c r="T117" s="286"/>
      <c r="U117" s="81"/>
      <c r="V117" s="281"/>
      <c r="W117" s="81"/>
      <c r="X117" s="281"/>
      <c r="Y117" s="81"/>
      <c r="Z117" s="281"/>
      <c r="AA117" s="81"/>
      <c r="AB117" s="281"/>
      <c r="AC117" s="81"/>
      <c r="AD117" s="281"/>
      <c r="AE117" s="81"/>
      <c r="AF117" s="281"/>
      <c r="AG117" s="81"/>
      <c r="AH117" s="281"/>
      <c r="AI117" s="81"/>
      <c r="AJ117" s="281"/>
      <c r="AK117" s="81"/>
      <c r="AL117" s="281"/>
      <c r="AM117" s="81"/>
      <c r="AN117" s="281"/>
      <c r="AO117" s="81"/>
      <c r="AP117" s="281"/>
      <c r="AQ117" s="81"/>
      <c r="AR117" s="281"/>
      <c r="AS117" s="81"/>
      <c r="AT117" s="281"/>
      <c r="AU117" s="81"/>
      <c r="AV117" s="50">
        <f>IFERROR(VLOOKUP(A117,'Site check'!A:Q,14,0),0)</f>
        <v>0</v>
      </c>
    </row>
    <row r="118" spans="1:48">
      <c r="A118" s="258" t="s">
        <v>134</v>
      </c>
      <c r="B118" s="96"/>
      <c r="C118" s="30"/>
      <c r="D118" s="4"/>
      <c r="E118" s="4"/>
      <c r="F118" s="4"/>
      <c r="G118" s="252">
        <f t="shared" ref="G118" si="10">SUM(J118,L118,N118,P118,R118,T118,V118,X118,Z118,AB118,AD118,AF118,AH118,AJ118,AL118,AN118,AP118,AR118,AT118,AV118)</f>
        <v>6.8</v>
      </c>
      <c r="H118" s="137">
        <f t="shared" ref="H118" si="11">SUM(G118*1000)/54.5</f>
        <v>124.77064220183486</v>
      </c>
      <c r="I118" s="81" t="s">
        <v>539</v>
      </c>
      <c r="J118" s="281">
        <v>2.2000000000000002</v>
      </c>
      <c r="K118" s="81" t="s">
        <v>540</v>
      </c>
      <c r="L118" s="281">
        <v>2.2999999999999998</v>
      </c>
      <c r="M118" s="81" t="s">
        <v>541</v>
      </c>
      <c r="N118" s="281">
        <v>1.1000000000000001</v>
      </c>
      <c r="O118" s="264" t="s">
        <v>542</v>
      </c>
      <c r="P118" s="293">
        <v>0.8</v>
      </c>
      <c r="Q118" s="311" t="s">
        <v>543</v>
      </c>
      <c r="R118" s="319">
        <v>0.4</v>
      </c>
      <c r="S118" s="83"/>
      <c r="T118" s="286"/>
      <c r="U118" s="81"/>
      <c r="V118" s="281"/>
      <c r="W118" s="81"/>
      <c r="X118" s="281"/>
      <c r="Y118" s="81"/>
      <c r="Z118" s="281"/>
      <c r="AA118" s="81"/>
      <c r="AB118" s="281"/>
      <c r="AC118" s="81"/>
      <c r="AD118" s="281"/>
      <c r="AE118" s="81"/>
      <c r="AF118" s="281"/>
      <c r="AG118" s="81"/>
      <c r="AH118" s="281"/>
      <c r="AI118" s="81"/>
      <c r="AJ118" s="281"/>
      <c r="AK118" s="81"/>
      <c r="AL118" s="281"/>
      <c r="AM118" s="81"/>
      <c r="AN118" s="281"/>
      <c r="AO118" s="81"/>
      <c r="AP118" s="281"/>
      <c r="AQ118" s="81"/>
      <c r="AR118" s="281"/>
      <c r="AS118" s="81"/>
      <c r="AT118" s="281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2">
        <f t="shared" si="6"/>
        <v>9.2999999999999989</v>
      </c>
      <c r="H119" s="137">
        <f t="shared" si="7"/>
        <v>170.64220183486236</v>
      </c>
      <c r="I119" s="81" t="s">
        <v>544</v>
      </c>
      <c r="J119" s="281">
        <v>0.75</v>
      </c>
      <c r="K119" s="89" t="s">
        <v>545</v>
      </c>
      <c r="L119" s="284">
        <v>1.3</v>
      </c>
      <c r="M119" s="81" t="s">
        <v>546</v>
      </c>
      <c r="N119" s="284">
        <v>1.4</v>
      </c>
      <c r="O119" s="87" t="s">
        <v>547</v>
      </c>
      <c r="P119" s="283">
        <v>0.3</v>
      </c>
      <c r="Q119" s="261" t="s">
        <v>548</v>
      </c>
      <c r="R119" s="285">
        <v>0.9</v>
      </c>
      <c r="S119" s="261" t="s">
        <v>549</v>
      </c>
      <c r="T119" s="285">
        <v>0.8</v>
      </c>
      <c r="U119" s="106" t="s">
        <v>550</v>
      </c>
      <c r="V119" s="292">
        <v>1.5</v>
      </c>
      <c r="W119" s="92" t="s">
        <v>551</v>
      </c>
      <c r="X119" s="292">
        <v>0.6</v>
      </c>
      <c r="Y119" s="89" t="s">
        <v>552</v>
      </c>
      <c r="Z119" s="284">
        <v>0.75</v>
      </c>
      <c r="AA119" s="89" t="s">
        <v>553</v>
      </c>
      <c r="AB119" s="284">
        <v>1</v>
      </c>
      <c r="AC119" s="81"/>
      <c r="AD119" s="281"/>
      <c r="AE119" s="81"/>
      <c r="AF119" s="281"/>
      <c r="AG119" s="81"/>
      <c r="AH119" s="281"/>
      <c r="AI119" s="81"/>
      <c r="AJ119" s="281"/>
      <c r="AK119" s="81"/>
      <c r="AL119" s="281"/>
      <c r="AM119" s="81"/>
      <c r="AN119" s="281"/>
      <c r="AO119" s="81"/>
      <c r="AP119" s="281"/>
      <c r="AQ119" s="81"/>
      <c r="AR119" s="281"/>
      <c r="AS119" s="81"/>
      <c r="AT119" s="281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2">
        <f t="shared" si="6"/>
        <v>11.25</v>
      </c>
      <c r="H120" s="137">
        <f t="shared" si="7"/>
        <v>206.42201834862385</v>
      </c>
      <c r="I120" s="81" t="s">
        <v>544</v>
      </c>
      <c r="J120" s="281">
        <v>0.75</v>
      </c>
      <c r="K120" s="89" t="s">
        <v>545</v>
      </c>
      <c r="L120" s="284">
        <v>1.4</v>
      </c>
      <c r="M120" s="81" t="s">
        <v>546</v>
      </c>
      <c r="N120" s="284">
        <v>1.5</v>
      </c>
      <c r="O120" s="87" t="s">
        <v>547</v>
      </c>
      <c r="P120" s="283">
        <v>1.9</v>
      </c>
      <c r="Q120" s="261" t="s">
        <v>548</v>
      </c>
      <c r="R120" s="285">
        <v>0.9</v>
      </c>
      <c r="S120" s="261" t="s">
        <v>554</v>
      </c>
      <c r="T120" s="285">
        <v>0.8</v>
      </c>
      <c r="U120" s="106" t="s">
        <v>550</v>
      </c>
      <c r="V120" s="292">
        <v>1.5</v>
      </c>
      <c r="W120" s="92" t="s">
        <v>551</v>
      </c>
      <c r="X120" s="292">
        <v>0.75</v>
      </c>
      <c r="Y120" s="89" t="s">
        <v>552</v>
      </c>
      <c r="Z120" s="284">
        <v>0.75</v>
      </c>
      <c r="AA120" s="89" t="s">
        <v>553</v>
      </c>
      <c r="AB120" s="284">
        <v>1</v>
      </c>
      <c r="AC120" s="81"/>
      <c r="AD120" s="281"/>
      <c r="AE120" s="81"/>
      <c r="AF120" s="281"/>
      <c r="AG120" s="81"/>
      <c r="AH120" s="281"/>
      <c r="AI120" s="81"/>
      <c r="AJ120" s="281"/>
      <c r="AK120" s="81"/>
      <c r="AL120" s="281"/>
      <c r="AM120" s="81"/>
      <c r="AN120" s="281"/>
      <c r="AO120" s="81"/>
      <c r="AP120" s="281"/>
      <c r="AQ120" s="81"/>
      <c r="AR120" s="281"/>
      <c r="AS120" s="81"/>
      <c r="AT120" s="281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2">
        <f t="shared" si="6"/>
        <v>4.4000000000000004</v>
      </c>
      <c r="H121" s="137">
        <f t="shared" si="7"/>
        <v>80.733944954128447</v>
      </c>
      <c r="I121" s="81" t="s">
        <v>555</v>
      </c>
      <c r="J121" s="281">
        <v>2.4</v>
      </c>
      <c r="K121" s="264" t="s">
        <v>556</v>
      </c>
      <c r="L121" s="285">
        <v>2</v>
      </c>
      <c r="M121" s="87"/>
      <c r="N121" s="283"/>
      <c r="O121" s="81"/>
      <c r="P121" s="281"/>
      <c r="Q121" s="81"/>
      <c r="R121" s="281"/>
      <c r="S121" s="81"/>
      <c r="T121" s="281"/>
      <c r="U121" s="81"/>
      <c r="V121" s="281"/>
      <c r="W121" s="81"/>
      <c r="X121" s="281"/>
      <c r="Y121" s="81"/>
      <c r="Z121" s="281"/>
      <c r="AA121" s="81"/>
      <c r="AB121" s="281"/>
      <c r="AC121" s="81"/>
      <c r="AD121" s="281"/>
      <c r="AE121" s="81"/>
      <c r="AF121" s="281"/>
      <c r="AG121" s="81"/>
      <c r="AH121" s="281"/>
      <c r="AI121" s="81"/>
      <c r="AJ121" s="281"/>
      <c r="AK121" s="81"/>
      <c r="AL121" s="281"/>
      <c r="AM121" s="81"/>
      <c r="AN121" s="281"/>
      <c r="AO121" s="81"/>
      <c r="AP121" s="281"/>
      <c r="AQ121" s="81"/>
      <c r="AR121" s="281"/>
      <c r="AS121" s="81"/>
      <c r="AT121" s="281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2">
        <f t="shared" si="6"/>
        <v>3</v>
      </c>
      <c r="H122" s="137">
        <f t="shared" si="7"/>
        <v>55.045871559633028</v>
      </c>
      <c r="I122" s="261" t="s">
        <v>557</v>
      </c>
      <c r="J122" s="285">
        <v>2</v>
      </c>
      <c r="K122" s="83" t="s">
        <v>558</v>
      </c>
      <c r="L122" s="286">
        <v>1</v>
      </c>
      <c r="M122" s="87"/>
      <c r="N122" s="283"/>
      <c r="O122" s="81"/>
      <c r="P122" s="281"/>
      <c r="Q122" s="81"/>
      <c r="R122" s="281"/>
      <c r="S122" s="81"/>
      <c r="T122" s="281"/>
      <c r="U122" s="81"/>
      <c r="V122" s="281"/>
      <c r="W122" s="81"/>
      <c r="X122" s="281"/>
      <c r="Y122" s="81"/>
      <c r="Z122" s="281"/>
      <c r="AA122" s="81"/>
      <c r="AB122" s="281"/>
      <c r="AC122" s="81"/>
      <c r="AD122" s="281"/>
      <c r="AE122" s="81"/>
      <c r="AF122" s="281"/>
      <c r="AG122" s="81"/>
      <c r="AH122" s="281"/>
      <c r="AI122" s="81"/>
      <c r="AJ122" s="281"/>
      <c r="AK122" s="81"/>
      <c r="AL122" s="281"/>
      <c r="AM122" s="81"/>
      <c r="AN122" s="281"/>
      <c r="AO122" s="81"/>
      <c r="AP122" s="281"/>
      <c r="AQ122" s="81"/>
      <c r="AR122" s="281"/>
      <c r="AS122" s="81"/>
      <c r="AT122" s="281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2">
        <f t="shared" si="6"/>
        <v>0.5</v>
      </c>
      <c r="H123" s="137">
        <f t="shared" si="7"/>
        <v>9.1743119266055047</v>
      </c>
      <c r="I123" s="87" t="s">
        <v>559</v>
      </c>
      <c r="J123" s="283">
        <v>0.5</v>
      </c>
      <c r="K123" s="81"/>
      <c r="L123" s="281"/>
      <c r="M123" s="81"/>
      <c r="N123" s="281"/>
      <c r="O123" s="81"/>
      <c r="P123" s="281"/>
      <c r="Q123" s="81"/>
      <c r="R123" s="281"/>
      <c r="S123" s="81"/>
      <c r="T123" s="281"/>
      <c r="U123" s="81"/>
      <c r="V123" s="281"/>
      <c r="W123" s="81"/>
      <c r="X123" s="281"/>
      <c r="Y123" s="81"/>
      <c r="Z123" s="281"/>
      <c r="AA123" s="81"/>
      <c r="AB123" s="281"/>
      <c r="AC123" s="81"/>
      <c r="AD123" s="281"/>
      <c r="AE123" s="81"/>
      <c r="AF123" s="281"/>
      <c r="AG123" s="81"/>
      <c r="AH123" s="281"/>
      <c r="AI123" s="81"/>
      <c r="AJ123" s="281"/>
      <c r="AK123" s="81"/>
      <c r="AL123" s="281"/>
      <c r="AM123" s="81"/>
      <c r="AN123" s="281"/>
      <c r="AO123" s="81"/>
      <c r="AP123" s="281"/>
      <c r="AQ123" s="81"/>
      <c r="AR123" s="281"/>
      <c r="AS123" s="81"/>
      <c r="AT123" s="281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2">
        <f t="shared" si="6"/>
        <v>0.5</v>
      </c>
      <c r="H124" s="137">
        <f t="shared" si="7"/>
        <v>9.1743119266055047</v>
      </c>
      <c r="I124" s="87" t="s">
        <v>560</v>
      </c>
      <c r="J124" s="283">
        <v>0.5</v>
      </c>
      <c r="K124" s="81"/>
      <c r="L124" s="281"/>
      <c r="M124" s="81"/>
      <c r="N124" s="281"/>
      <c r="O124" s="81"/>
      <c r="P124" s="281"/>
      <c r="Q124" s="81"/>
      <c r="R124" s="281"/>
      <c r="S124" s="81"/>
      <c r="T124" s="281"/>
      <c r="U124" s="81"/>
      <c r="V124" s="281"/>
      <c r="W124" s="81"/>
      <c r="X124" s="281"/>
      <c r="Y124" s="81"/>
      <c r="Z124" s="281"/>
      <c r="AA124" s="81"/>
      <c r="AB124" s="281"/>
      <c r="AC124" s="81"/>
      <c r="AD124" s="281"/>
      <c r="AE124" s="81"/>
      <c r="AF124" s="281"/>
      <c r="AG124" s="81"/>
      <c r="AH124" s="281"/>
      <c r="AI124" s="81"/>
      <c r="AJ124" s="281"/>
      <c r="AK124" s="81"/>
      <c r="AL124" s="281"/>
      <c r="AM124" s="81"/>
      <c r="AN124" s="281"/>
      <c r="AO124" s="81"/>
      <c r="AP124" s="281"/>
      <c r="AQ124" s="81"/>
      <c r="AR124" s="281"/>
      <c r="AS124" s="81"/>
      <c r="AT124" s="281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2">
        <f t="shared" si="6"/>
        <v>2</v>
      </c>
      <c r="H125" s="137">
        <f t="shared" si="7"/>
        <v>36.697247706422019</v>
      </c>
      <c r="I125" s="87" t="s">
        <v>561</v>
      </c>
      <c r="J125" s="283">
        <v>1</v>
      </c>
      <c r="K125" s="83" t="s">
        <v>562</v>
      </c>
      <c r="L125" s="286">
        <v>1</v>
      </c>
      <c r="M125" s="81"/>
      <c r="N125" s="281"/>
      <c r="O125" s="81"/>
      <c r="P125" s="281"/>
      <c r="Q125" s="81"/>
      <c r="R125" s="281"/>
      <c r="S125" s="81"/>
      <c r="T125" s="281"/>
      <c r="U125" s="81"/>
      <c r="V125" s="281"/>
      <c r="W125" s="81"/>
      <c r="X125" s="281"/>
      <c r="Y125" s="81"/>
      <c r="Z125" s="281"/>
      <c r="AA125" s="81"/>
      <c r="AB125" s="281"/>
      <c r="AC125" s="81"/>
      <c r="AD125" s="281"/>
      <c r="AE125" s="81"/>
      <c r="AF125" s="281"/>
      <c r="AG125" s="81"/>
      <c r="AH125" s="281"/>
      <c r="AI125" s="81"/>
      <c r="AJ125" s="281"/>
      <c r="AK125" s="81"/>
      <c r="AL125" s="281"/>
      <c r="AM125" s="81"/>
      <c r="AN125" s="281"/>
      <c r="AO125" s="81"/>
      <c r="AP125" s="281"/>
      <c r="AQ125" s="81"/>
      <c r="AR125" s="281"/>
      <c r="AS125" s="81"/>
      <c r="AT125" s="281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2">
        <f t="shared" si="6"/>
        <v>0</v>
      </c>
      <c r="H126" s="137">
        <f t="shared" si="7"/>
        <v>0</v>
      </c>
      <c r="I126" s="87"/>
      <c r="J126" s="283"/>
      <c r="K126" s="81"/>
      <c r="L126" s="281"/>
      <c r="M126" s="81"/>
      <c r="N126" s="281"/>
      <c r="O126" s="81"/>
      <c r="P126" s="281"/>
      <c r="Q126" s="81"/>
      <c r="R126" s="281"/>
      <c r="S126" s="81"/>
      <c r="T126" s="281"/>
      <c r="U126" s="81"/>
      <c r="V126" s="281"/>
      <c r="W126" s="81"/>
      <c r="X126" s="281"/>
      <c r="Y126" s="81"/>
      <c r="Z126" s="281"/>
      <c r="AA126" s="81"/>
      <c r="AB126" s="281"/>
      <c r="AC126" s="81"/>
      <c r="AD126" s="281"/>
      <c r="AE126" s="81"/>
      <c r="AF126" s="281"/>
      <c r="AG126" s="81"/>
      <c r="AH126" s="281"/>
      <c r="AI126" s="81"/>
      <c r="AJ126" s="281"/>
      <c r="AK126" s="81"/>
      <c r="AL126" s="281"/>
      <c r="AM126" s="81"/>
      <c r="AN126" s="281"/>
      <c r="AO126" s="81"/>
      <c r="AP126" s="281"/>
      <c r="AQ126" s="81"/>
      <c r="AR126" s="281"/>
      <c r="AS126" s="81"/>
      <c r="AT126" s="281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2">
        <f t="shared" si="6"/>
        <v>0</v>
      </c>
      <c r="H127" s="137">
        <f t="shared" si="7"/>
        <v>0</v>
      </c>
      <c r="I127" s="87"/>
      <c r="J127" s="283"/>
      <c r="K127" s="81"/>
      <c r="L127" s="281"/>
      <c r="M127" s="81"/>
      <c r="N127" s="281"/>
      <c r="O127" s="81"/>
      <c r="P127" s="281"/>
      <c r="Q127" s="81"/>
      <c r="R127" s="281"/>
      <c r="S127" s="81"/>
      <c r="T127" s="281"/>
      <c r="U127" s="81"/>
      <c r="V127" s="281"/>
      <c r="W127" s="81"/>
      <c r="X127" s="281"/>
      <c r="Y127" s="81"/>
      <c r="Z127" s="281"/>
      <c r="AA127" s="81"/>
      <c r="AB127" s="281"/>
      <c r="AC127" s="81"/>
      <c r="AD127" s="281"/>
      <c r="AE127" s="81"/>
      <c r="AF127" s="281"/>
      <c r="AG127" s="81"/>
      <c r="AH127" s="281"/>
      <c r="AI127" s="81"/>
      <c r="AJ127" s="281"/>
      <c r="AK127" s="81"/>
      <c r="AL127" s="281"/>
      <c r="AM127" s="81"/>
      <c r="AN127" s="281"/>
      <c r="AO127" s="81"/>
      <c r="AP127" s="281"/>
      <c r="AQ127" s="81"/>
      <c r="AR127" s="281"/>
      <c r="AS127" s="81"/>
      <c r="AT127" s="281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2">
        <f t="shared" si="6"/>
        <v>1</v>
      </c>
      <c r="H128" s="137">
        <f t="shared" si="7"/>
        <v>18.348623853211009</v>
      </c>
      <c r="I128" s="261" t="s">
        <v>563</v>
      </c>
      <c r="J128" s="285">
        <v>1</v>
      </c>
      <c r="K128" s="81"/>
      <c r="L128" s="281"/>
      <c r="M128" s="81"/>
      <c r="N128" s="281"/>
      <c r="O128" s="81"/>
      <c r="P128" s="281"/>
      <c r="Q128" s="81"/>
      <c r="R128" s="281"/>
      <c r="S128" s="81"/>
      <c r="T128" s="281"/>
      <c r="U128" s="81"/>
      <c r="V128" s="281"/>
      <c r="W128" s="81"/>
      <c r="X128" s="281"/>
      <c r="Y128" s="81"/>
      <c r="Z128" s="281"/>
      <c r="AA128" s="81"/>
      <c r="AB128" s="281"/>
      <c r="AC128" s="81"/>
      <c r="AD128" s="281"/>
      <c r="AE128" s="81"/>
      <c r="AF128" s="281"/>
      <c r="AG128" s="81"/>
      <c r="AH128" s="281"/>
      <c r="AI128" s="81"/>
      <c r="AJ128" s="281"/>
      <c r="AK128" s="81"/>
      <c r="AL128" s="281"/>
      <c r="AM128" s="81"/>
      <c r="AN128" s="281"/>
      <c r="AO128" s="81"/>
      <c r="AP128" s="281"/>
      <c r="AQ128" s="81"/>
      <c r="AR128" s="281"/>
      <c r="AS128" s="81"/>
      <c r="AT128" s="281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2">
        <f t="shared" si="6"/>
        <v>5.9</v>
      </c>
      <c r="H129" s="137">
        <f t="shared" si="7"/>
        <v>108.25688073394495</v>
      </c>
      <c r="I129" s="87" t="s">
        <v>564</v>
      </c>
      <c r="J129" s="283">
        <v>2.4</v>
      </c>
      <c r="K129" s="81" t="s">
        <v>565</v>
      </c>
      <c r="L129" s="281">
        <v>2</v>
      </c>
      <c r="M129" s="264" t="s">
        <v>566</v>
      </c>
      <c r="N129" s="285">
        <v>1</v>
      </c>
      <c r="O129" s="99" t="s">
        <v>567</v>
      </c>
      <c r="P129" s="291">
        <v>0.5</v>
      </c>
      <c r="Q129" s="81"/>
      <c r="R129" s="281"/>
      <c r="S129" s="99" t="s">
        <v>567</v>
      </c>
      <c r="T129" s="281"/>
      <c r="U129" s="81"/>
      <c r="V129" s="281"/>
      <c r="W129" s="81"/>
      <c r="X129" s="281"/>
      <c r="Y129" s="81"/>
      <c r="Z129" s="281"/>
      <c r="AA129" s="81"/>
      <c r="AB129" s="281"/>
      <c r="AC129" s="81"/>
      <c r="AD129" s="281"/>
      <c r="AE129" s="81"/>
      <c r="AF129" s="281"/>
      <c r="AG129" s="81"/>
      <c r="AH129" s="281"/>
      <c r="AI129" s="81"/>
      <c r="AJ129" s="281"/>
      <c r="AK129" s="81"/>
      <c r="AL129" s="281"/>
      <c r="AM129" s="81"/>
      <c r="AN129" s="281"/>
      <c r="AO129" s="81"/>
      <c r="AP129" s="281"/>
      <c r="AQ129" s="81"/>
      <c r="AR129" s="281"/>
      <c r="AS129" s="81"/>
      <c r="AT129" s="281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2">
        <f t="shared" si="6"/>
        <v>1</v>
      </c>
      <c r="H130" s="137">
        <f t="shared" si="7"/>
        <v>18.348623853211009</v>
      </c>
      <c r="I130" s="87" t="s">
        <v>568</v>
      </c>
      <c r="J130" s="283">
        <v>1</v>
      </c>
      <c r="K130" s="81"/>
      <c r="L130" s="281"/>
      <c r="M130" s="87"/>
      <c r="N130" s="283"/>
      <c r="O130" s="81"/>
      <c r="P130" s="281"/>
      <c r="Q130" s="81"/>
      <c r="R130" s="281"/>
      <c r="S130" s="81"/>
      <c r="T130" s="281"/>
      <c r="U130" s="81"/>
      <c r="V130" s="281"/>
      <c r="W130" s="81"/>
      <c r="X130" s="281"/>
      <c r="Y130" s="81"/>
      <c r="Z130" s="281"/>
      <c r="AA130" s="81"/>
      <c r="AB130" s="281"/>
      <c r="AC130" s="81"/>
      <c r="AD130" s="281"/>
      <c r="AE130" s="81"/>
      <c r="AF130" s="281"/>
      <c r="AG130" s="81"/>
      <c r="AH130" s="281"/>
      <c r="AI130" s="81"/>
      <c r="AJ130" s="281"/>
      <c r="AK130" s="81"/>
      <c r="AL130" s="281"/>
      <c r="AM130" s="81"/>
      <c r="AN130" s="281"/>
      <c r="AO130" s="81"/>
      <c r="AP130" s="281"/>
      <c r="AQ130" s="81"/>
      <c r="AR130" s="281"/>
      <c r="AS130" s="81"/>
      <c r="AT130" s="281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2">
        <f t="shared" si="6"/>
        <v>4.4000000000000004</v>
      </c>
      <c r="H131" s="137">
        <f t="shared" si="7"/>
        <v>80.733944954128447</v>
      </c>
      <c r="I131" s="87" t="s">
        <v>569</v>
      </c>
      <c r="J131" s="283">
        <v>2.4</v>
      </c>
      <c r="K131" s="81" t="s">
        <v>570</v>
      </c>
      <c r="L131" s="281">
        <v>1</v>
      </c>
      <c r="M131" s="264" t="s">
        <v>571</v>
      </c>
      <c r="N131" s="285">
        <v>1</v>
      </c>
      <c r="O131" s="81"/>
      <c r="P131" s="281"/>
      <c r="Q131" s="81"/>
      <c r="R131" s="281"/>
      <c r="S131" s="81"/>
      <c r="T131" s="281"/>
      <c r="U131" s="81"/>
      <c r="V131" s="281"/>
      <c r="W131" s="81"/>
      <c r="X131" s="281"/>
      <c r="Y131" s="81"/>
      <c r="Z131" s="281"/>
      <c r="AA131" s="81"/>
      <c r="AB131" s="281"/>
      <c r="AC131" s="81"/>
      <c r="AD131" s="281"/>
      <c r="AE131" s="81"/>
      <c r="AF131" s="281"/>
      <c r="AG131" s="81"/>
      <c r="AH131" s="281"/>
      <c r="AI131" s="81"/>
      <c r="AJ131" s="281"/>
      <c r="AK131" s="81"/>
      <c r="AL131" s="281"/>
      <c r="AM131" s="81"/>
      <c r="AN131" s="281"/>
      <c r="AO131" s="81"/>
      <c r="AP131" s="281"/>
      <c r="AQ131" s="81"/>
      <c r="AR131" s="281"/>
      <c r="AS131" s="81"/>
      <c r="AT131" s="281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2">
        <f t="shared" si="6"/>
        <v>6.4</v>
      </c>
      <c r="H132" s="137">
        <f t="shared" si="7"/>
        <v>117.43119266055047</v>
      </c>
      <c r="I132" s="87" t="s">
        <v>572</v>
      </c>
      <c r="J132" s="283">
        <v>2.4</v>
      </c>
      <c r="K132" s="85" t="s">
        <v>573</v>
      </c>
      <c r="L132" s="282">
        <v>4</v>
      </c>
      <c r="M132" s="81"/>
      <c r="N132" s="281"/>
      <c r="O132" s="81"/>
      <c r="P132" s="281"/>
      <c r="Q132" s="81"/>
      <c r="R132" s="281"/>
      <c r="S132" s="81"/>
      <c r="T132" s="281"/>
      <c r="U132" s="81"/>
      <c r="V132" s="281"/>
      <c r="W132" s="81"/>
      <c r="X132" s="281"/>
      <c r="Y132" s="81"/>
      <c r="Z132" s="281"/>
      <c r="AA132" s="81"/>
      <c r="AB132" s="281"/>
      <c r="AC132" s="81"/>
      <c r="AD132" s="281"/>
      <c r="AE132" s="81"/>
      <c r="AF132" s="281"/>
      <c r="AG132" s="81"/>
      <c r="AH132" s="281"/>
      <c r="AI132" s="81"/>
      <c r="AJ132" s="281"/>
      <c r="AK132" s="81"/>
      <c r="AL132" s="281"/>
      <c r="AM132" s="81"/>
      <c r="AN132" s="281"/>
      <c r="AO132" s="81"/>
      <c r="AP132" s="281"/>
      <c r="AQ132" s="81"/>
      <c r="AR132" s="281"/>
      <c r="AS132" s="81"/>
      <c r="AT132" s="281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2">
        <f t="shared" si="6"/>
        <v>4</v>
      </c>
      <c r="H133" s="137">
        <f t="shared" si="7"/>
        <v>73.394495412844037</v>
      </c>
      <c r="I133" s="83" t="s">
        <v>574</v>
      </c>
      <c r="J133" s="286">
        <v>4</v>
      </c>
      <c r="K133" s="81"/>
      <c r="L133" s="281"/>
      <c r="M133" s="81"/>
      <c r="N133" s="281"/>
      <c r="O133" s="81"/>
      <c r="P133" s="281"/>
      <c r="Q133" s="81"/>
      <c r="R133" s="281"/>
      <c r="S133" s="81"/>
      <c r="T133" s="281"/>
      <c r="U133" s="81"/>
      <c r="V133" s="281"/>
      <c r="W133" s="81"/>
      <c r="X133" s="281"/>
      <c r="Y133" s="81"/>
      <c r="Z133" s="281"/>
      <c r="AA133" s="81"/>
      <c r="AB133" s="281"/>
      <c r="AC133" s="81"/>
      <c r="AD133" s="281"/>
      <c r="AE133" s="81"/>
      <c r="AF133" s="281"/>
      <c r="AG133" s="81"/>
      <c r="AH133" s="281"/>
      <c r="AI133" s="81"/>
      <c r="AJ133" s="281"/>
      <c r="AK133" s="81"/>
      <c r="AL133" s="281"/>
      <c r="AM133" s="81"/>
      <c r="AN133" s="281"/>
      <c r="AO133" s="81"/>
      <c r="AP133" s="281"/>
      <c r="AQ133" s="81"/>
      <c r="AR133" s="281"/>
      <c r="AS133" s="81"/>
      <c r="AT133" s="281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2">
        <f t="shared" si="6"/>
        <v>10.4</v>
      </c>
      <c r="H134" s="137">
        <f t="shared" si="7"/>
        <v>190.8256880733945</v>
      </c>
      <c r="I134" s="87" t="s">
        <v>575</v>
      </c>
      <c r="J134" s="283">
        <v>2.4</v>
      </c>
      <c r="K134" s="87" t="s">
        <v>576</v>
      </c>
      <c r="L134" s="283">
        <v>2</v>
      </c>
      <c r="M134" s="87" t="s">
        <v>577</v>
      </c>
      <c r="N134" s="283">
        <v>1</v>
      </c>
      <c r="O134" s="89" t="s">
        <v>578</v>
      </c>
      <c r="P134" s="284">
        <v>5</v>
      </c>
      <c r="Q134" s="81"/>
      <c r="R134" s="281"/>
      <c r="S134" s="81"/>
      <c r="T134" s="281"/>
      <c r="U134" s="81"/>
      <c r="V134" s="281"/>
      <c r="W134" s="81"/>
      <c r="X134" s="281"/>
      <c r="Y134" s="81"/>
      <c r="Z134" s="281"/>
      <c r="AA134" s="81"/>
      <c r="AB134" s="281"/>
      <c r="AC134" s="81"/>
      <c r="AD134" s="281"/>
      <c r="AE134" s="81"/>
      <c r="AF134" s="281"/>
      <c r="AG134" s="81"/>
      <c r="AH134" s="281"/>
      <c r="AI134" s="81"/>
      <c r="AJ134" s="281"/>
      <c r="AK134" s="81"/>
      <c r="AL134" s="281"/>
      <c r="AM134" s="81"/>
      <c r="AN134" s="281"/>
      <c r="AO134" s="81"/>
      <c r="AP134" s="281"/>
      <c r="AQ134" s="81"/>
      <c r="AR134" s="281"/>
      <c r="AS134" s="81"/>
      <c r="AT134" s="281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2">
        <f>SUM(J135,L135,N135,P135,R135,T135,V135,X135,Z135,AB135,AD135,AF135,AH135,AJ135,AL135,AN135,AP135,AR135,AT135,AV135)</f>
        <v>1</v>
      </c>
      <c r="H135" s="137">
        <f>SUM(G135*1000)/54.5</f>
        <v>18.348623853211009</v>
      </c>
      <c r="I135" s="89" t="s">
        <v>579</v>
      </c>
      <c r="J135" s="284">
        <v>1</v>
      </c>
      <c r="K135" s="83"/>
      <c r="L135" s="286"/>
      <c r="M135" s="87"/>
      <c r="N135" s="283"/>
      <c r="O135" s="81"/>
      <c r="P135" s="281"/>
      <c r="Q135" s="81"/>
      <c r="R135" s="281"/>
      <c r="S135" s="81"/>
      <c r="T135" s="281"/>
      <c r="U135" s="81"/>
      <c r="V135" s="281"/>
      <c r="W135" s="81"/>
      <c r="X135" s="281"/>
      <c r="Y135" s="81"/>
      <c r="Z135" s="281"/>
      <c r="AA135" s="81"/>
      <c r="AB135" s="281"/>
      <c r="AC135" s="81"/>
      <c r="AD135" s="281"/>
      <c r="AE135" s="81"/>
      <c r="AF135" s="281"/>
      <c r="AG135" s="81"/>
      <c r="AH135" s="281"/>
      <c r="AI135" s="81"/>
      <c r="AJ135" s="281"/>
      <c r="AK135" s="81"/>
      <c r="AL135" s="281"/>
      <c r="AM135" s="81"/>
      <c r="AN135" s="281"/>
      <c r="AO135" s="81"/>
      <c r="AP135" s="281"/>
      <c r="AQ135" s="81"/>
      <c r="AR135" s="281"/>
      <c r="AS135" s="81"/>
      <c r="AT135" s="281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2">
        <f t="shared" si="6"/>
        <v>6.7</v>
      </c>
      <c r="H136" s="137">
        <f t="shared" si="7"/>
        <v>122.93577981651376</v>
      </c>
      <c r="I136" s="87" t="s">
        <v>580</v>
      </c>
      <c r="J136" s="283">
        <v>1.7</v>
      </c>
      <c r="K136" s="266" t="s">
        <v>581</v>
      </c>
      <c r="L136" s="283">
        <v>1</v>
      </c>
      <c r="M136" s="87" t="s">
        <v>582</v>
      </c>
      <c r="N136" s="283">
        <v>4</v>
      </c>
      <c r="O136" s="81"/>
      <c r="P136" s="281"/>
      <c r="Q136" s="81"/>
      <c r="R136" s="281"/>
      <c r="S136" s="81"/>
      <c r="T136" s="281"/>
      <c r="U136" s="81"/>
      <c r="V136" s="281"/>
      <c r="W136" s="81"/>
      <c r="X136" s="281"/>
      <c r="Y136" s="81"/>
      <c r="Z136" s="281"/>
      <c r="AA136" s="81"/>
      <c r="AB136" s="281"/>
      <c r="AC136" s="81"/>
      <c r="AD136" s="281"/>
      <c r="AE136" s="81"/>
      <c r="AF136" s="281"/>
      <c r="AG136" s="81"/>
      <c r="AH136" s="281"/>
      <c r="AI136" s="81"/>
      <c r="AJ136" s="281"/>
      <c r="AK136" s="81"/>
      <c r="AL136" s="281"/>
      <c r="AM136" s="81"/>
      <c r="AN136" s="281"/>
      <c r="AO136" s="81"/>
      <c r="AP136" s="281"/>
      <c r="AQ136" s="81"/>
      <c r="AR136" s="281"/>
      <c r="AS136" s="81"/>
      <c r="AT136" s="281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2">
        <f t="shared" si="6"/>
        <v>0</v>
      </c>
      <c r="H137" s="137">
        <f t="shared" si="7"/>
        <v>0</v>
      </c>
      <c r="I137" s="87"/>
      <c r="J137" s="283"/>
      <c r="K137" s="81"/>
      <c r="L137" s="281"/>
      <c r="M137" s="81"/>
      <c r="N137" s="281"/>
      <c r="O137" s="81"/>
      <c r="P137" s="281"/>
      <c r="Q137" s="81"/>
      <c r="R137" s="281"/>
      <c r="S137" s="81"/>
      <c r="T137" s="281"/>
      <c r="U137" s="81"/>
      <c r="V137" s="281"/>
      <c r="W137" s="81"/>
      <c r="X137" s="281"/>
      <c r="Y137" s="81"/>
      <c r="Z137" s="281"/>
      <c r="AA137" s="81"/>
      <c r="AB137" s="281"/>
      <c r="AC137" s="81"/>
      <c r="AD137" s="281"/>
      <c r="AE137" s="81"/>
      <c r="AF137" s="281"/>
      <c r="AG137" s="81"/>
      <c r="AH137" s="281"/>
      <c r="AI137" s="81"/>
      <c r="AJ137" s="281"/>
      <c r="AK137" s="81"/>
      <c r="AL137" s="281"/>
      <c r="AM137" s="81"/>
      <c r="AN137" s="281"/>
      <c r="AO137" s="81"/>
      <c r="AP137" s="281"/>
      <c r="AQ137" s="81"/>
      <c r="AR137" s="281"/>
      <c r="AS137" s="81"/>
      <c r="AT137" s="281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2">
        <f t="shared" si="6"/>
        <v>0</v>
      </c>
      <c r="H138" s="137">
        <f t="shared" si="7"/>
        <v>0</v>
      </c>
      <c r="I138" s="87"/>
      <c r="J138" s="283"/>
      <c r="K138" s="81"/>
      <c r="L138" s="281"/>
      <c r="M138" s="81"/>
      <c r="N138" s="281"/>
      <c r="O138" s="81"/>
      <c r="P138" s="281"/>
      <c r="Q138" s="81"/>
      <c r="R138" s="281"/>
      <c r="S138" s="81"/>
      <c r="T138" s="281"/>
      <c r="U138" s="81"/>
      <c r="V138" s="281"/>
      <c r="W138" s="81"/>
      <c r="X138" s="281"/>
      <c r="Y138" s="81"/>
      <c r="Z138" s="281"/>
      <c r="AA138" s="81"/>
      <c r="AB138" s="281"/>
      <c r="AC138" s="81"/>
      <c r="AD138" s="281"/>
      <c r="AE138" s="81"/>
      <c r="AF138" s="281"/>
      <c r="AG138" s="81"/>
      <c r="AH138" s="281"/>
      <c r="AI138" s="81"/>
      <c r="AJ138" s="281"/>
      <c r="AK138" s="81"/>
      <c r="AL138" s="281"/>
      <c r="AM138" s="81"/>
      <c r="AN138" s="281"/>
      <c r="AO138" s="81"/>
      <c r="AP138" s="281"/>
      <c r="AQ138" s="81"/>
      <c r="AR138" s="281"/>
      <c r="AS138" s="81"/>
      <c r="AT138" s="281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2">
        <f t="shared" si="6"/>
        <v>1</v>
      </c>
      <c r="H139" s="137">
        <f t="shared" si="7"/>
        <v>18.348623853211009</v>
      </c>
      <c r="I139" s="268" t="s">
        <v>583</v>
      </c>
      <c r="J139" s="283">
        <v>1</v>
      </c>
      <c r="K139" s="81"/>
      <c r="L139" s="281"/>
      <c r="M139" s="81"/>
      <c r="N139" s="281"/>
      <c r="O139" s="81"/>
      <c r="P139" s="281"/>
      <c r="Q139" s="81"/>
      <c r="R139" s="281"/>
      <c r="S139" s="81"/>
      <c r="T139" s="281"/>
      <c r="U139" s="81"/>
      <c r="V139" s="281"/>
      <c r="W139" s="81"/>
      <c r="X139" s="281"/>
      <c r="Y139" s="81"/>
      <c r="Z139" s="281"/>
      <c r="AA139" s="81"/>
      <c r="AB139" s="281"/>
      <c r="AC139" s="81"/>
      <c r="AD139" s="281"/>
      <c r="AE139" s="81"/>
      <c r="AF139" s="281"/>
      <c r="AG139" s="81"/>
      <c r="AH139" s="281"/>
      <c r="AI139" s="81"/>
      <c r="AJ139" s="281"/>
      <c r="AK139" s="81"/>
      <c r="AL139" s="281"/>
      <c r="AM139" s="81"/>
      <c r="AN139" s="281"/>
      <c r="AO139" s="81"/>
      <c r="AP139" s="281"/>
      <c r="AQ139" s="81"/>
      <c r="AR139" s="281"/>
      <c r="AS139" s="81"/>
      <c r="AT139" s="281"/>
      <c r="AU139" s="81"/>
      <c r="AV139" s="50">
        <f>IFERROR(VLOOKUP(A139,'Site check'!A:Q,14,0),0)</f>
        <v>0</v>
      </c>
    </row>
    <row r="140" spans="1:48">
      <c r="A140" s="35" t="s">
        <v>156</v>
      </c>
      <c r="B140" s="96"/>
      <c r="C140" s="30" t="s">
        <v>18</v>
      </c>
      <c r="D140" s="4"/>
      <c r="E140" s="4"/>
      <c r="F140" s="4"/>
      <c r="G140" s="252">
        <f t="shared" si="6"/>
        <v>13</v>
      </c>
      <c r="H140" s="137">
        <f t="shared" si="7"/>
        <v>238.53211009174311</v>
      </c>
      <c r="I140" s="81" t="s">
        <v>510</v>
      </c>
      <c r="J140" s="281">
        <v>1.5</v>
      </c>
      <c r="K140" s="81" t="s">
        <v>584</v>
      </c>
      <c r="L140" s="281">
        <v>4</v>
      </c>
      <c r="M140" s="261" t="s">
        <v>585</v>
      </c>
      <c r="N140" s="285">
        <v>1</v>
      </c>
      <c r="O140" s="101" t="s">
        <v>586</v>
      </c>
      <c r="P140" s="291">
        <v>1</v>
      </c>
      <c r="Q140" s="101" t="s">
        <v>587</v>
      </c>
      <c r="R140" s="291">
        <v>5.5</v>
      </c>
      <c r="S140" s="81"/>
      <c r="T140" s="281"/>
      <c r="U140" s="81"/>
      <c r="V140" s="281"/>
      <c r="W140" s="81"/>
      <c r="X140" s="281"/>
      <c r="Y140" s="81"/>
      <c r="Z140" s="281"/>
      <c r="AA140" s="81"/>
      <c r="AB140" s="281"/>
      <c r="AC140" s="81"/>
      <c r="AD140" s="281"/>
      <c r="AE140" s="81"/>
      <c r="AF140" s="281"/>
      <c r="AG140" s="81"/>
      <c r="AH140" s="281"/>
      <c r="AI140" s="81"/>
      <c r="AJ140" s="281"/>
      <c r="AK140" s="81"/>
      <c r="AL140" s="281"/>
      <c r="AM140" s="81"/>
      <c r="AN140" s="281"/>
      <c r="AO140" s="81"/>
      <c r="AP140" s="281"/>
      <c r="AQ140" s="81"/>
      <c r="AR140" s="281"/>
      <c r="AS140" s="81"/>
      <c r="AT140" s="281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2">
        <f t="shared" si="6"/>
        <v>0</v>
      </c>
      <c r="H141" s="137">
        <f t="shared" si="7"/>
        <v>0</v>
      </c>
      <c r="I141" s="81"/>
      <c r="J141" s="281"/>
      <c r="K141" s="81"/>
      <c r="L141" s="281"/>
      <c r="M141" s="81"/>
      <c r="N141" s="281"/>
      <c r="O141" s="81"/>
      <c r="P141" s="281"/>
      <c r="Q141" s="81"/>
      <c r="R141" s="281"/>
      <c r="S141" s="81"/>
      <c r="T141" s="281"/>
      <c r="U141" s="81"/>
      <c r="V141" s="281"/>
      <c r="W141" s="81"/>
      <c r="X141" s="281"/>
      <c r="Y141" s="81"/>
      <c r="Z141" s="281"/>
      <c r="AA141" s="81"/>
      <c r="AB141" s="281"/>
      <c r="AC141" s="81"/>
      <c r="AD141" s="281"/>
      <c r="AE141" s="81"/>
      <c r="AF141" s="281"/>
      <c r="AG141" s="81"/>
      <c r="AH141" s="281"/>
      <c r="AI141" s="81"/>
      <c r="AJ141" s="281"/>
      <c r="AK141" s="81"/>
      <c r="AL141" s="281"/>
      <c r="AM141" s="81"/>
      <c r="AN141" s="281"/>
      <c r="AO141" s="81"/>
      <c r="AP141" s="281"/>
      <c r="AQ141" s="81"/>
      <c r="AR141" s="281"/>
      <c r="AS141" s="81"/>
      <c r="AT141" s="281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2">
        <f t="shared" ref="G142:G207" si="12">SUM(J142,L142,N142,P142,R142,T142,V142,X142,Z142,AB142,AD142,AF142,AH142,AJ142,AL142,AN142,AP142,AR142,AT142,AV142)</f>
        <v>0</v>
      </c>
      <c r="H142" s="137">
        <f t="shared" si="7"/>
        <v>0</v>
      </c>
      <c r="I142" s="81"/>
      <c r="J142" s="281"/>
      <c r="K142" s="81"/>
      <c r="L142" s="281"/>
      <c r="M142" s="81"/>
      <c r="N142" s="281"/>
      <c r="O142" s="81"/>
      <c r="P142" s="281"/>
      <c r="Q142" s="81"/>
      <c r="R142" s="281"/>
      <c r="S142" s="81"/>
      <c r="T142" s="281"/>
      <c r="U142" s="81"/>
      <c r="V142" s="281"/>
      <c r="W142" s="81"/>
      <c r="X142" s="281"/>
      <c r="Y142" s="81"/>
      <c r="Z142" s="281"/>
      <c r="AA142" s="81"/>
      <c r="AB142" s="281"/>
      <c r="AC142" s="81"/>
      <c r="AD142" s="281"/>
      <c r="AE142" s="81"/>
      <c r="AF142" s="281"/>
      <c r="AG142" s="81"/>
      <c r="AH142" s="281"/>
      <c r="AI142" s="81"/>
      <c r="AJ142" s="281"/>
      <c r="AK142" s="81"/>
      <c r="AL142" s="281"/>
      <c r="AM142" s="81"/>
      <c r="AN142" s="281"/>
      <c r="AO142" s="81"/>
      <c r="AP142" s="281"/>
      <c r="AQ142" s="81"/>
      <c r="AR142" s="281"/>
      <c r="AS142" s="81"/>
      <c r="AT142" s="281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2">
        <f t="shared" si="12"/>
        <v>14.6</v>
      </c>
      <c r="H143" s="137">
        <f t="shared" ref="H143:H208" si="13">SUM(G143*1000)/54.5</f>
        <v>267.88990825688074</v>
      </c>
      <c r="I143" s="81" t="s">
        <v>588</v>
      </c>
      <c r="J143" s="281">
        <v>0</v>
      </c>
      <c r="K143" s="81" t="s">
        <v>589</v>
      </c>
      <c r="L143" s="281">
        <v>0.1</v>
      </c>
      <c r="M143" s="81" t="s">
        <v>590</v>
      </c>
      <c r="N143" s="281">
        <v>0.8</v>
      </c>
      <c r="O143" s="89" t="s">
        <v>591</v>
      </c>
      <c r="P143" s="281">
        <v>1.45</v>
      </c>
      <c r="Q143" s="81" t="s">
        <v>592</v>
      </c>
      <c r="R143" s="281">
        <v>0.9</v>
      </c>
      <c r="S143" s="81" t="s">
        <v>593</v>
      </c>
      <c r="T143" s="281">
        <v>1.5</v>
      </c>
      <c r="U143" s="85" t="s">
        <v>594</v>
      </c>
      <c r="V143" s="282">
        <v>1.8</v>
      </c>
      <c r="W143" s="261" t="s">
        <v>595</v>
      </c>
      <c r="X143" s="287">
        <v>0.5</v>
      </c>
      <c r="Y143" s="264" t="s">
        <v>596</v>
      </c>
      <c r="Z143" s="287">
        <v>0.5</v>
      </c>
      <c r="AA143" s="85" t="s">
        <v>597</v>
      </c>
      <c r="AB143" s="282">
        <v>1.7</v>
      </c>
      <c r="AC143" s="87" t="s">
        <v>454</v>
      </c>
      <c r="AD143" s="283">
        <v>0.25</v>
      </c>
      <c r="AE143" s="261" t="s">
        <v>598</v>
      </c>
      <c r="AF143" s="293">
        <v>0.5</v>
      </c>
      <c r="AG143" s="316" t="s">
        <v>599</v>
      </c>
      <c r="AH143" s="318">
        <v>3</v>
      </c>
      <c r="AI143" s="101" t="s">
        <v>600</v>
      </c>
      <c r="AJ143" s="286">
        <v>1.6</v>
      </c>
      <c r="AK143" s="261"/>
      <c r="AL143" s="293"/>
      <c r="AM143" s="87"/>
      <c r="AN143" s="283"/>
      <c r="AO143" s="261"/>
      <c r="AP143" s="293"/>
      <c r="AQ143" s="81"/>
      <c r="AR143" s="281"/>
      <c r="AS143" s="81"/>
      <c r="AT143" s="281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2">
        <f t="shared" si="12"/>
        <v>18.5</v>
      </c>
      <c r="H144" s="137">
        <f t="shared" si="13"/>
        <v>339.44954128440367</v>
      </c>
      <c r="I144" s="81" t="s">
        <v>588</v>
      </c>
      <c r="J144" s="281">
        <v>2.4</v>
      </c>
      <c r="K144" s="81" t="s">
        <v>589</v>
      </c>
      <c r="L144" s="281">
        <v>0.4</v>
      </c>
      <c r="M144" s="81" t="s">
        <v>590</v>
      </c>
      <c r="N144" s="281">
        <v>1.4</v>
      </c>
      <c r="O144" s="89" t="s">
        <v>591</v>
      </c>
      <c r="P144" s="281">
        <v>1.45</v>
      </c>
      <c r="Q144" s="81" t="s">
        <v>592</v>
      </c>
      <c r="R144" s="281">
        <v>0.9</v>
      </c>
      <c r="S144" s="81" t="s">
        <v>593</v>
      </c>
      <c r="T144" s="281">
        <v>1.5</v>
      </c>
      <c r="U144" s="85" t="s">
        <v>594</v>
      </c>
      <c r="V144" s="282">
        <v>2.1</v>
      </c>
      <c r="W144" s="261" t="s">
        <v>595</v>
      </c>
      <c r="X144" s="283">
        <v>0.5</v>
      </c>
      <c r="Y144" s="264" t="s">
        <v>596</v>
      </c>
      <c r="Z144" s="283">
        <v>0.5</v>
      </c>
      <c r="AA144" s="85" t="s">
        <v>597</v>
      </c>
      <c r="AB144" s="282">
        <v>2</v>
      </c>
      <c r="AC144" s="87" t="s">
        <v>454</v>
      </c>
      <c r="AD144" s="283">
        <v>0.25</v>
      </c>
      <c r="AE144" s="261" t="s">
        <v>598</v>
      </c>
      <c r="AF144" s="283">
        <v>0.5</v>
      </c>
      <c r="AG144" s="316" t="s">
        <v>599</v>
      </c>
      <c r="AH144" s="318">
        <v>3</v>
      </c>
      <c r="AI144" s="101" t="s">
        <v>600</v>
      </c>
      <c r="AJ144" s="286">
        <v>1.6</v>
      </c>
      <c r="AK144" s="261"/>
      <c r="AL144" s="283"/>
      <c r="AM144" s="87"/>
      <c r="AN144" s="283"/>
      <c r="AO144" s="261"/>
      <c r="AP144" s="283"/>
      <c r="AQ144" s="81"/>
      <c r="AR144" s="281"/>
      <c r="AS144" s="81"/>
      <c r="AT144" s="281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2">
        <f t="shared" si="12"/>
        <v>0.1</v>
      </c>
      <c r="H145" s="137">
        <f t="shared" si="13"/>
        <v>1.834862385321101</v>
      </c>
      <c r="I145" s="83" t="s">
        <v>601</v>
      </c>
      <c r="J145" s="286">
        <v>0.1</v>
      </c>
      <c r="K145" s="83"/>
      <c r="L145" s="286"/>
      <c r="M145" s="81"/>
      <c r="N145" s="281"/>
      <c r="O145" s="81"/>
      <c r="P145" s="281"/>
      <c r="Q145" s="81"/>
      <c r="R145" s="281"/>
      <c r="S145" s="81"/>
      <c r="T145" s="281"/>
      <c r="U145" s="81"/>
      <c r="V145" s="281"/>
      <c r="W145" s="81"/>
      <c r="X145" s="281"/>
      <c r="Y145" s="81"/>
      <c r="Z145" s="281"/>
      <c r="AA145" s="81"/>
      <c r="AB145" s="281"/>
      <c r="AC145" s="81"/>
      <c r="AD145" s="281"/>
      <c r="AE145" s="81"/>
      <c r="AF145" s="281"/>
      <c r="AG145" s="81"/>
      <c r="AH145" s="281"/>
      <c r="AI145" s="81"/>
      <c r="AJ145" s="281"/>
      <c r="AK145" s="81"/>
      <c r="AL145" s="281"/>
      <c r="AM145" s="81"/>
      <c r="AN145" s="281"/>
      <c r="AO145" s="81"/>
      <c r="AP145" s="281"/>
      <c r="AQ145" s="81"/>
      <c r="AR145" s="281"/>
      <c r="AS145" s="81"/>
      <c r="AT145" s="281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2">
        <f t="shared" si="12"/>
        <v>8.1</v>
      </c>
      <c r="H146" s="137">
        <f t="shared" si="13"/>
        <v>148.62385321100916</v>
      </c>
      <c r="I146" s="81" t="s">
        <v>602</v>
      </c>
      <c r="J146" s="281">
        <v>2.4</v>
      </c>
      <c r="K146" s="81" t="s">
        <v>603</v>
      </c>
      <c r="L146" s="281">
        <v>1.5</v>
      </c>
      <c r="M146" s="83" t="s">
        <v>604</v>
      </c>
      <c r="N146" s="286">
        <v>3.2</v>
      </c>
      <c r="O146" s="264" t="s">
        <v>605</v>
      </c>
      <c r="P146" s="285">
        <v>1</v>
      </c>
      <c r="Q146" s="83"/>
      <c r="R146" s="286"/>
      <c r="S146" s="81"/>
      <c r="T146" s="281"/>
      <c r="U146" s="81"/>
      <c r="V146" s="281"/>
      <c r="W146" s="81"/>
      <c r="X146" s="281"/>
      <c r="Y146" s="81"/>
      <c r="Z146" s="281"/>
      <c r="AA146" s="81"/>
      <c r="AB146" s="281"/>
      <c r="AC146" s="81"/>
      <c r="AD146" s="281"/>
      <c r="AE146" s="81"/>
      <c r="AF146" s="281"/>
      <c r="AG146" s="81"/>
      <c r="AH146" s="281"/>
      <c r="AI146" s="81"/>
      <c r="AJ146" s="281"/>
      <c r="AK146" s="81"/>
      <c r="AL146" s="281"/>
      <c r="AM146" s="81"/>
      <c r="AN146" s="281"/>
      <c r="AO146" s="81"/>
      <c r="AP146" s="281"/>
      <c r="AQ146" s="81"/>
      <c r="AR146" s="281"/>
      <c r="AS146" s="81"/>
      <c r="AT146" s="281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2">
        <f t="shared" si="12"/>
        <v>2</v>
      </c>
      <c r="H147" s="137">
        <f t="shared" si="13"/>
        <v>36.697247706422019</v>
      </c>
      <c r="I147" s="261" t="s">
        <v>606</v>
      </c>
      <c r="J147" s="285">
        <v>2</v>
      </c>
      <c r="K147" s="101"/>
      <c r="L147" s="291"/>
      <c r="M147" s="81"/>
      <c r="N147" s="281"/>
      <c r="O147" s="81"/>
      <c r="P147" s="281"/>
      <c r="Q147" s="81"/>
      <c r="R147" s="281"/>
      <c r="S147" s="81"/>
      <c r="T147" s="281"/>
      <c r="U147" s="81"/>
      <c r="V147" s="281"/>
      <c r="W147" s="81"/>
      <c r="X147" s="281"/>
      <c r="Y147" s="81"/>
      <c r="Z147" s="281"/>
      <c r="AA147" s="81"/>
      <c r="AB147" s="281"/>
      <c r="AC147" s="81"/>
      <c r="AD147" s="281"/>
      <c r="AE147" s="81"/>
      <c r="AF147" s="281"/>
      <c r="AG147" s="81"/>
      <c r="AH147" s="281"/>
      <c r="AI147" s="81"/>
      <c r="AJ147" s="281"/>
      <c r="AK147" s="81"/>
      <c r="AL147" s="281"/>
      <c r="AM147" s="81"/>
      <c r="AN147" s="281"/>
      <c r="AO147" s="81"/>
      <c r="AP147" s="281"/>
      <c r="AQ147" s="81"/>
      <c r="AR147" s="281"/>
      <c r="AS147" s="81"/>
      <c r="AT147" s="281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2">
        <f t="shared" si="12"/>
        <v>5.9</v>
      </c>
      <c r="H148" s="137">
        <f t="shared" si="13"/>
        <v>108.25688073394495</v>
      </c>
      <c r="I148" s="81" t="s">
        <v>607</v>
      </c>
      <c r="J148" s="281">
        <v>2.4</v>
      </c>
      <c r="K148" s="81" t="s">
        <v>608</v>
      </c>
      <c r="L148" s="281">
        <v>3.5</v>
      </c>
      <c r="M148" s="81"/>
      <c r="N148" s="281"/>
      <c r="O148" s="81"/>
      <c r="P148" s="281"/>
      <c r="Q148" s="81"/>
      <c r="R148" s="281"/>
      <c r="S148" s="81"/>
      <c r="T148" s="281"/>
      <c r="U148" s="81"/>
      <c r="V148" s="281"/>
      <c r="W148" s="81"/>
      <c r="X148" s="281"/>
      <c r="Y148" s="81"/>
      <c r="Z148" s="281"/>
      <c r="AA148" s="81"/>
      <c r="AB148" s="281"/>
      <c r="AC148" s="81"/>
      <c r="AD148" s="281"/>
      <c r="AE148" s="81"/>
      <c r="AF148" s="281"/>
      <c r="AG148" s="81"/>
      <c r="AH148" s="281"/>
      <c r="AI148" s="81"/>
      <c r="AJ148" s="281"/>
      <c r="AK148" s="81"/>
      <c r="AL148" s="281"/>
      <c r="AM148" s="81"/>
      <c r="AN148" s="281"/>
      <c r="AO148" s="81"/>
      <c r="AP148" s="281"/>
      <c r="AQ148" s="81"/>
      <c r="AR148" s="281"/>
      <c r="AS148" s="81"/>
      <c r="AT148" s="281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2">
        <f t="shared" si="12"/>
        <v>0</v>
      </c>
      <c r="H149" s="137">
        <f t="shared" si="13"/>
        <v>0</v>
      </c>
      <c r="I149" s="81"/>
      <c r="J149" s="281"/>
      <c r="K149" s="81"/>
      <c r="L149" s="281"/>
      <c r="M149" s="81"/>
      <c r="N149" s="281"/>
      <c r="O149" s="81"/>
      <c r="P149" s="281"/>
      <c r="Q149" s="81"/>
      <c r="R149" s="281"/>
      <c r="S149" s="81"/>
      <c r="T149" s="281"/>
      <c r="U149" s="81"/>
      <c r="V149" s="281"/>
      <c r="W149" s="81"/>
      <c r="X149" s="281"/>
      <c r="Y149" s="81"/>
      <c r="Z149" s="281"/>
      <c r="AA149" s="81"/>
      <c r="AB149" s="281"/>
      <c r="AC149" s="81"/>
      <c r="AD149" s="281"/>
      <c r="AE149" s="81"/>
      <c r="AF149" s="281"/>
      <c r="AG149" s="81"/>
      <c r="AH149" s="281"/>
      <c r="AI149" s="81"/>
      <c r="AJ149" s="281"/>
      <c r="AK149" s="81"/>
      <c r="AL149" s="281"/>
      <c r="AM149" s="81"/>
      <c r="AN149" s="281"/>
      <c r="AO149" s="81"/>
      <c r="AP149" s="281"/>
      <c r="AQ149" s="81"/>
      <c r="AR149" s="281"/>
      <c r="AS149" s="81"/>
      <c r="AT149" s="281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2">
        <f t="shared" si="12"/>
        <v>0</v>
      </c>
      <c r="H150" s="137">
        <f t="shared" si="13"/>
        <v>0</v>
      </c>
      <c r="I150" s="81"/>
      <c r="J150" s="281"/>
      <c r="K150" s="81"/>
      <c r="L150" s="281"/>
      <c r="M150" s="81"/>
      <c r="N150" s="281"/>
      <c r="O150" s="81"/>
      <c r="P150" s="281"/>
      <c r="Q150" s="81"/>
      <c r="R150" s="281"/>
      <c r="S150" s="81"/>
      <c r="T150" s="281"/>
      <c r="U150" s="81"/>
      <c r="V150" s="281"/>
      <c r="W150" s="81"/>
      <c r="X150" s="281"/>
      <c r="Y150" s="81"/>
      <c r="Z150" s="281"/>
      <c r="AA150" s="81"/>
      <c r="AB150" s="281"/>
      <c r="AC150" s="81"/>
      <c r="AD150" s="281"/>
      <c r="AE150" s="81"/>
      <c r="AF150" s="281"/>
      <c r="AG150" s="81"/>
      <c r="AH150" s="281"/>
      <c r="AI150" s="81"/>
      <c r="AJ150" s="281"/>
      <c r="AK150" s="81"/>
      <c r="AL150" s="281"/>
      <c r="AM150" s="81"/>
      <c r="AN150" s="281"/>
      <c r="AO150" s="81"/>
      <c r="AP150" s="281"/>
      <c r="AQ150" s="81"/>
      <c r="AR150" s="281"/>
      <c r="AS150" s="81"/>
      <c r="AT150" s="281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2">
        <f>SUM(J151,L151,N151,P151,R151,T151,V151,X151,Z151,AB151,AD151,AF151,AH151,AJ151,AL151,AN151,AP151,AR151,AT151,AV151)</f>
        <v>1.7</v>
      </c>
      <c r="H151" s="137">
        <f t="shared" si="13"/>
        <v>31.192660550458715</v>
      </c>
      <c r="I151" s="81" t="s">
        <v>609</v>
      </c>
      <c r="J151" s="281">
        <v>1.7</v>
      </c>
      <c r="K151" s="81"/>
      <c r="L151" s="281"/>
      <c r="M151" s="81"/>
      <c r="N151" s="281"/>
      <c r="O151" s="81"/>
      <c r="P151" s="281"/>
      <c r="Q151" s="81"/>
      <c r="R151" s="281"/>
      <c r="S151" s="81"/>
      <c r="T151" s="281"/>
      <c r="U151" s="81"/>
      <c r="V151" s="281"/>
      <c r="W151" s="81"/>
      <c r="X151" s="281"/>
      <c r="Y151" s="81"/>
      <c r="Z151" s="281"/>
      <c r="AA151" s="81"/>
      <c r="AB151" s="281"/>
      <c r="AC151" s="81"/>
      <c r="AD151" s="281"/>
      <c r="AE151" s="81"/>
      <c r="AF151" s="281"/>
      <c r="AG151" s="81"/>
      <c r="AH151" s="281"/>
      <c r="AI151" s="81"/>
      <c r="AJ151" s="281"/>
      <c r="AK151" s="81"/>
      <c r="AL151" s="281"/>
      <c r="AM151" s="81"/>
      <c r="AN151" s="281"/>
      <c r="AO151" s="81"/>
      <c r="AP151" s="281"/>
      <c r="AQ151" s="81"/>
      <c r="AR151" s="281"/>
      <c r="AS151" s="81"/>
      <c r="AT151" s="281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2">
        <f>SUM(J152,L152,N152,P152,R152,T152,V152,X152,Z152,AB152,AD152,AF152,AH152,AJ152,AL152,AN152,AP152,AR152,AT152,AV152)</f>
        <v>11.5</v>
      </c>
      <c r="H152" s="137">
        <f t="shared" si="13"/>
        <v>211.00917431192661</v>
      </c>
      <c r="I152" s="83" t="s">
        <v>610</v>
      </c>
      <c r="J152" s="286">
        <v>2</v>
      </c>
      <c r="K152" s="83" t="s">
        <v>611</v>
      </c>
      <c r="L152" s="286">
        <v>2</v>
      </c>
      <c r="M152" s="87" t="s">
        <v>612</v>
      </c>
      <c r="N152" s="283">
        <v>1</v>
      </c>
      <c r="O152" s="261" t="s">
        <v>613</v>
      </c>
      <c r="P152" s="285">
        <v>1</v>
      </c>
      <c r="Q152" s="106" t="s">
        <v>614</v>
      </c>
      <c r="R152" s="292"/>
      <c r="S152" s="89" t="s">
        <v>615</v>
      </c>
      <c r="T152" s="284">
        <v>5.5</v>
      </c>
      <c r="U152" s="81"/>
      <c r="V152" s="281"/>
      <c r="W152" s="81"/>
      <c r="X152" s="281"/>
      <c r="Y152" s="81"/>
      <c r="Z152" s="281"/>
      <c r="AA152" s="81"/>
      <c r="AB152" s="281"/>
      <c r="AC152" s="81"/>
      <c r="AD152" s="281"/>
      <c r="AE152" s="81"/>
      <c r="AF152" s="281"/>
      <c r="AG152" s="81"/>
      <c r="AH152" s="281"/>
      <c r="AI152" s="81"/>
      <c r="AJ152" s="281"/>
      <c r="AK152" s="81"/>
      <c r="AL152" s="281"/>
      <c r="AM152" s="81"/>
      <c r="AN152" s="281"/>
      <c r="AO152" s="81"/>
      <c r="AP152" s="281"/>
      <c r="AQ152" s="81"/>
      <c r="AR152" s="281"/>
      <c r="AS152" s="81"/>
      <c r="AT152" s="281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2">
        <f t="shared" si="12"/>
        <v>1</v>
      </c>
      <c r="H153" s="137">
        <f t="shared" si="13"/>
        <v>18.348623853211009</v>
      </c>
      <c r="I153" s="264" t="s">
        <v>616</v>
      </c>
      <c r="J153" s="285">
        <v>1</v>
      </c>
      <c r="K153" s="81"/>
      <c r="L153" s="281"/>
      <c r="M153" s="81"/>
      <c r="N153" s="281"/>
      <c r="O153" s="81"/>
      <c r="P153" s="281"/>
      <c r="Q153" s="81"/>
      <c r="R153" s="281"/>
      <c r="S153" s="83"/>
      <c r="T153" s="286"/>
      <c r="U153" s="81"/>
      <c r="V153" s="281"/>
      <c r="W153" s="81"/>
      <c r="X153" s="281"/>
      <c r="Y153" s="81"/>
      <c r="Z153" s="281"/>
      <c r="AA153" s="81"/>
      <c r="AB153" s="281"/>
      <c r="AC153" s="81"/>
      <c r="AD153" s="281"/>
      <c r="AE153" s="81"/>
      <c r="AF153" s="281"/>
      <c r="AG153" s="81"/>
      <c r="AH153" s="281"/>
      <c r="AI153" s="81"/>
      <c r="AJ153" s="281"/>
      <c r="AK153" s="81"/>
      <c r="AL153" s="281"/>
      <c r="AM153" s="81"/>
      <c r="AN153" s="281"/>
      <c r="AO153" s="81"/>
      <c r="AP153" s="281"/>
      <c r="AQ153" s="81"/>
      <c r="AR153" s="281"/>
      <c r="AS153" s="81"/>
      <c r="AT153" s="281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2">
        <f t="shared" si="12"/>
        <v>2</v>
      </c>
      <c r="H154" s="137">
        <f t="shared" si="13"/>
        <v>36.697247706422019</v>
      </c>
      <c r="I154" s="87" t="s">
        <v>617</v>
      </c>
      <c r="J154" s="283">
        <v>2</v>
      </c>
      <c r="K154" s="81"/>
      <c r="L154" s="281"/>
      <c r="M154" s="81"/>
      <c r="N154" s="281"/>
      <c r="O154" s="81"/>
      <c r="P154" s="281"/>
      <c r="Q154" s="81"/>
      <c r="R154" s="281"/>
      <c r="S154" s="105"/>
      <c r="T154" s="288"/>
      <c r="U154" s="81"/>
      <c r="V154" s="281"/>
      <c r="W154" s="81"/>
      <c r="X154" s="281"/>
      <c r="Y154" s="81"/>
      <c r="Z154" s="281"/>
      <c r="AA154" s="81"/>
      <c r="AB154" s="281"/>
      <c r="AC154" s="81"/>
      <c r="AD154" s="281"/>
      <c r="AE154" s="81"/>
      <c r="AF154" s="281"/>
      <c r="AG154" s="81"/>
      <c r="AH154" s="281"/>
      <c r="AI154" s="81"/>
      <c r="AJ154" s="281"/>
      <c r="AK154" s="81"/>
      <c r="AL154" s="281"/>
      <c r="AM154" s="81"/>
      <c r="AN154" s="281"/>
      <c r="AO154" s="81"/>
      <c r="AP154" s="281"/>
      <c r="AQ154" s="81"/>
      <c r="AR154" s="281"/>
      <c r="AS154" s="81"/>
      <c r="AT154" s="281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2">
        <f t="shared" si="12"/>
        <v>20.400000000000002</v>
      </c>
      <c r="H155" s="137">
        <f t="shared" si="13"/>
        <v>374.31192660550465</v>
      </c>
      <c r="I155" s="85" t="s">
        <v>618</v>
      </c>
      <c r="J155" s="282">
        <v>3.6</v>
      </c>
      <c r="K155" s="81" t="s">
        <v>619</v>
      </c>
      <c r="L155" s="281">
        <v>1.9</v>
      </c>
      <c r="M155" s="81"/>
      <c r="N155" s="281"/>
      <c r="O155" s="81" t="s">
        <v>620</v>
      </c>
      <c r="P155" s="281">
        <v>2.2999999999999998</v>
      </c>
      <c r="Q155" s="81" t="s">
        <v>621</v>
      </c>
      <c r="R155" s="281">
        <v>2.1</v>
      </c>
      <c r="S155" s="81" t="s">
        <v>622</v>
      </c>
      <c r="T155" s="281">
        <v>2.4</v>
      </c>
      <c r="U155" s="81" t="s">
        <v>623</v>
      </c>
      <c r="V155" s="281">
        <v>2.2999999999999998</v>
      </c>
      <c r="W155" s="81" t="s">
        <v>624</v>
      </c>
      <c r="X155" s="281">
        <v>0.8</v>
      </c>
      <c r="Y155" s="89" t="s">
        <v>625</v>
      </c>
      <c r="Z155" s="284">
        <v>5</v>
      </c>
      <c r="AA155" s="81"/>
      <c r="AB155" s="281"/>
      <c r="AC155" s="81"/>
      <c r="AD155" s="281"/>
      <c r="AE155" s="81"/>
      <c r="AF155" s="281"/>
      <c r="AG155" s="81"/>
      <c r="AH155" s="281"/>
      <c r="AI155" s="81"/>
      <c r="AJ155" s="281"/>
      <c r="AK155" s="81"/>
      <c r="AL155" s="281"/>
      <c r="AM155" s="81"/>
      <c r="AN155" s="281"/>
      <c r="AO155" s="81"/>
      <c r="AP155" s="281"/>
      <c r="AQ155" s="81"/>
      <c r="AR155" s="281"/>
      <c r="AS155" s="81"/>
      <c r="AT155" s="281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2">
        <f t="shared" si="12"/>
        <v>0</v>
      </c>
      <c r="H156" s="137">
        <f t="shared" si="13"/>
        <v>0</v>
      </c>
      <c r="I156" s="81"/>
      <c r="J156" s="281"/>
      <c r="K156" s="81"/>
      <c r="L156" s="281"/>
      <c r="M156" s="81"/>
      <c r="N156" s="281"/>
      <c r="O156" s="81"/>
      <c r="P156" s="281"/>
      <c r="Q156" s="81"/>
      <c r="R156" s="281"/>
      <c r="S156" s="81"/>
      <c r="T156" s="281"/>
      <c r="U156" s="81"/>
      <c r="V156" s="281"/>
      <c r="W156" s="81"/>
      <c r="X156" s="281"/>
      <c r="Y156" s="81"/>
      <c r="Z156" s="281"/>
      <c r="AA156" s="81"/>
      <c r="AB156" s="281"/>
      <c r="AC156" s="81"/>
      <c r="AD156" s="281"/>
      <c r="AE156" s="81"/>
      <c r="AF156" s="281"/>
      <c r="AG156" s="81"/>
      <c r="AH156" s="281"/>
      <c r="AI156" s="81"/>
      <c r="AJ156" s="281"/>
      <c r="AK156" s="81"/>
      <c r="AL156" s="281"/>
      <c r="AM156" s="81"/>
      <c r="AN156" s="281"/>
      <c r="AO156" s="81"/>
      <c r="AP156" s="281"/>
      <c r="AQ156" s="81"/>
      <c r="AR156" s="281"/>
      <c r="AS156" s="81"/>
      <c r="AT156" s="281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2">
        <f t="shared" si="12"/>
        <v>4</v>
      </c>
      <c r="H157" s="137">
        <f t="shared" si="13"/>
        <v>73.394495412844037</v>
      </c>
      <c r="I157" s="261" t="s">
        <v>626</v>
      </c>
      <c r="J157" s="285">
        <v>2</v>
      </c>
      <c r="K157" s="261" t="s">
        <v>627</v>
      </c>
      <c r="L157" s="285">
        <v>2</v>
      </c>
      <c r="M157" s="81"/>
      <c r="N157" s="281"/>
      <c r="O157" s="81"/>
      <c r="P157" s="281"/>
      <c r="Q157" s="81"/>
      <c r="R157" s="281"/>
      <c r="S157" s="81"/>
      <c r="T157" s="281"/>
      <c r="U157" s="81"/>
      <c r="V157" s="281"/>
      <c r="W157" s="81"/>
      <c r="X157" s="281"/>
      <c r="Y157" s="81"/>
      <c r="Z157" s="281"/>
      <c r="AA157" s="81"/>
      <c r="AB157" s="281"/>
      <c r="AC157" s="81"/>
      <c r="AD157" s="281"/>
      <c r="AE157" s="81"/>
      <c r="AF157" s="281"/>
      <c r="AG157" s="81"/>
      <c r="AH157" s="281"/>
      <c r="AI157" s="81"/>
      <c r="AJ157" s="281"/>
      <c r="AK157" s="81"/>
      <c r="AL157" s="281"/>
      <c r="AM157" s="81"/>
      <c r="AN157" s="281"/>
      <c r="AO157" s="81"/>
      <c r="AP157" s="281"/>
      <c r="AQ157" s="81"/>
      <c r="AR157" s="281"/>
      <c r="AS157" s="81"/>
      <c r="AT157" s="281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2">
        <f>SUM(J158,L158,N158,P158,R158,T158,V158,X158,Z158,AB158,AD158,AF158,AH158,AJ158,AL158,AN158,AP158,AR158,AT158,AV158)</f>
        <v>0</v>
      </c>
      <c r="H158" s="137">
        <f t="shared" si="13"/>
        <v>0</v>
      </c>
      <c r="I158" s="81"/>
      <c r="J158" s="281"/>
      <c r="K158" s="81"/>
      <c r="L158" s="281"/>
      <c r="M158" s="81"/>
      <c r="N158" s="281"/>
      <c r="O158" s="81"/>
      <c r="P158" s="281"/>
      <c r="Q158" s="81"/>
      <c r="R158" s="281"/>
      <c r="S158" s="81"/>
      <c r="T158" s="281"/>
      <c r="U158" s="81"/>
      <c r="V158" s="281"/>
      <c r="W158" s="81"/>
      <c r="X158" s="281"/>
      <c r="Y158" s="81"/>
      <c r="Z158" s="281"/>
      <c r="AA158" s="81"/>
      <c r="AB158" s="281"/>
      <c r="AC158" s="81"/>
      <c r="AD158" s="281"/>
      <c r="AE158" s="81"/>
      <c r="AF158" s="281"/>
      <c r="AG158" s="81"/>
      <c r="AH158" s="281"/>
      <c r="AI158" s="81"/>
      <c r="AJ158" s="281"/>
      <c r="AK158" s="81"/>
      <c r="AL158" s="281"/>
      <c r="AM158" s="81"/>
      <c r="AN158" s="281"/>
      <c r="AO158" s="81"/>
      <c r="AP158" s="281"/>
      <c r="AQ158" s="81"/>
      <c r="AR158" s="281"/>
      <c r="AS158" s="81"/>
      <c r="AT158" s="281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2">
        <f>SUM(J159,L159,N159,P159,R159,T159,V159,X159,Z159,AB159,AD159,AF159,AH159,AJ159,AL159,AN159,AP159,AR159,AT159,AV159)</f>
        <v>19.125</v>
      </c>
      <c r="H159" s="137">
        <f t="shared" si="13"/>
        <v>350.91743119266056</v>
      </c>
      <c r="I159" s="85" t="s">
        <v>628</v>
      </c>
      <c r="J159" s="282">
        <v>2.6</v>
      </c>
      <c r="K159" s="81" t="s">
        <v>629</v>
      </c>
      <c r="L159" s="281">
        <v>1.1000000000000001</v>
      </c>
      <c r="M159" s="81"/>
      <c r="N159" s="281"/>
      <c r="O159" s="81" t="s">
        <v>630</v>
      </c>
      <c r="P159" s="281">
        <v>0.125</v>
      </c>
      <c r="Q159" s="89" t="s">
        <v>631</v>
      </c>
      <c r="R159" s="284">
        <v>0.6</v>
      </c>
      <c r="S159" s="89" t="s">
        <v>632</v>
      </c>
      <c r="T159" s="284">
        <v>0.85</v>
      </c>
      <c r="U159" s="89" t="s">
        <v>633</v>
      </c>
      <c r="V159" s="284">
        <v>0.85</v>
      </c>
      <c r="W159" s="89" t="s">
        <v>634</v>
      </c>
      <c r="X159" s="284">
        <v>0.85</v>
      </c>
      <c r="Y159" s="89" t="s">
        <v>635</v>
      </c>
      <c r="Z159" s="284">
        <v>0.5</v>
      </c>
      <c r="AA159" s="89" t="s">
        <v>636</v>
      </c>
      <c r="AB159" s="284">
        <v>0.35</v>
      </c>
      <c r="AC159" s="89" t="s">
        <v>637</v>
      </c>
      <c r="AD159" s="284">
        <v>1.4</v>
      </c>
      <c r="AE159" s="89" t="s">
        <v>638</v>
      </c>
      <c r="AF159" s="284">
        <v>1.8</v>
      </c>
      <c r="AG159" s="87" t="s">
        <v>639</v>
      </c>
      <c r="AH159" s="283">
        <v>2.15</v>
      </c>
      <c r="AI159" s="87" t="s">
        <v>640</v>
      </c>
      <c r="AJ159" s="283">
        <v>1.1000000000000001</v>
      </c>
      <c r="AK159" s="81" t="s">
        <v>641</v>
      </c>
      <c r="AL159" s="281">
        <v>0.8</v>
      </c>
      <c r="AM159" s="81" t="s">
        <v>642</v>
      </c>
      <c r="AN159" s="281">
        <v>0.8</v>
      </c>
      <c r="AO159" s="81" t="s">
        <v>643</v>
      </c>
      <c r="AP159" s="281">
        <v>0.8</v>
      </c>
      <c r="AQ159" s="81" t="s">
        <v>644</v>
      </c>
      <c r="AR159" s="281">
        <v>1.5</v>
      </c>
      <c r="AS159" s="89" t="s">
        <v>645</v>
      </c>
      <c r="AT159" s="281">
        <v>0.95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2">
        <f t="shared" si="12"/>
        <v>18.625000000000004</v>
      </c>
      <c r="H160" s="137">
        <f t="shared" si="13"/>
        <v>341.74311926605509</v>
      </c>
      <c r="I160" s="85" t="s">
        <v>628</v>
      </c>
      <c r="J160" s="282">
        <v>2.5</v>
      </c>
      <c r="K160" s="81" t="s">
        <v>629</v>
      </c>
      <c r="L160" s="281">
        <v>0.7</v>
      </c>
      <c r="M160" s="81"/>
      <c r="N160" s="281"/>
      <c r="O160" s="81" t="s">
        <v>630</v>
      </c>
      <c r="P160" s="281">
        <v>0.125</v>
      </c>
      <c r="Q160" s="89" t="s">
        <v>631</v>
      </c>
      <c r="R160" s="284">
        <v>0.6</v>
      </c>
      <c r="S160" s="89" t="s">
        <v>632</v>
      </c>
      <c r="T160" s="284">
        <v>0.85</v>
      </c>
      <c r="U160" s="89" t="s">
        <v>633</v>
      </c>
      <c r="V160" s="284">
        <v>0.85</v>
      </c>
      <c r="W160" s="89" t="s">
        <v>634</v>
      </c>
      <c r="X160" s="284">
        <v>0.95</v>
      </c>
      <c r="Y160" s="89" t="s">
        <v>635</v>
      </c>
      <c r="Z160" s="284">
        <v>0.4</v>
      </c>
      <c r="AA160" s="89" t="s">
        <v>636</v>
      </c>
      <c r="AB160" s="284">
        <v>0.45</v>
      </c>
      <c r="AC160" s="89" t="s">
        <v>637</v>
      </c>
      <c r="AD160" s="284">
        <v>1.4</v>
      </c>
      <c r="AE160" s="89" t="s">
        <v>638</v>
      </c>
      <c r="AF160" s="284">
        <v>1.8</v>
      </c>
      <c r="AG160" s="87" t="s">
        <v>639</v>
      </c>
      <c r="AH160" s="283">
        <v>2.0499999999999998</v>
      </c>
      <c r="AI160" s="87" t="s">
        <v>646</v>
      </c>
      <c r="AJ160" s="283">
        <v>1.2</v>
      </c>
      <c r="AK160" s="81" t="s">
        <v>641</v>
      </c>
      <c r="AL160" s="281">
        <v>0.8</v>
      </c>
      <c r="AM160" s="81" t="s">
        <v>642</v>
      </c>
      <c r="AN160" s="281">
        <v>0.8</v>
      </c>
      <c r="AO160" s="81" t="s">
        <v>643</v>
      </c>
      <c r="AP160" s="281">
        <v>0.8</v>
      </c>
      <c r="AQ160" s="81" t="s">
        <v>644</v>
      </c>
      <c r="AR160" s="281">
        <v>1.5</v>
      </c>
      <c r="AS160" s="89" t="s">
        <v>645</v>
      </c>
      <c r="AT160" s="281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2">
        <f t="shared" si="12"/>
        <v>0</v>
      </c>
      <c r="H161" s="137">
        <f t="shared" si="13"/>
        <v>0</v>
      </c>
      <c r="I161" s="81"/>
      <c r="J161" s="281"/>
      <c r="K161" s="81"/>
      <c r="L161" s="281"/>
      <c r="M161" s="81"/>
      <c r="N161" s="281"/>
      <c r="O161" s="81"/>
      <c r="P161" s="281"/>
      <c r="Q161" s="81"/>
      <c r="R161" s="281"/>
      <c r="S161" s="89"/>
      <c r="T161" s="281"/>
      <c r="U161" s="81"/>
      <c r="V161" s="281"/>
      <c r="W161" s="81"/>
      <c r="X161" s="281"/>
      <c r="Y161" s="81"/>
      <c r="Z161" s="281"/>
      <c r="AA161" s="81"/>
      <c r="AB161" s="281"/>
      <c r="AC161" s="81"/>
      <c r="AD161" s="281"/>
      <c r="AE161" s="81"/>
      <c r="AF161" s="281"/>
      <c r="AG161" s="81"/>
      <c r="AH161" s="281"/>
      <c r="AI161" s="81"/>
      <c r="AJ161" s="281"/>
      <c r="AK161" s="81"/>
      <c r="AL161" s="281"/>
      <c r="AM161" s="81"/>
      <c r="AN161" s="281"/>
      <c r="AO161" s="81"/>
      <c r="AP161" s="281"/>
      <c r="AQ161" s="81"/>
      <c r="AR161" s="281"/>
      <c r="AS161" s="81"/>
      <c r="AT161" s="281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2">
        <f t="shared" si="12"/>
        <v>0.3</v>
      </c>
      <c r="H162" s="137">
        <f t="shared" si="13"/>
        <v>5.5045871559633026</v>
      </c>
      <c r="I162" s="83" t="s">
        <v>647</v>
      </c>
      <c r="J162" s="286">
        <v>0.3</v>
      </c>
      <c r="K162" s="81"/>
      <c r="L162" s="281"/>
      <c r="M162" s="81"/>
      <c r="N162" s="281"/>
      <c r="O162" s="81"/>
      <c r="P162" s="281"/>
      <c r="Q162" s="81"/>
      <c r="R162" s="281"/>
      <c r="S162" s="81"/>
      <c r="T162" s="281"/>
      <c r="U162" s="81"/>
      <c r="V162" s="281"/>
      <c r="W162" s="81"/>
      <c r="X162" s="281"/>
      <c r="Y162" s="81"/>
      <c r="Z162" s="281"/>
      <c r="AA162" s="81"/>
      <c r="AB162" s="281"/>
      <c r="AC162" s="81"/>
      <c r="AD162" s="281"/>
      <c r="AE162" s="81"/>
      <c r="AF162" s="281"/>
      <c r="AG162" s="81"/>
      <c r="AH162" s="281"/>
      <c r="AI162" s="81"/>
      <c r="AJ162" s="281"/>
      <c r="AK162" s="81"/>
      <c r="AL162" s="281"/>
      <c r="AM162" s="81"/>
      <c r="AN162" s="281"/>
      <c r="AO162" s="81"/>
      <c r="AP162" s="281"/>
      <c r="AQ162" s="81"/>
      <c r="AR162" s="281"/>
      <c r="AS162" s="81"/>
      <c r="AT162" s="281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2">
        <f t="shared" si="12"/>
        <v>4</v>
      </c>
      <c r="H163" s="137">
        <f t="shared" si="13"/>
        <v>73.394495412844037</v>
      </c>
      <c r="I163" s="89" t="s">
        <v>648</v>
      </c>
      <c r="J163" s="284">
        <v>4</v>
      </c>
      <c r="K163" s="81"/>
      <c r="L163" s="281"/>
      <c r="M163" s="81"/>
      <c r="N163" s="281"/>
      <c r="O163" s="81"/>
      <c r="P163" s="281"/>
      <c r="Q163" s="81"/>
      <c r="R163" s="281"/>
      <c r="S163" s="81"/>
      <c r="T163" s="281"/>
      <c r="U163" s="81"/>
      <c r="V163" s="281"/>
      <c r="W163" s="81"/>
      <c r="X163" s="281"/>
      <c r="Y163" s="81"/>
      <c r="Z163" s="281"/>
      <c r="AA163" s="81"/>
      <c r="AB163" s="281"/>
      <c r="AC163" s="81"/>
      <c r="AD163" s="281"/>
      <c r="AE163" s="81"/>
      <c r="AF163" s="281"/>
      <c r="AG163" s="81"/>
      <c r="AH163" s="281"/>
      <c r="AI163" s="81"/>
      <c r="AJ163" s="281"/>
      <c r="AK163" s="81"/>
      <c r="AL163" s="281"/>
      <c r="AM163" s="81"/>
      <c r="AN163" s="281"/>
      <c r="AO163" s="81"/>
      <c r="AP163" s="281"/>
      <c r="AQ163" s="81"/>
      <c r="AR163" s="281"/>
      <c r="AS163" s="81"/>
      <c r="AT163" s="281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2">
        <f t="shared" si="12"/>
        <v>1</v>
      </c>
      <c r="H164" s="137">
        <f t="shared" si="13"/>
        <v>18.348623853211009</v>
      </c>
      <c r="I164" s="261" t="s">
        <v>649</v>
      </c>
      <c r="J164" s="285">
        <v>1</v>
      </c>
      <c r="K164" s="81"/>
      <c r="L164" s="281"/>
      <c r="M164" s="81"/>
      <c r="N164" s="281"/>
      <c r="O164" s="81"/>
      <c r="P164" s="281"/>
      <c r="Q164" s="81"/>
      <c r="R164" s="281"/>
      <c r="S164" s="81"/>
      <c r="T164" s="281"/>
      <c r="U164" s="81"/>
      <c r="V164" s="281"/>
      <c r="W164" s="81"/>
      <c r="X164" s="281"/>
      <c r="Y164" s="81"/>
      <c r="Z164" s="281"/>
      <c r="AA164" s="81"/>
      <c r="AB164" s="281"/>
      <c r="AC164" s="81"/>
      <c r="AD164" s="281"/>
      <c r="AE164" s="81"/>
      <c r="AF164" s="281"/>
      <c r="AG164" s="81"/>
      <c r="AH164" s="281"/>
      <c r="AI164" s="81"/>
      <c r="AJ164" s="281"/>
      <c r="AK164" s="81"/>
      <c r="AL164" s="281"/>
      <c r="AM164" s="81"/>
      <c r="AN164" s="281"/>
      <c r="AO164" s="81"/>
      <c r="AP164" s="281"/>
      <c r="AQ164" s="81"/>
      <c r="AR164" s="281"/>
      <c r="AS164" s="81"/>
      <c r="AT164" s="281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2">
        <f t="shared" si="12"/>
        <v>0.5</v>
      </c>
      <c r="H165" s="137">
        <f t="shared" si="13"/>
        <v>9.1743119266055047</v>
      </c>
      <c r="I165" s="87" t="s">
        <v>650</v>
      </c>
      <c r="J165" s="283">
        <v>0.5</v>
      </c>
      <c r="K165" s="81"/>
      <c r="L165" s="281"/>
      <c r="M165" s="81"/>
      <c r="N165" s="281"/>
      <c r="O165" s="81"/>
      <c r="P165" s="281"/>
      <c r="Q165" s="81"/>
      <c r="R165" s="281"/>
      <c r="S165" s="81"/>
      <c r="T165" s="281"/>
      <c r="U165" s="81"/>
      <c r="V165" s="281"/>
      <c r="W165" s="81"/>
      <c r="X165" s="281"/>
      <c r="Y165" s="81"/>
      <c r="Z165" s="281"/>
      <c r="AA165" s="81"/>
      <c r="AB165" s="281"/>
      <c r="AC165" s="81"/>
      <c r="AD165" s="281"/>
      <c r="AE165" s="81"/>
      <c r="AF165" s="281"/>
      <c r="AG165" s="81"/>
      <c r="AH165" s="281"/>
      <c r="AI165" s="81"/>
      <c r="AJ165" s="281"/>
      <c r="AK165" s="81"/>
      <c r="AL165" s="281"/>
      <c r="AM165" s="81"/>
      <c r="AN165" s="281"/>
      <c r="AO165" s="81"/>
      <c r="AP165" s="281"/>
      <c r="AQ165" s="81"/>
      <c r="AR165" s="281"/>
      <c r="AS165" s="81"/>
      <c r="AT165" s="281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2">
        <f t="shared" si="12"/>
        <v>0</v>
      </c>
      <c r="H166" s="137">
        <f t="shared" si="13"/>
        <v>0</v>
      </c>
      <c r="I166" s="87"/>
      <c r="J166" s="283"/>
      <c r="K166" s="81"/>
      <c r="L166" s="281"/>
      <c r="M166" s="81"/>
      <c r="N166" s="281"/>
      <c r="O166" s="81"/>
      <c r="P166" s="281"/>
      <c r="Q166" s="81"/>
      <c r="R166" s="281"/>
      <c r="S166" s="81"/>
      <c r="T166" s="281"/>
      <c r="U166" s="81"/>
      <c r="V166" s="281"/>
      <c r="W166" s="81"/>
      <c r="X166" s="281"/>
      <c r="Y166" s="81"/>
      <c r="Z166" s="281"/>
      <c r="AA166" s="81"/>
      <c r="AB166" s="281"/>
      <c r="AC166" s="81"/>
      <c r="AD166" s="281"/>
      <c r="AE166" s="81"/>
      <c r="AF166" s="281"/>
      <c r="AG166" s="81"/>
      <c r="AH166" s="281"/>
      <c r="AI166" s="81"/>
      <c r="AJ166" s="281"/>
      <c r="AK166" s="81"/>
      <c r="AL166" s="281"/>
      <c r="AM166" s="81"/>
      <c r="AN166" s="281"/>
      <c r="AO166" s="81"/>
      <c r="AP166" s="281"/>
      <c r="AQ166" s="81"/>
      <c r="AR166" s="281"/>
      <c r="AS166" s="81"/>
      <c r="AT166" s="281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2">
        <f t="shared" si="12"/>
        <v>1</v>
      </c>
      <c r="H167" s="137">
        <f t="shared" si="13"/>
        <v>18.348623853211009</v>
      </c>
      <c r="I167" s="261" t="s">
        <v>651</v>
      </c>
      <c r="J167" s="285">
        <v>1</v>
      </c>
      <c r="K167" s="81"/>
      <c r="L167" s="281"/>
      <c r="M167" s="81"/>
      <c r="N167" s="281"/>
      <c r="O167" s="81"/>
      <c r="P167" s="281"/>
      <c r="Q167" s="81"/>
      <c r="R167" s="281"/>
      <c r="S167" s="81"/>
      <c r="T167" s="281"/>
      <c r="U167" s="81"/>
      <c r="V167" s="281"/>
      <c r="W167" s="81"/>
      <c r="X167" s="281"/>
      <c r="Y167" s="81"/>
      <c r="Z167" s="281"/>
      <c r="AA167" s="81"/>
      <c r="AB167" s="281"/>
      <c r="AC167" s="81"/>
      <c r="AD167" s="281"/>
      <c r="AE167" s="81"/>
      <c r="AF167" s="281"/>
      <c r="AG167" s="81"/>
      <c r="AH167" s="281"/>
      <c r="AI167" s="81"/>
      <c r="AJ167" s="281"/>
      <c r="AK167" s="81"/>
      <c r="AL167" s="281"/>
      <c r="AM167" s="81"/>
      <c r="AN167" s="281"/>
      <c r="AO167" s="81"/>
      <c r="AP167" s="281"/>
      <c r="AQ167" s="81"/>
      <c r="AR167" s="281"/>
      <c r="AS167" s="81"/>
      <c r="AT167" s="281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2">
        <f t="shared" si="12"/>
        <v>0</v>
      </c>
      <c r="H168" s="137">
        <f t="shared" si="13"/>
        <v>0</v>
      </c>
      <c r="I168" s="81"/>
      <c r="J168" s="281"/>
      <c r="K168" s="81"/>
      <c r="L168" s="281"/>
      <c r="M168" s="81"/>
      <c r="N168" s="281"/>
      <c r="O168" s="81"/>
      <c r="P168" s="281"/>
      <c r="Q168" s="81"/>
      <c r="R168" s="281"/>
      <c r="S168" s="81"/>
      <c r="T168" s="281"/>
      <c r="U168" s="81"/>
      <c r="V168" s="281"/>
      <c r="W168" s="81"/>
      <c r="X168" s="281"/>
      <c r="Y168" s="81"/>
      <c r="Z168" s="281"/>
      <c r="AA168" s="81"/>
      <c r="AB168" s="281"/>
      <c r="AC168" s="81"/>
      <c r="AD168" s="281"/>
      <c r="AE168" s="81"/>
      <c r="AF168" s="281"/>
      <c r="AG168" s="81"/>
      <c r="AH168" s="281"/>
      <c r="AI168" s="81"/>
      <c r="AJ168" s="281"/>
      <c r="AK168" s="81"/>
      <c r="AL168" s="281"/>
      <c r="AM168" s="81"/>
      <c r="AN168" s="281"/>
      <c r="AO168" s="81"/>
      <c r="AP168" s="281"/>
      <c r="AQ168" s="81"/>
      <c r="AR168" s="281"/>
      <c r="AS168" s="81"/>
      <c r="AT168" s="281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2">
        <f t="shared" si="12"/>
        <v>2.4</v>
      </c>
      <c r="H169" s="137">
        <f t="shared" si="13"/>
        <v>44.036697247706421</v>
      </c>
      <c r="I169" s="81" t="s">
        <v>652</v>
      </c>
      <c r="J169" s="281">
        <v>2.4</v>
      </c>
      <c r="K169" s="81"/>
      <c r="L169" s="281"/>
      <c r="M169" s="81"/>
      <c r="N169" s="281"/>
      <c r="O169" s="81"/>
      <c r="P169" s="281"/>
      <c r="Q169" s="81"/>
      <c r="R169" s="281"/>
      <c r="S169" s="81"/>
      <c r="T169" s="281"/>
      <c r="U169" s="81"/>
      <c r="V169" s="281"/>
      <c r="W169" s="81"/>
      <c r="X169" s="281"/>
      <c r="Y169" s="81"/>
      <c r="Z169" s="281"/>
      <c r="AA169" s="81"/>
      <c r="AB169" s="281"/>
      <c r="AC169" s="81"/>
      <c r="AD169" s="281"/>
      <c r="AE169" s="81"/>
      <c r="AF169" s="281"/>
      <c r="AG169" s="81"/>
      <c r="AH169" s="281"/>
      <c r="AI169" s="81"/>
      <c r="AJ169" s="281"/>
      <c r="AK169" s="81"/>
      <c r="AL169" s="281"/>
      <c r="AM169" s="81"/>
      <c r="AN169" s="281"/>
      <c r="AO169" s="81"/>
      <c r="AP169" s="281"/>
      <c r="AQ169" s="81"/>
      <c r="AR169" s="281"/>
      <c r="AS169" s="81"/>
      <c r="AT169" s="281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2">
        <f t="shared" si="12"/>
        <v>1</v>
      </c>
      <c r="H170" s="137">
        <f t="shared" si="13"/>
        <v>18.348623853211009</v>
      </c>
      <c r="I170" s="106" t="s">
        <v>653</v>
      </c>
      <c r="J170" s="282">
        <v>1</v>
      </c>
      <c r="K170" s="81"/>
      <c r="L170" s="281"/>
      <c r="M170" s="81"/>
      <c r="N170" s="281"/>
      <c r="O170" s="81"/>
      <c r="P170" s="281"/>
      <c r="Q170" s="81"/>
      <c r="R170" s="281"/>
      <c r="S170" s="81"/>
      <c r="T170" s="281"/>
      <c r="U170" s="81"/>
      <c r="V170" s="281"/>
      <c r="W170" s="81"/>
      <c r="X170" s="281"/>
      <c r="Y170" s="81"/>
      <c r="Z170" s="281"/>
      <c r="AA170" s="81"/>
      <c r="AB170" s="281"/>
      <c r="AC170" s="81"/>
      <c r="AD170" s="281"/>
      <c r="AE170" s="81"/>
      <c r="AF170" s="281"/>
      <c r="AG170" s="81"/>
      <c r="AH170" s="281"/>
      <c r="AI170" s="81"/>
      <c r="AJ170" s="281"/>
      <c r="AK170" s="81"/>
      <c r="AL170" s="281"/>
      <c r="AM170" s="81"/>
      <c r="AN170" s="281"/>
      <c r="AO170" s="81"/>
      <c r="AP170" s="281"/>
      <c r="AQ170" s="81"/>
      <c r="AR170" s="281"/>
      <c r="AS170" s="81"/>
      <c r="AT170" s="281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2">
        <f t="shared" si="12"/>
        <v>1.7</v>
      </c>
      <c r="H171" s="137">
        <f t="shared" si="13"/>
        <v>31.192660550458715</v>
      </c>
      <c r="I171" s="81" t="s">
        <v>654</v>
      </c>
      <c r="J171" s="281">
        <v>1.7</v>
      </c>
      <c r="K171" s="81"/>
      <c r="L171" s="281"/>
      <c r="M171" s="81"/>
      <c r="N171" s="281"/>
      <c r="O171" s="81"/>
      <c r="P171" s="281"/>
      <c r="Q171" s="81"/>
      <c r="R171" s="281"/>
      <c r="S171" s="81"/>
      <c r="T171" s="281"/>
      <c r="U171" s="81"/>
      <c r="V171" s="281"/>
      <c r="W171" s="81"/>
      <c r="X171" s="281"/>
      <c r="Y171" s="81"/>
      <c r="Z171" s="281"/>
      <c r="AA171" s="81"/>
      <c r="AB171" s="281"/>
      <c r="AC171" s="81"/>
      <c r="AD171" s="281"/>
      <c r="AE171" s="81"/>
      <c r="AF171" s="281"/>
      <c r="AG171" s="81"/>
      <c r="AH171" s="281"/>
      <c r="AI171" s="81"/>
      <c r="AJ171" s="281"/>
      <c r="AK171" s="81"/>
      <c r="AL171" s="281"/>
      <c r="AM171" s="81"/>
      <c r="AN171" s="281"/>
      <c r="AO171" s="81"/>
      <c r="AP171" s="281"/>
      <c r="AQ171" s="81"/>
      <c r="AR171" s="281"/>
      <c r="AS171" s="81"/>
      <c r="AT171" s="281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2">
        <f t="shared" si="12"/>
        <v>10.1</v>
      </c>
      <c r="H172" s="137">
        <f t="shared" si="13"/>
        <v>185.32110091743118</v>
      </c>
      <c r="I172" s="81" t="s">
        <v>655</v>
      </c>
      <c r="J172" s="281">
        <v>0.85</v>
      </c>
      <c r="K172" s="81" t="s">
        <v>656</v>
      </c>
      <c r="L172" s="281">
        <v>5.15</v>
      </c>
      <c r="M172" s="261" t="s">
        <v>657</v>
      </c>
      <c r="N172" s="293">
        <v>0.85</v>
      </c>
      <c r="O172" s="83" t="s">
        <v>658</v>
      </c>
      <c r="P172" s="286">
        <v>2.75</v>
      </c>
      <c r="Q172" s="106" t="s">
        <v>659</v>
      </c>
      <c r="R172" s="292">
        <v>0.5</v>
      </c>
      <c r="S172" s="81"/>
      <c r="T172" s="281"/>
      <c r="U172" s="81"/>
      <c r="V172" s="281"/>
      <c r="W172" s="81"/>
      <c r="X172" s="281"/>
      <c r="Y172" s="81"/>
      <c r="Z172" s="281"/>
      <c r="AA172" s="81"/>
      <c r="AB172" s="281"/>
      <c r="AC172" s="81"/>
      <c r="AD172" s="281"/>
      <c r="AE172" s="81"/>
      <c r="AF172" s="281"/>
      <c r="AG172" s="81"/>
      <c r="AH172" s="281"/>
      <c r="AI172" s="81"/>
      <c r="AJ172" s="281"/>
      <c r="AK172" s="81"/>
      <c r="AL172" s="281"/>
      <c r="AM172" s="81"/>
      <c r="AN172" s="281"/>
      <c r="AO172" s="81"/>
      <c r="AP172" s="281"/>
      <c r="AQ172" s="81"/>
      <c r="AR172" s="281"/>
      <c r="AS172" s="81"/>
      <c r="AT172" s="281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2">
        <f t="shared" ref="G173" si="14">SUM(J173,L173,N173,P173,R173,T173,V173,X173,Z173,AB173,AD173,AF173,AH173,AJ173,AL173,AN173,AP173,AR173,AT173,AV173)</f>
        <v>10.1</v>
      </c>
      <c r="H173" s="137">
        <f t="shared" ref="H173" si="15">SUM(G173*1000)/54.5</f>
        <v>185.32110091743118</v>
      </c>
      <c r="I173" s="81" t="s">
        <v>655</v>
      </c>
      <c r="J173" s="281">
        <v>0.85</v>
      </c>
      <c r="K173" s="81" t="s">
        <v>656</v>
      </c>
      <c r="L173" s="281">
        <v>5.15</v>
      </c>
      <c r="M173" s="261" t="s">
        <v>657</v>
      </c>
      <c r="N173" s="293">
        <v>0.85</v>
      </c>
      <c r="O173" s="83" t="s">
        <v>658</v>
      </c>
      <c r="P173" s="286">
        <v>2.75</v>
      </c>
      <c r="Q173" s="106" t="s">
        <v>659</v>
      </c>
      <c r="R173" s="292">
        <v>0.5</v>
      </c>
      <c r="S173" s="81"/>
      <c r="T173" s="281"/>
      <c r="U173" s="81"/>
      <c r="V173" s="281"/>
      <c r="W173" s="81"/>
      <c r="X173" s="281"/>
      <c r="Y173" s="81"/>
      <c r="Z173" s="281"/>
      <c r="AA173" s="81"/>
      <c r="AB173" s="281"/>
      <c r="AC173" s="81"/>
      <c r="AD173" s="281"/>
      <c r="AE173" s="81"/>
      <c r="AF173" s="281"/>
      <c r="AG173" s="81"/>
      <c r="AH173" s="281"/>
      <c r="AI173" s="81"/>
      <c r="AJ173" s="281"/>
      <c r="AK173" s="81"/>
      <c r="AL173" s="281"/>
      <c r="AM173" s="81"/>
      <c r="AN173" s="281"/>
      <c r="AO173" s="81"/>
      <c r="AP173" s="281"/>
      <c r="AQ173" s="81"/>
      <c r="AR173" s="281"/>
      <c r="AS173" s="81"/>
      <c r="AT173" s="281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2">
        <f t="shared" si="12"/>
        <v>0</v>
      </c>
      <c r="H174" s="137">
        <f t="shared" si="13"/>
        <v>0</v>
      </c>
      <c r="I174" s="81"/>
      <c r="J174" s="281"/>
      <c r="K174" s="81"/>
      <c r="L174" s="281"/>
      <c r="M174" s="81"/>
      <c r="N174" s="281"/>
      <c r="O174" s="81"/>
      <c r="P174" s="281"/>
      <c r="Q174" s="81"/>
      <c r="R174" s="281"/>
      <c r="S174" s="81"/>
      <c r="T174" s="281"/>
      <c r="U174" s="81"/>
      <c r="V174" s="281"/>
      <c r="W174" s="81"/>
      <c r="X174" s="281"/>
      <c r="Y174" s="81"/>
      <c r="Z174" s="281"/>
      <c r="AA174" s="81"/>
      <c r="AB174" s="281"/>
      <c r="AC174" s="81"/>
      <c r="AD174" s="281"/>
      <c r="AE174" s="81"/>
      <c r="AF174" s="281"/>
      <c r="AG174" s="81"/>
      <c r="AH174" s="281"/>
      <c r="AI174" s="81"/>
      <c r="AJ174" s="281"/>
      <c r="AK174" s="81"/>
      <c r="AL174" s="281"/>
      <c r="AM174" s="81"/>
      <c r="AN174" s="281"/>
      <c r="AO174" s="81"/>
      <c r="AP174" s="281"/>
      <c r="AQ174" s="81"/>
      <c r="AR174" s="281"/>
      <c r="AS174" s="81"/>
      <c r="AT174" s="281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2">
        <f t="shared" si="12"/>
        <v>0</v>
      </c>
      <c r="H175" s="137">
        <f t="shared" si="13"/>
        <v>0</v>
      </c>
      <c r="I175" s="81"/>
      <c r="J175" s="281"/>
      <c r="K175" s="81"/>
      <c r="L175" s="281"/>
      <c r="M175" s="81"/>
      <c r="N175" s="281"/>
      <c r="O175" s="81"/>
      <c r="P175" s="281"/>
      <c r="Q175" s="81"/>
      <c r="R175" s="281"/>
      <c r="S175" s="81"/>
      <c r="T175" s="281"/>
      <c r="U175" s="81"/>
      <c r="V175" s="281"/>
      <c r="W175" s="81"/>
      <c r="X175" s="281"/>
      <c r="Y175" s="81"/>
      <c r="Z175" s="281"/>
      <c r="AA175" s="81"/>
      <c r="AB175" s="281"/>
      <c r="AC175" s="81"/>
      <c r="AD175" s="281"/>
      <c r="AE175" s="81"/>
      <c r="AF175" s="281"/>
      <c r="AG175" s="81"/>
      <c r="AH175" s="281"/>
      <c r="AI175" s="81"/>
      <c r="AJ175" s="281"/>
      <c r="AK175" s="81"/>
      <c r="AL175" s="281"/>
      <c r="AM175" s="81"/>
      <c r="AN175" s="281"/>
      <c r="AO175" s="81"/>
      <c r="AP175" s="281"/>
      <c r="AQ175" s="81"/>
      <c r="AR175" s="281"/>
      <c r="AS175" s="81"/>
      <c r="AT175" s="281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2">
        <f t="shared" si="12"/>
        <v>2</v>
      </c>
      <c r="H176" s="137">
        <f t="shared" si="13"/>
        <v>36.697247706422019</v>
      </c>
      <c r="I176" s="81" t="s">
        <v>660</v>
      </c>
      <c r="J176" s="281">
        <v>2</v>
      </c>
      <c r="K176" s="81"/>
      <c r="L176" s="281"/>
      <c r="M176" s="81"/>
      <c r="N176" s="281"/>
      <c r="O176" s="81"/>
      <c r="P176" s="281"/>
      <c r="Q176" s="81"/>
      <c r="R176" s="281"/>
      <c r="S176" s="81"/>
      <c r="T176" s="281"/>
      <c r="U176" s="81"/>
      <c r="V176" s="281"/>
      <c r="W176" s="81"/>
      <c r="X176" s="281"/>
      <c r="Y176" s="81"/>
      <c r="Z176" s="281"/>
      <c r="AA176" s="81"/>
      <c r="AB176" s="281"/>
      <c r="AC176" s="81"/>
      <c r="AD176" s="281"/>
      <c r="AE176" s="81"/>
      <c r="AF176" s="281"/>
      <c r="AG176" s="81"/>
      <c r="AH176" s="281"/>
      <c r="AI176" s="81"/>
      <c r="AJ176" s="281"/>
      <c r="AK176" s="81"/>
      <c r="AL176" s="281"/>
      <c r="AM176" s="81"/>
      <c r="AN176" s="281"/>
      <c r="AO176" s="81"/>
      <c r="AP176" s="281"/>
      <c r="AQ176" s="81"/>
      <c r="AR176" s="281"/>
      <c r="AS176" s="81"/>
      <c r="AT176" s="281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2">
        <f t="shared" si="12"/>
        <v>0</v>
      </c>
      <c r="H177" s="137">
        <f t="shared" si="13"/>
        <v>0</v>
      </c>
      <c r="I177" s="81"/>
      <c r="J177" s="281"/>
      <c r="K177" s="81"/>
      <c r="L177" s="281"/>
      <c r="M177" s="81"/>
      <c r="N177" s="281"/>
      <c r="O177" s="81"/>
      <c r="P177" s="281"/>
      <c r="Q177" s="81"/>
      <c r="R177" s="281"/>
      <c r="S177" s="81"/>
      <c r="T177" s="281"/>
      <c r="U177" s="81"/>
      <c r="V177" s="281"/>
      <c r="W177" s="81"/>
      <c r="X177" s="281"/>
      <c r="Y177" s="81"/>
      <c r="Z177" s="281"/>
      <c r="AA177" s="81"/>
      <c r="AB177" s="281"/>
      <c r="AC177" s="81"/>
      <c r="AD177" s="281"/>
      <c r="AE177" s="81"/>
      <c r="AF177" s="281"/>
      <c r="AG177" s="81"/>
      <c r="AH177" s="281"/>
      <c r="AI177" s="81"/>
      <c r="AJ177" s="281"/>
      <c r="AK177" s="81"/>
      <c r="AL177" s="281"/>
      <c r="AM177" s="81"/>
      <c r="AN177" s="281"/>
      <c r="AO177" s="81"/>
      <c r="AP177" s="281"/>
      <c r="AQ177" s="81"/>
      <c r="AR177" s="281"/>
      <c r="AS177" s="81"/>
      <c r="AT177" s="281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444</v>
      </c>
      <c r="F178" s="4"/>
      <c r="G178" s="252">
        <f t="shared" si="12"/>
        <v>6.8</v>
      </c>
      <c r="H178" s="137">
        <f t="shared" si="13"/>
        <v>124.77064220183486</v>
      </c>
      <c r="I178" s="81" t="s">
        <v>661</v>
      </c>
      <c r="J178" s="281">
        <v>0.8</v>
      </c>
      <c r="K178" s="81" t="s">
        <v>535</v>
      </c>
      <c r="L178" s="281">
        <v>6</v>
      </c>
      <c r="M178" s="81"/>
      <c r="N178" s="281"/>
      <c r="O178" s="81"/>
      <c r="P178" s="281"/>
      <c r="Q178" s="81"/>
      <c r="R178" s="281"/>
      <c r="S178" s="81"/>
      <c r="T178" s="281"/>
      <c r="U178" s="81"/>
      <c r="V178" s="281"/>
      <c r="W178" s="81"/>
      <c r="X178" s="281"/>
      <c r="Y178" s="81"/>
      <c r="Z178" s="281"/>
      <c r="AA178" s="81"/>
      <c r="AB178" s="281"/>
      <c r="AC178" s="81"/>
      <c r="AD178" s="281"/>
      <c r="AE178" s="81"/>
      <c r="AF178" s="281"/>
      <c r="AG178" s="81"/>
      <c r="AH178" s="281"/>
      <c r="AI178" s="81"/>
      <c r="AJ178" s="281"/>
      <c r="AK178" s="81"/>
      <c r="AL178" s="281"/>
      <c r="AM178" s="81"/>
      <c r="AN178" s="281"/>
      <c r="AO178" s="81"/>
      <c r="AP178" s="281"/>
      <c r="AQ178" s="81"/>
      <c r="AR178" s="281"/>
      <c r="AS178" s="81"/>
      <c r="AT178" s="281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2">
        <f t="shared" si="12"/>
        <v>7.6000000000000005</v>
      </c>
      <c r="H179" s="137">
        <f t="shared" si="13"/>
        <v>139.44954128440369</v>
      </c>
      <c r="I179" s="81" t="s">
        <v>661</v>
      </c>
      <c r="J179" s="281">
        <v>1.7</v>
      </c>
      <c r="K179" s="81" t="s">
        <v>535</v>
      </c>
      <c r="L179" s="281">
        <v>5.9</v>
      </c>
      <c r="M179" s="81"/>
      <c r="N179" s="281"/>
      <c r="O179" s="81"/>
      <c r="P179" s="281"/>
      <c r="Q179" s="81"/>
      <c r="R179" s="281"/>
      <c r="S179" s="81"/>
      <c r="T179" s="281"/>
      <c r="U179" s="81"/>
      <c r="V179" s="281"/>
      <c r="W179" s="81"/>
      <c r="X179" s="281"/>
      <c r="Y179" s="81"/>
      <c r="Z179" s="281"/>
      <c r="AA179" s="81"/>
      <c r="AB179" s="281"/>
      <c r="AC179" s="81"/>
      <c r="AD179" s="281"/>
      <c r="AE179" s="81"/>
      <c r="AF179" s="281"/>
      <c r="AG179" s="81"/>
      <c r="AH179" s="281"/>
      <c r="AI179" s="81"/>
      <c r="AJ179" s="281"/>
      <c r="AK179" s="81"/>
      <c r="AL179" s="281"/>
      <c r="AM179" s="81"/>
      <c r="AN179" s="281"/>
      <c r="AO179" s="81"/>
      <c r="AP179" s="281"/>
      <c r="AQ179" s="81"/>
      <c r="AR179" s="281"/>
      <c r="AS179" s="81"/>
      <c r="AT179" s="281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2">
        <f t="shared" si="12"/>
        <v>2</v>
      </c>
      <c r="H180" s="137">
        <f t="shared" si="13"/>
        <v>36.697247706422019</v>
      </c>
      <c r="I180" s="81" t="s">
        <v>662</v>
      </c>
      <c r="J180" s="281">
        <v>2</v>
      </c>
      <c r="K180" s="81"/>
      <c r="L180" s="281"/>
      <c r="M180" s="81"/>
      <c r="N180" s="281"/>
      <c r="O180" s="81"/>
      <c r="P180" s="281"/>
      <c r="Q180" s="81"/>
      <c r="R180" s="281"/>
      <c r="S180" s="81"/>
      <c r="T180" s="281"/>
      <c r="U180" s="81"/>
      <c r="V180" s="281"/>
      <c r="W180" s="81"/>
      <c r="X180" s="281"/>
      <c r="Y180" s="81"/>
      <c r="Z180" s="281"/>
      <c r="AA180" s="81"/>
      <c r="AB180" s="281"/>
      <c r="AC180" s="81"/>
      <c r="AD180" s="281"/>
      <c r="AE180" s="81"/>
      <c r="AF180" s="281"/>
      <c r="AG180" s="81"/>
      <c r="AH180" s="281"/>
      <c r="AI180" s="81"/>
      <c r="AJ180" s="281"/>
      <c r="AK180" s="81"/>
      <c r="AL180" s="281"/>
      <c r="AM180" s="81"/>
      <c r="AN180" s="281"/>
      <c r="AO180" s="81"/>
      <c r="AP180" s="281"/>
      <c r="AQ180" s="81"/>
      <c r="AR180" s="281"/>
      <c r="AS180" s="81"/>
      <c r="AT180" s="281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2">
        <f t="shared" si="12"/>
        <v>2</v>
      </c>
      <c r="H181" s="137">
        <f t="shared" si="13"/>
        <v>36.697247706422019</v>
      </c>
      <c r="I181" s="87" t="s">
        <v>663</v>
      </c>
      <c r="J181" s="283">
        <v>2</v>
      </c>
      <c r="K181" s="81"/>
      <c r="L181" s="281"/>
      <c r="M181" s="81"/>
      <c r="N181" s="281"/>
      <c r="O181" s="81"/>
      <c r="P181" s="281"/>
      <c r="Q181" s="81"/>
      <c r="R181" s="281"/>
      <c r="S181" s="81"/>
      <c r="T181" s="281"/>
      <c r="U181" s="81"/>
      <c r="V181" s="281"/>
      <c r="W181" s="81"/>
      <c r="X181" s="281"/>
      <c r="Y181" s="81"/>
      <c r="Z181" s="281"/>
      <c r="AA181" s="81"/>
      <c r="AB181" s="281"/>
      <c r="AC181" s="81"/>
      <c r="AD181" s="281"/>
      <c r="AE181" s="81"/>
      <c r="AF181" s="281"/>
      <c r="AG181" s="81"/>
      <c r="AH181" s="281"/>
      <c r="AI181" s="81"/>
      <c r="AJ181" s="281"/>
      <c r="AK181" s="81"/>
      <c r="AL181" s="281"/>
      <c r="AM181" s="81"/>
      <c r="AN181" s="281"/>
      <c r="AO181" s="81"/>
      <c r="AP181" s="281"/>
      <c r="AQ181" s="81"/>
      <c r="AR181" s="281"/>
      <c r="AS181" s="81"/>
      <c r="AT181" s="281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2">
        <f t="shared" si="12"/>
        <v>0</v>
      </c>
      <c r="H182" s="137">
        <f t="shared" si="13"/>
        <v>0</v>
      </c>
      <c r="I182" s="81"/>
      <c r="J182" s="281"/>
      <c r="K182" s="81"/>
      <c r="L182" s="281"/>
      <c r="M182" s="81"/>
      <c r="N182" s="281"/>
      <c r="O182" s="81"/>
      <c r="P182" s="281"/>
      <c r="Q182" s="81"/>
      <c r="R182" s="281"/>
      <c r="S182" s="81"/>
      <c r="T182" s="281"/>
      <c r="U182" s="81"/>
      <c r="V182" s="281"/>
      <c r="W182" s="81"/>
      <c r="X182" s="281"/>
      <c r="Y182" s="81"/>
      <c r="Z182" s="281"/>
      <c r="AA182" s="81"/>
      <c r="AB182" s="281"/>
      <c r="AC182" s="81"/>
      <c r="AD182" s="281"/>
      <c r="AE182" s="81"/>
      <c r="AF182" s="281"/>
      <c r="AG182" s="81"/>
      <c r="AH182" s="281"/>
      <c r="AI182" s="81"/>
      <c r="AJ182" s="281"/>
      <c r="AK182" s="81"/>
      <c r="AL182" s="281"/>
      <c r="AM182" s="81"/>
      <c r="AN182" s="281"/>
      <c r="AO182" s="81"/>
      <c r="AP182" s="281"/>
      <c r="AQ182" s="81"/>
      <c r="AR182" s="281"/>
      <c r="AS182" s="81"/>
      <c r="AT182" s="281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2">
        <f t="shared" si="12"/>
        <v>0</v>
      </c>
      <c r="H183" s="137">
        <f t="shared" si="13"/>
        <v>0</v>
      </c>
      <c r="I183" s="81"/>
      <c r="J183" s="281"/>
      <c r="K183" s="81"/>
      <c r="L183" s="281"/>
      <c r="M183" s="81"/>
      <c r="N183" s="281"/>
      <c r="O183" s="81"/>
      <c r="P183" s="281"/>
      <c r="Q183" s="81"/>
      <c r="R183" s="281"/>
      <c r="S183" s="81"/>
      <c r="T183" s="281"/>
      <c r="U183" s="81"/>
      <c r="V183" s="281"/>
      <c r="W183" s="81"/>
      <c r="X183" s="281"/>
      <c r="Y183" s="81"/>
      <c r="Z183" s="281"/>
      <c r="AA183" s="81"/>
      <c r="AB183" s="281"/>
      <c r="AC183" s="81"/>
      <c r="AD183" s="281"/>
      <c r="AE183" s="81"/>
      <c r="AF183" s="281"/>
      <c r="AG183" s="81"/>
      <c r="AH183" s="281"/>
      <c r="AI183" s="81"/>
      <c r="AJ183" s="281"/>
      <c r="AK183" s="81"/>
      <c r="AL183" s="281"/>
      <c r="AM183" s="81"/>
      <c r="AN183" s="281"/>
      <c r="AO183" s="81"/>
      <c r="AP183" s="281"/>
      <c r="AQ183" s="81"/>
      <c r="AR183" s="281"/>
      <c r="AS183" s="81"/>
      <c r="AT183" s="281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444</v>
      </c>
      <c r="F184" s="4"/>
      <c r="G184" s="252">
        <f t="shared" si="12"/>
        <v>11.000000000000002</v>
      </c>
      <c r="H184" s="137">
        <f t="shared" si="13"/>
        <v>201.83486238532114</v>
      </c>
      <c r="I184" s="81" t="s">
        <v>664</v>
      </c>
      <c r="J184" s="281">
        <v>2.2000000000000002</v>
      </c>
      <c r="K184" s="81" t="s">
        <v>665</v>
      </c>
      <c r="L184" s="281">
        <v>5.9</v>
      </c>
      <c r="M184" s="85" t="s">
        <v>666</v>
      </c>
      <c r="N184" s="282">
        <v>0.9</v>
      </c>
      <c r="O184" s="87" t="s">
        <v>667</v>
      </c>
      <c r="P184" s="283">
        <v>1</v>
      </c>
      <c r="Q184" s="85" t="s">
        <v>668</v>
      </c>
      <c r="R184" s="282">
        <v>1</v>
      </c>
      <c r="S184" s="81"/>
      <c r="T184" s="281"/>
      <c r="U184" s="81"/>
      <c r="V184" s="281"/>
      <c r="W184" s="81"/>
      <c r="X184" s="281"/>
      <c r="Y184" s="81"/>
      <c r="Z184" s="281"/>
      <c r="AA184" s="81"/>
      <c r="AB184" s="281"/>
      <c r="AC184" s="81"/>
      <c r="AD184" s="281"/>
      <c r="AE184" s="81"/>
      <c r="AF184" s="281"/>
      <c r="AG184" s="81"/>
      <c r="AH184" s="281"/>
      <c r="AI184" s="81"/>
      <c r="AJ184" s="281"/>
      <c r="AK184" s="81"/>
      <c r="AL184" s="281"/>
      <c r="AM184" s="81"/>
      <c r="AN184" s="281"/>
      <c r="AO184" s="81"/>
      <c r="AP184" s="281"/>
      <c r="AQ184" s="81"/>
      <c r="AR184" s="281"/>
      <c r="AS184" s="81"/>
      <c r="AT184" s="281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2">
        <f t="shared" si="12"/>
        <v>12.5</v>
      </c>
      <c r="H185" s="137">
        <f t="shared" si="13"/>
        <v>229.35779816513761</v>
      </c>
      <c r="I185" s="81" t="s">
        <v>664</v>
      </c>
      <c r="J185" s="281">
        <v>2.5</v>
      </c>
      <c r="K185" s="81" t="s">
        <v>665</v>
      </c>
      <c r="L185" s="281">
        <v>6</v>
      </c>
      <c r="M185" s="85" t="s">
        <v>666</v>
      </c>
      <c r="N185" s="282">
        <v>2</v>
      </c>
      <c r="O185" s="87" t="s">
        <v>667</v>
      </c>
      <c r="P185" s="283">
        <v>1</v>
      </c>
      <c r="Q185" s="85" t="s">
        <v>668</v>
      </c>
      <c r="R185" s="282">
        <v>1</v>
      </c>
      <c r="S185" s="81"/>
      <c r="T185" s="281"/>
      <c r="U185" s="81"/>
      <c r="V185" s="281"/>
      <c r="W185" s="81"/>
      <c r="X185" s="281"/>
      <c r="Y185" s="81"/>
      <c r="Z185" s="281"/>
      <c r="AA185" s="81"/>
      <c r="AB185" s="281"/>
      <c r="AC185" s="81"/>
      <c r="AD185" s="281"/>
      <c r="AE185" s="81"/>
      <c r="AF185" s="281"/>
      <c r="AG185" s="81"/>
      <c r="AH185" s="281"/>
      <c r="AI185" s="81"/>
      <c r="AJ185" s="281"/>
      <c r="AK185" s="81"/>
      <c r="AL185" s="281"/>
      <c r="AM185" s="81"/>
      <c r="AN185" s="281"/>
      <c r="AO185" s="81"/>
      <c r="AP185" s="281"/>
      <c r="AQ185" s="81"/>
      <c r="AR185" s="281"/>
      <c r="AS185" s="81"/>
      <c r="AT185" s="281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2">
        <f t="shared" si="12"/>
        <v>0</v>
      </c>
      <c r="H186" s="137">
        <f t="shared" si="13"/>
        <v>0</v>
      </c>
      <c r="I186" s="81"/>
      <c r="J186" s="281"/>
      <c r="K186" s="81"/>
      <c r="L186" s="281"/>
      <c r="M186" s="81"/>
      <c r="N186" s="281"/>
      <c r="O186" s="81"/>
      <c r="P186" s="281"/>
      <c r="Q186" s="81"/>
      <c r="R186" s="281"/>
      <c r="S186" s="81"/>
      <c r="T186" s="281"/>
      <c r="U186" s="81"/>
      <c r="V186" s="281"/>
      <c r="W186" s="81"/>
      <c r="X186" s="281"/>
      <c r="Y186" s="81"/>
      <c r="Z186" s="281"/>
      <c r="AA186" s="81"/>
      <c r="AB186" s="281"/>
      <c r="AC186" s="81"/>
      <c r="AD186" s="281"/>
      <c r="AE186" s="81"/>
      <c r="AF186" s="281"/>
      <c r="AG186" s="81"/>
      <c r="AH186" s="281"/>
      <c r="AI186" s="81"/>
      <c r="AJ186" s="281"/>
      <c r="AK186" s="81"/>
      <c r="AL186" s="281"/>
      <c r="AM186" s="81"/>
      <c r="AN186" s="281"/>
      <c r="AO186" s="81"/>
      <c r="AP186" s="281"/>
      <c r="AQ186" s="81"/>
      <c r="AR186" s="281"/>
      <c r="AS186" s="81"/>
      <c r="AT186" s="281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444</v>
      </c>
      <c r="F187" s="4"/>
      <c r="G187" s="252">
        <f t="shared" si="12"/>
        <v>8.85</v>
      </c>
      <c r="H187" s="137">
        <f t="shared" si="13"/>
        <v>162.38532110091742</v>
      </c>
      <c r="I187" s="81" t="s">
        <v>669</v>
      </c>
      <c r="J187" s="281">
        <v>1.25</v>
      </c>
      <c r="K187" s="81" t="s">
        <v>535</v>
      </c>
      <c r="L187" s="281">
        <v>5.7</v>
      </c>
      <c r="M187" s="85" t="s">
        <v>670</v>
      </c>
      <c r="N187" s="282">
        <v>1</v>
      </c>
      <c r="O187" s="85"/>
      <c r="P187" s="282"/>
      <c r="Q187" s="87" t="s">
        <v>671</v>
      </c>
      <c r="R187" s="283">
        <v>0.9</v>
      </c>
      <c r="S187" s="85"/>
      <c r="T187" s="282"/>
      <c r="U187" s="85"/>
      <c r="V187" s="282"/>
      <c r="W187" s="85"/>
      <c r="X187" s="282"/>
      <c r="Y187" s="81"/>
      <c r="Z187" s="281"/>
      <c r="AA187" s="81"/>
      <c r="AB187" s="281"/>
      <c r="AC187" s="81"/>
      <c r="AD187" s="281"/>
      <c r="AE187" s="81"/>
      <c r="AF187" s="281"/>
      <c r="AG187" s="81"/>
      <c r="AH187" s="281"/>
      <c r="AI187" s="81"/>
      <c r="AJ187" s="281"/>
      <c r="AK187" s="81"/>
      <c r="AL187" s="281"/>
      <c r="AM187" s="81"/>
      <c r="AN187" s="281"/>
      <c r="AO187" s="81"/>
      <c r="AP187" s="281"/>
      <c r="AQ187" s="81"/>
      <c r="AR187" s="281"/>
      <c r="AS187" s="81"/>
      <c r="AT187" s="281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2">
        <f t="shared" si="12"/>
        <v>10.450000000000001</v>
      </c>
      <c r="H188" s="137">
        <f t="shared" si="13"/>
        <v>191.74311926605509</v>
      </c>
      <c r="I188" s="81" t="s">
        <v>669</v>
      </c>
      <c r="J188" s="283">
        <v>1.25</v>
      </c>
      <c r="K188" s="81" t="s">
        <v>535</v>
      </c>
      <c r="L188" s="281">
        <v>6</v>
      </c>
      <c r="M188" s="85" t="s">
        <v>670</v>
      </c>
      <c r="N188" s="282">
        <v>1</v>
      </c>
      <c r="O188" s="85" t="s">
        <v>672</v>
      </c>
      <c r="P188" s="282">
        <v>1.3</v>
      </c>
      <c r="Q188" s="87" t="s">
        <v>671</v>
      </c>
      <c r="R188" s="283">
        <v>0.9</v>
      </c>
      <c r="S188" s="85"/>
      <c r="T188" s="282"/>
      <c r="U188" s="85"/>
      <c r="V188" s="282"/>
      <c r="W188" s="85"/>
      <c r="X188" s="282"/>
      <c r="Y188" s="81"/>
      <c r="Z188" s="281"/>
      <c r="AA188" s="81"/>
      <c r="AB188" s="281"/>
      <c r="AC188" s="81"/>
      <c r="AD188" s="281"/>
      <c r="AE188" s="81"/>
      <c r="AF188" s="281"/>
      <c r="AG188" s="81"/>
      <c r="AH188" s="281"/>
      <c r="AI188" s="81"/>
      <c r="AJ188" s="281"/>
      <c r="AK188" s="81"/>
      <c r="AL188" s="281"/>
      <c r="AM188" s="81"/>
      <c r="AN188" s="281"/>
      <c r="AO188" s="81"/>
      <c r="AP188" s="281"/>
      <c r="AQ188" s="81"/>
      <c r="AR188" s="281"/>
      <c r="AS188" s="81"/>
      <c r="AT188" s="281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2">
        <f t="shared" si="12"/>
        <v>1</v>
      </c>
      <c r="H189" s="137">
        <f t="shared" si="13"/>
        <v>18.348623853211009</v>
      </c>
      <c r="I189" s="81" t="s">
        <v>673</v>
      </c>
      <c r="J189" s="283">
        <v>1</v>
      </c>
      <c r="K189" s="81"/>
      <c r="L189" s="281"/>
      <c r="M189" s="81"/>
      <c r="N189" s="281"/>
      <c r="O189" s="81"/>
      <c r="P189" s="281"/>
      <c r="Q189" s="81"/>
      <c r="R189" s="281"/>
      <c r="S189" s="81"/>
      <c r="T189" s="281"/>
      <c r="U189" s="81"/>
      <c r="V189" s="281"/>
      <c r="W189" s="81"/>
      <c r="X189" s="281"/>
      <c r="Y189" s="81"/>
      <c r="Z189" s="281"/>
      <c r="AA189" s="81"/>
      <c r="AB189" s="281"/>
      <c r="AC189" s="81"/>
      <c r="AD189" s="281"/>
      <c r="AE189" s="81"/>
      <c r="AF189" s="281"/>
      <c r="AG189" s="81"/>
      <c r="AH189" s="281"/>
      <c r="AI189" s="81"/>
      <c r="AJ189" s="281"/>
      <c r="AK189" s="81"/>
      <c r="AL189" s="281"/>
      <c r="AM189" s="81"/>
      <c r="AN189" s="281"/>
      <c r="AO189" s="81"/>
      <c r="AP189" s="281"/>
      <c r="AQ189" s="81"/>
      <c r="AR189" s="281"/>
      <c r="AS189" s="81"/>
      <c r="AT189" s="281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2">
        <f t="shared" si="12"/>
        <v>4</v>
      </c>
      <c r="H190" s="137">
        <f t="shared" si="13"/>
        <v>73.394495412844037</v>
      </c>
      <c r="I190" s="87" t="s">
        <v>674</v>
      </c>
      <c r="J190" s="283">
        <v>4</v>
      </c>
      <c r="K190" s="87"/>
      <c r="L190" s="283"/>
      <c r="M190" s="81"/>
      <c r="N190" s="281"/>
      <c r="O190" s="81"/>
      <c r="P190" s="281"/>
      <c r="Q190" s="81"/>
      <c r="R190" s="281"/>
      <c r="S190" s="81"/>
      <c r="T190" s="281"/>
      <c r="U190" s="81"/>
      <c r="V190" s="281"/>
      <c r="W190" s="81"/>
      <c r="X190" s="281"/>
      <c r="Y190" s="81"/>
      <c r="Z190" s="281"/>
      <c r="AA190" s="81"/>
      <c r="AB190" s="281"/>
      <c r="AC190" s="81"/>
      <c r="AD190" s="281"/>
      <c r="AE190" s="81"/>
      <c r="AF190" s="281"/>
      <c r="AG190" s="81"/>
      <c r="AH190" s="281"/>
      <c r="AI190" s="81"/>
      <c r="AJ190" s="281"/>
      <c r="AK190" s="81"/>
      <c r="AL190" s="281"/>
      <c r="AM190" s="81"/>
      <c r="AN190" s="281"/>
      <c r="AO190" s="81"/>
      <c r="AP190" s="281"/>
      <c r="AQ190" s="81"/>
      <c r="AR190" s="281"/>
      <c r="AS190" s="81"/>
      <c r="AT190" s="281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2">
        <f t="shared" si="12"/>
        <v>3</v>
      </c>
      <c r="H191" s="137">
        <f t="shared" si="13"/>
        <v>55.045871559633028</v>
      </c>
      <c r="I191" s="261" t="s">
        <v>675</v>
      </c>
      <c r="J191" s="287">
        <v>2</v>
      </c>
      <c r="K191" s="264" t="s">
        <v>676</v>
      </c>
      <c r="L191" s="285">
        <v>1</v>
      </c>
      <c r="M191" s="81"/>
      <c r="N191" s="281"/>
      <c r="O191" s="81"/>
      <c r="P191" s="281"/>
      <c r="Q191" s="81"/>
      <c r="R191" s="281"/>
      <c r="S191" s="81"/>
      <c r="T191" s="281"/>
      <c r="U191" s="81"/>
      <c r="V191" s="281"/>
      <c r="W191" s="81"/>
      <c r="X191" s="281"/>
      <c r="Y191" s="81"/>
      <c r="Z191" s="281"/>
      <c r="AA191" s="81"/>
      <c r="AB191" s="281"/>
      <c r="AC191" s="81"/>
      <c r="AD191" s="281"/>
      <c r="AE191" s="81"/>
      <c r="AF191" s="281"/>
      <c r="AG191" s="81"/>
      <c r="AH191" s="281"/>
      <c r="AI191" s="81"/>
      <c r="AJ191" s="281"/>
      <c r="AK191" s="81"/>
      <c r="AL191" s="281"/>
      <c r="AM191" s="81"/>
      <c r="AN191" s="281"/>
      <c r="AO191" s="81"/>
      <c r="AP191" s="281"/>
      <c r="AQ191" s="81"/>
      <c r="AR191" s="281"/>
      <c r="AS191" s="81"/>
      <c r="AT191" s="281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2">
        <f t="shared" si="12"/>
        <v>4</v>
      </c>
      <c r="H192" s="137">
        <f t="shared" si="13"/>
        <v>73.394495412844037</v>
      </c>
      <c r="I192" s="87" t="s">
        <v>677</v>
      </c>
      <c r="J192" s="283">
        <v>4</v>
      </c>
      <c r="K192" s="87"/>
      <c r="L192" s="283"/>
      <c r="M192" s="81"/>
      <c r="N192" s="281"/>
      <c r="O192" s="81"/>
      <c r="P192" s="281"/>
      <c r="Q192" s="81"/>
      <c r="R192" s="281"/>
      <c r="S192" s="81"/>
      <c r="T192" s="281"/>
      <c r="U192" s="81"/>
      <c r="V192" s="281"/>
      <c r="W192" s="81"/>
      <c r="X192" s="281"/>
      <c r="Y192" s="81"/>
      <c r="Z192" s="281"/>
      <c r="AA192" s="81"/>
      <c r="AB192" s="281"/>
      <c r="AC192" s="81"/>
      <c r="AD192" s="281"/>
      <c r="AE192" s="81"/>
      <c r="AF192" s="281"/>
      <c r="AG192" s="81"/>
      <c r="AH192" s="281"/>
      <c r="AI192" s="81"/>
      <c r="AJ192" s="281"/>
      <c r="AK192" s="81"/>
      <c r="AL192" s="281"/>
      <c r="AM192" s="81"/>
      <c r="AN192" s="281"/>
      <c r="AO192" s="81"/>
      <c r="AP192" s="281"/>
      <c r="AQ192" s="81"/>
      <c r="AR192" s="281"/>
      <c r="AS192" s="81"/>
      <c r="AT192" s="281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2">
        <f t="shared" si="12"/>
        <v>0</v>
      </c>
      <c r="H193" s="137">
        <f t="shared" si="13"/>
        <v>0</v>
      </c>
      <c r="I193" s="87"/>
      <c r="J193" s="283"/>
      <c r="K193" s="87"/>
      <c r="L193" s="283"/>
      <c r="M193" s="81"/>
      <c r="N193" s="281"/>
      <c r="O193" s="81"/>
      <c r="P193" s="281"/>
      <c r="Q193" s="81"/>
      <c r="R193" s="281"/>
      <c r="S193" s="81"/>
      <c r="T193" s="281"/>
      <c r="U193" s="81"/>
      <c r="V193" s="281"/>
      <c r="W193" s="81"/>
      <c r="X193" s="281"/>
      <c r="Y193" s="81"/>
      <c r="Z193" s="281"/>
      <c r="AA193" s="81"/>
      <c r="AB193" s="281"/>
      <c r="AC193" s="81"/>
      <c r="AD193" s="281"/>
      <c r="AE193" s="81"/>
      <c r="AF193" s="281"/>
      <c r="AG193" s="81"/>
      <c r="AH193" s="281"/>
      <c r="AI193" s="81"/>
      <c r="AJ193" s="281"/>
      <c r="AK193" s="81"/>
      <c r="AL193" s="281"/>
      <c r="AM193" s="81"/>
      <c r="AN193" s="281"/>
      <c r="AO193" s="81"/>
      <c r="AP193" s="281"/>
      <c r="AQ193" s="81"/>
      <c r="AR193" s="281"/>
      <c r="AS193" s="81"/>
      <c r="AT193" s="281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2">
        <f t="shared" si="12"/>
        <v>2.7</v>
      </c>
      <c r="H194" s="137">
        <f t="shared" si="13"/>
        <v>49.541284403669728</v>
      </c>
      <c r="I194" s="87" t="s">
        <v>678</v>
      </c>
      <c r="J194" s="283">
        <v>1.7</v>
      </c>
      <c r="K194" s="264" t="s">
        <v>679</v>
      </c>
      <c r="L194" s="285">
        <v>1</v>
      </c>
      <c r="M194" s="81"/>
      <c r="N194" s="281"/>
      <c r="O194" s="81"/>
      <c r="P194" s="281"/>
      <c r="Q194" s="81"/>
      <c r="R194" s="281"/>
      <c r="S194" s="81"/>
      <c r="T194" s="281"/>
      <c r="U194" s="81"/>
      <c r="V194" s="281"/>
      <c r="W194" s="81"/>
      <c r="X194" s="281"/>
      <c r="Y194" s="81"/>
      <c r="Z194" s="281"/>
      <c r="AA194" s="81"/>
      <c r="AB194" s="281"/>
      <c r="AC194" s="81"/>
      <c r="AD194" s="281"/>
      <c r="AE194" s="81"/>
      <c r="AF194" s="281"/>
      <c r="AG194" s="81"/>
      <c r="AH194" s="281"/>
      <c r="AI194" s="81"/>
      <c r="AJ194" s="281"/>
      <c r="AK194" s="81"/>
      <c r="AL194" s="281"/>
      <c r="AM194" s="81"/>
      <c r="AN194" s="281"/>
      <c r="AO194" s="81"/>
      <c r="AP194" s="281"/>
      <c r="AQ194" s="81"/>
      <c r="AR194" s="281"/>
      <c r="AS194" s="81"/>
      <c r="AT194" s="281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2">
        <f t="shared" si="12"/>
        <v>0</v>
      </c>
      <c r="H195" s="137">
        <f t="shared" si="13"/>
        <v>0</v>
      </c>
      <c r="I195" s="81"/>
      <c r="J195" s="281"/>
      <c r="K195" s="81"/>
      <c r="L195" s="281"/>
      <c r="M195" s="81"/>
      <c r="N195" s="281"/>
      <c r="O195" s="81"/>
      <c r="P195" s="281"/>
      <c r="Q195" s="81"/>
      <c r="R195" s="281"/>
      <c r="S195" s="81"/>
      <c r="T195" s="281"/>
      <c r="U195" s="81"/>
      <c r="V195" s="281"/>
      <c r="W195" s="81"/>
      <c r="X195" s="281"/>
      <c r="Y195" s="81"/>
      <c r="Z195" s="281"/>
      <c r="AA195" s="81"/>
      <c r="AB195" s="281"/>
      <c r="AC195" s="81"/>
      <c r="AD195" s="281"/>
      <c r="AE195" s="81"/>
      <c r="AF195" s="281"/>
      <c r="AG195" s="81"/>
      <c r="AH195" s="281"/>
      <c r="AI195" s="81"/>
      <c r="AJ195" s="281"/>
      <c r="AK195" s="81"/>
      <c r="AL195" s="281"/>
      <c r="AM195" s="81"/>
      <c r="AN195" s="281"/>
      <c r="AO195" s="81"/>
      <c r="AP195" s="281"/>
      <c r="AQ195" s="81"/>
      <c r="AR195" s="281"/>
      <c r="AS195" s="81"/>
      <c r="AT195" s="281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2">
        <f t="shared" si="12"/>
        <v>0</v>
      </c>
      <c r="H196" s="137">
        <f t="shared" si="13"/>
        <v>0</v>
      </c>
      <c r="I196" s="81"/>
      <c r="J196" s="281"/>
      <c r="K196" s="81"/>
      <c r="L196" s="281"/>
      <c r="M196" s="81"/>
      <c r="N196" s="281"/>
      <c r="O196" s="81"/>
      <c r="P196" s="281"/>
      <c r="Q196" s="81"/>
      <c r="R196" s="281"/>
      <c r="S196" s="81"/>
      <c r="T196" s="281"/>
      <c r="U196" s="81"/>
      <c r="V196" s="281"/>
      <c r="W196" s="81"/>
      <c r="X196" s="281"/>
      <c r="Y196" s="81"/>
      <c r="Z196" s="281"/>
      <c r="AA196" s="81"/>
      <c r="AB196" s="281"/>
      <c r="AC196" s="81"/>
      <c r="AD196" s="281"/>
      <c r="AE196" s="81"/>
      <c r="AF196" s="281"/>
      <c r="AG196" s="81"/>
      <c r="AH196" s="281"/>
      <c r="AI196" s="81"/>
      <c r="AJ196" s="281"/>
      <c r="AK196" s="81"/>
      <c r="AL196" s="281"/>
      <c r="AM196" s="81"/>
      <c r="AN196" s="281"/>
      <c r="AO196" s="81"/>
      <c r="AP196" s="281"/>
      <c r="AQ196" s="81"/>
      <c r="AR196" s="281"/>
      <c r="AS196" s="81"/>
      <c r="AT196" s="281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2">
        <f t="shared" si="12"/>
        <v>2.7</v>
      </c>
      <c r="H197" s="137">
        <f t="shared" si="13"/>
        <v>49.541284403669728</v>
      </c>
      <c r="I197" s="81" t="s">
        <v>680</v>
      </c>
      <c r="J197" s="281">
        <v>1.7</v>
      </c>
      <c r="K197" s="257" t="s">
        <v>681</v>
      </c>
      <c r="L197" s="292">
        <v>1</v>
      </c>
      <c r="M197" s="81"/>
      <c r="N197" s="281"/>
      <c r="O197" s="81"/>
      <c r="P197" s="281"/>
      <c r="Q197" s="81"/>
      <c r="R197" s="281"/>
      <c r="S197" s="81"/>
      <c r="T197" s="281"/>
      <c r="U197" s="81"/>
      <c r="V197" s="281"/>
      <c r="W197" s="81"/>
      <c r="X197" s="281"/>
      <c r="Y197" s="81"/>
      <c r="Z197" s="281"/>
      <c r="AA197" s="81"/>
      <c r="AB197" s="281"/>
      <c r="AC197" s="81"/>
      <c r="AD197" s="281"/>
      <c r="AE197" s="81"/>
      <c r="AF197" s="281"/>
      <c r="AG197" s="81"/>
      <c r="AH197" s="281"/>
      <c r="AI197" s="81"/>
      <c r="AJ197" s="281"/>
      <c r="AK197" s="81"/>
      <c r="AL197" s="281"/>
      <c r="AM197" s="81"/>
      <c r="AN197" s="281"/>
      <c r="AO197" s="81"/>
      <c r="AP197" s="281"/>
      <c r="AQ197" s="81"/>
      <c r="AR197" s="281"/>
      <c r="AS197" s="81"/>
      <c r="AT197" s="281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444</v>
      </c>
      <c r="F198" s="4"/>
      <c r="G198" s="252">
        <f t="shared" ref="G198" si="16">SUM(J198,L198,N198,P198,R198,T198,V198,X198,Z198,AB198,AD198,AF198,AH198,AJ198,AL198,AN198,AP198,AR198,AT198,AV198)</f>
        <v>12</v>
      </c>
      <c r="H198" s="137">
        <f t="shared" ref="H198" si="17">SUM(G198*1000)/54.5</f>
        <v>220.18348623853211</v>
      </c>
      <c r="I198" s="81" t="s">
        <v>682</v>
      </c>
      <c r="J198" s="281">
        <v>12</v>
      </c>
      <c r="K198" s="99"/>
      <c r="L198" s="291"/>
      <c r="M198" s="81"/>
      <c r="N198" s="281"/>
      <c r="O198" s="81"/>
      <c r="P198" s="281"/>
      <c r="Q198" s="81"/>
      <c r="R198" s="281"/>
      <c r="S198" s="81"/>
      <c r="T198" s="281"/>
      <c r="U198" s="81"/>
      <c r="V198" s="281"/>
      <c r="W198" s="81"/>
      <c r="X198" s="281"/>
      <c r="Y198" s="81"/>
      <c r="Z198" s="281"/>
      <c r="AA198" s="81"/>
      <c r="AB198" s="281"/>
      <c r="AC198" s="81"/>
      <c r="AD198" s="281"/>
      <c r="AE198" s="81"/>
      <c r="AF198" s="281"/>
      <c r="AG198" s="81"/>
      <c r="AH198" s="281"/>
      <c r="AI198" s="81"/>
      <c r="AJ198" s="281"/>
      <c r="AK198" s="81"/>
      <c r="AL198" s="281"/>
      <c r="AM198" s="81"/>
      <c r="AN198" s="281"/>
      <c r="AO198" s="81"/>
      <c r="AP198" s="281"/>
      <c r="AQ198" s="81"/>
      <c r="AR198" s="281"/>
      <c r="AS198" s="81"/>
      <c r="AT198" s="281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2">
        <f t="shared" si="12"/>
        <v>0</v>
      </c>
      <c r="H199" s="137">
        <f t="shared" si="13"/>
        <v>0</v>
      </c>
      <c r="I199" s="81"/>
      <c r="J199" s="281"/>
      <c r="K199" s="81"/>
      <c r="L199" s="281"/>
      <c r="M199" s="81"/>
      <c r="N199" s="281"/>
      <c r="O199" s="81"/>
      <c r="P199" s="281"/>
      <c r="Q199" s="81"/>
      <c r="R199" s="281"/>
      <c r="S199" s="81"/>
      <c r="T199" s="281"/>
      <c r="U199" s="81"/>
      <c r="V199" s="281"/>
      <c r="W199" s="81"/>
      <c r="X199" s="281"/>
      <c r="Y199" s="81"/>
      <c r="Z199" s="281"/>
      <c r="AA199" s="81"/>
      <c r="AB199" s="281"/>
      <c r="AC199" s="81"/>
      <c r="AD199" s="281"/>
      <c r="AE199" s="81"/>
      <c r="AF199" s="281"/>
      <c r="AG199" s="81"/>
      <c r="AH199" s="281"/>
      <c r="AI199" s="81"/>
      <c r="AJ199" s="281"/>
      <c r="AK199" s="81"/>
      <c r="AL199" s="281"/>
      <c r="AM199" s="81"/>
      <c r="AN199" s="281"/>
      <c r="AO199" s="81"/>
      <c r="AP199" s="281"/>
      <c r="AQ199" s="81"/>
      <c r="AR199" s="281"/>
      <c r="AS199" s="81"/>
      <c r="AT199" s="281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2">
        <f t="shared" si="12"/>
        <v>0</v>
      </c>
      <c r="H200" s="137">
        <f t="shared" si="13"/>
        <v>0</v>
      </c>
      <c r="I200" s="81"/>
      <c r="J200" s="281"/>
      <c r="K200" s="81"/>
      <c r="L200" s="281"/>
      <c r="M200" s="81"/>
      <c r="N200" s="281"/>
      <c r="O200" s="81"/>
      <c r="P200" s="281"/>
      <c r="Q200" s="81"/>
      <c r="R200" s="281"/>
      <c r="S200" s="81"/>
      <c r="T200" s="281"/>
      <c r="U200" s="81"/>
      <c r="V200" s="281"/>
      <c r="W200" s="81"/>
      <c r="X200" s="281"/>
      <c r="Y200" s="81"/>
      <c r="Z200" s="281"/>
      <c r="AA200" s="81"/>
      <c r="AB200" s="281"/>
      <c r="AC200" s="81"/>
      <c r="AD200" s="281"/>
      <c r="AE200" s="81"/>
      <c r="AF200" s="281"/>
      <c r="AG200" s="81"/>
      <c r="AH200" s="281"/>
      <c r="AI200" s="81"/>
      <c r="AJ200" s="281"/>
      <c r="AK200" s="81"/>
      <c r="AL200" s="281"/>
      <c r="AM200" s="81"/>
      <c r="AN200" s="281"/>
      <c r="AO200" s="81"/>
      <c r="AP200" s="281"/>
      <c r="AQ200" s="81"/>
      <c r="AR200" s="281"/>
      <c r="AS200" s="81"/>
      <c r="AT200" s="281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2">
        <f t="shared" si="12"/>
        <v>0</v>
      </c>
      <c r="H201" s="137">
        <f t="shared" si="13"/>
        <v>0</v>
      </c>
      <c r="I201" s="81"/>
      <c r="J201" s="281"/>
      <c r="K201" s="81"/>
      <c r="L201" s="281"/>
      <c r="M201" s="81"/>
      <c r="N201" s="281"/>
      <c r="O201" s="81"/>
      <c r="P201" s="281"/>
      <c r="Q201" s="81"/>
      <c r="R201" s="281"/>
      <c r="S201" s="81"/>
      <c r="T201" s="281"/>
      <c r="U201" s="81"/>
      <c r="V201" s="281"/>
      <c r="W201" s="81"/>
      <c r="X201" s="281"/>
      <c r="Y201" s="81"/>
      <c r="Z201" s="281"/>
      <c r="AA201" s="81"/>
      <c r="AB201" s="281"/>
      <c r="AC201" s="81"/>
      <c r="AD201" s="281"/>
      <c r="AE201" s="81"/>
      <c r="AF201" s="281"/>
      <c r="AG201" s="81"/>
      <c r="AH201" s="281"/>
      <c r="AI201" s="81"/>
      <c r="AJ201" s="281"/>
      <c r="AK201" s="81"/>
      <c r="AL201" s="281"/>
      <c r="AM201" s="81"/>
      <c r="AN201" s="281"/>
      <c r="AO201" s="81"/>
      <c r="AP201" s="281"/>
      <c r="AQ201" s="81"/>
      <c r="AR201" s="281"/>
      <c r="AS201" s="81"/>
      <c r="AT201" s="281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2">
        <f t="shared" si="12"/>
        <v>0</v>
      </c>
      <c r="H202" s="137">
        <f t="shared" si="13"/>
        <v>0</v>
      </c>
      <c r="I202" s="81"/>
      <c r="J202" s="281"/>
      <c r="K202" s="81"/>
      <c r="L202" s="281"/>
      <c r="M202" s="81"/>
      <c r="N202" s="281"/>
      <c r="O202" s="81"/>
      <c r="P202" s="281"/>
      <c r="Q202" s="81"/>
      <c r="R202" s="281"/>
      <c r="S202" s="81"/>
      <c r="T202" s="281"/>
      <c r="U202" s="81"/>
      <c r="V202" s="281"/>
      <c r="W202" s="81"/>
      <c r="X202" s="281"/>
      <c r="Y202" s="81"/>
      <c r="Z202" s="281"/>
      <c r="AA202" s="81"/>
      <c r="AB202" s="281"/>
      <c r="AC202" s="81"/>
      <c r="AD202" s="281"/>
      <c r="AE202" s="81"/>
      <c r="AF202" s="281"/>
      <c r="AG202" s="81"/>
      <c r="AH202" s="281"/>
      <c r="AI202" s="81"/>
      <c r="AJ202" s="281"/>
      <c r="AK202" s="81"/>
      <c r="AL202" s="281"/>
      <c r="AM202" s="81"/>
      <c r="AN202" s="281"/>
      <c r="AO202" s="81"/>
      <c r="AP202" s="281"/>
      <c r="AQ202" s="81"/>
      <c r="AR202" s="281"/>
      <c r="AS202" s="81"/>
      <c r="AT202" s="281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2">
        <f t="shared" si="12"/>
        <v>36.5</v>
      </c>
      <c r="H203" s="137">
        <f t="shared" si="13"/>
        <v>669.72477064220186</v>
      </c>
      <c r="I203" s="81" t="s">
        <v>683</v>
      </c>
      <c r="J203" s="281">
        <v>12</v>
      </c>
      <c r="K203" s="81" t="s">
        <v>684</v>
      </c>
      <c r="L203" s="281">
        <v>3</v>
      </c>
      <c r="M203" s="81" t="s">
        <v>685</v>
      </c>
      <c r="N203" s="281">
        <v>0.5</v>
      </c>
      <c r="O203" s="81" t="s">
        <v>686</v>
      </c>
      <c r="P203" s="281">
        <v>4</v>
      </c>
      <c r="Q203" s="261" t="s">
        <v>687</v>
      </c>
      <c r="R203" s="285">
        <v>2</v>
      </c>
      <c r="S203" s="106"/>
      <c r="T203" s="292"/>
      <c r="U203" s="257" t="s">
        <v>688</v>
      </c>
      <c r="V203" s="292">
        <v>6</v>
      </c>
      <c r="W203" s="106" t="s">
        <v>689</v>
      </c>
      <c r="X203" s="292">
        <v>3</v>
      </c>
      <c r="Y203" s="85" t="s">
        <v>690</v>
      </c>
      <c r="Z203" s="282">
        <v>3</v>
      </c>
      <c r="AA203" s="85" t="s">
        <v>691</v>
      </c>
      <c r="AB203" s="282">
        <v>3</v>
      </c>
      <c r="AC203" s="81"/>
      <c r="AD203" s="281"/>
      <c r="AE203" s="81"/>
      <c r="AF203" s="281"/>
      <c r="AG203" s="81"/>
      <c r="AH203" s="281"/>
      <c r="AI203" s="81"/>
      <c r="AJ203" s="281"/>
      <c r="AK203" s="81"/>
      <c r="AL203" s="281"/>
      <c r="AM203" s="81"/>
      <c r="AN203" s="281"/>
      <c r="AO203" s="81"/>
      <c r="AP203" s="281"/>
      <c r="AQ203" s="81"/>
      <c r="AR203" s="281"/>
      <c r="AS203" s="81"/>
      <c r="AT203" s="281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2">
        <f t="shared" si="12"/>
        <v>13</v>
      </c>
      <c r="H204" s="137">
        <f t="shared" si="13"/>
        <v>238.53211009174311</v>
      </c>
      <c r="I204" s="81" t="s">
        <v>692</v>
      </c>
      <c r="J204" s="281">
        <v>2.4</v>
      </c>
      <c r="K204" s="81" t="s">
        <v>693</v>
      </c>
      <c r="L204" s="281">
        <v>0.7</v>
      </c>
      <c r="M204" s="81" t="s">
        <v>694</v>
      </c>
      <c r="N204" s="281">
        <v>2.1</v>
      </c>
      <c r="O204" s="81" t="s">
        <v>695</v>
      </c>
      <c r="P204" s="281">
        <v>3.2</v>
      </c>
      <c r="Q204" s="81" t="s">
        <v>696</v>
      </c>
      <c r="R204" s="281">
        <v>1.3</v>
      </c>
      <c r="S204" s="81" t="s">
        <v>697</v>
      </c>
      <c r="T204" s="281">
        <v>3.3</v>
      </c>
      <c r="U204" s="81"/>
      <c r="V204" s="281"/>
      <c r="W204" s="81"/>
      <c r="X204" s="281"/>
      <c r="Y204" s="81"/>
      <c r="Z204" s="281"/>
      <c r="AA204" s="81"/>
      <c r="AB204" s="281"/>
      <c r="AC204" s="81"/>
      <c r="AD204" s="281"/>
      <c r="AE204" s="81"/>
      <c r="AF204" s="281"/>
      <c r="AG204" s="81"/>
      <c r="AH204" s="281"/>
      <c r="AI204" s="81"/>
      <c r="AJ204" s="281"/>
      <c r="AK204" s="81"/>
      <c r="AL204" s="281"/>
      <c r="AM204" s="81"/>
      <c r="AN204" s="281"/>
      <c r="AO204" s="81"/>
      <c r="AP204" s="281"/>
      <c r="AQ204" s="81"/>
      <c r="AR204" s="281"/>
      <c r="AS204" s="81"/>
      <c r="AT204" s="281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2">
        <f t="shared" si="12"/>
        <v>0</v>
      </c>
      <c r="H205" s="137">
        <f t="shared" si="13"/>
        <v>0</v>
      </c>
      <c r="I205" s="81"/>
      <c r="J205" s="281"/>
      <c r="K205" s="81"/>
      <c r="L205" s="281"/>
      <c r="M205" s="81"/>
      <c r="N205" s="281"/>
      <c r="O205" s="81"/>
      <c r="P205" s="281"/>
      <c r="Q205" s="81"/>
      <c r="R205" s="281"/>
      <c r="S205" s="81"/>
      <c r="T205" s="281"/>
      <c r="U205" s="81"/>
      <c r="V205" s="281"/>
      <c r="W205" s="81"/>
      <c r="X205" s="281"/>
      <c r="Y205" s="81"/>
      <c r="Z205" s="281"/>
      <c r="AA205" s="81"/>
      <c r="AB205" s="281"/>
      <c r="AC205" s="81"/>
      <c r="AD205" s="281"/>
      <c r="AE205" s="81"/>
      <c r="AF205" s="281"/>
      <c r="AG205" s="81"/>
      <c r="AH205" s="281"/>
      <c r="AI205" s="81"/>
      <c r="AJ205" s="281"/>
      <c r="AK205" s="81"/>
      <c r="AL205" s="281"/>
      <c r="AM205" s="81"/>
      <c r="AN205" s="281"/>
      <c r="AO205" s="81"/>
      <c r="AP205" s="281"/>
      <c r="AQ205" s="81"/>
      <c r="AR205" s="281"/>
      <c r="AS205" s="81"/>
      <c r="AT205" s="281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2">
        <f t="shared" si="12"/>
        <v>5.2</v>
      </c>
      <c r="H206" s="137">
        <f t="shared" si="13"/>
        <v>95.412844036697251</v>
      </c>
      <c r="I206" s="89" t="s">
        <v>421</v>
      </c>
      <c r="J206" s="284">
        <v>1.8</v>
      </c>
      <c r="K206" s="89" t="s">
        <v>526</v>
      </c>
      <c r="L206" s="284">
        <v>2.9</v>
      </c>
      <c r="M206" s="87" t="s">
        <v>454</v>
      </c>
      <c r="N206" s="283">
        <v>0.5</v>
      </c>
      <c r="O206" s="81"/>
      <c r="P206" s="281"/>
      <c r="Q206" s="81"/>
      <c r="R206" s="281"/>
      <c r="S206" s="81"/>
      <c r="T206" s="281"/>
      <c r="U206" s="81"/>
      <c r="V206" s="281"/>
      <c r="W206" s="81"/>
      <c r="X206" s="281"/>
      <c r="Y206" s="81"/>
      <c r="Z206" s="281"/>
      <c r="AA206" s="81"/>
      <c r="AB206" s="281"/>
      <c r="AC206" s="81"/>
      <c r="AD206" s="281"/>
      <c r="AE206" s="81"/>
      <c r="AF206" s="281"/>
      <c r="AG206" s="81"/>
      <c r="AH206" s="281"/>
      <c r="AI206" s="81"/>
      <c r="AJ206" s="281"/>
      <c r="AK206" s="81"/>
      <c r="AL206" s="281"/>
      <c r="AM206" s="81"/>
      <c r="AN206" s="281"/>
      <c r="AO206" s="81"/>
      <c r="AP206" s="281"/>
      <c r="AQ206" s="81"/>
      <c r="AR206" s="281"/>
      <c r="AS206" s="81"/>
      <c r="AT206" s="281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2">
        <f t="shared" si="12"/>
        <v>0.25</v>
      </c>
      <c r="H207" s="137">
        <f t="shared" si="13"/>
        <v>4.5871559633027523</v>
      </c>
      <c r="I207" s="261" t="s">
        <v>698</v>
      </c>
      <c r="J207" s="285">
        <v>0.25</v>
      </c>
      <c r="K207" s="81"/>
      <c r="L207" s="281"/>
      <c r="M207" s="81"/>
      <c r="N207" s="281"/>
      <c r="O207" s="81"/>
      <c r="P207" s="281"/>
      <c r="Q207" s="81"/>
      <c r="R207" s="281"/>
      <c r="S207" s="81"/>
      <c r="T207" s="281"/>
      <c r="U207" s="81"/>
      <c r="V207" s="281"/>
      <c r="W207" s="81"/>
      <c r="X207" s="281"/>
      <c r="Y207" s="81"/>
      <c r="Z207" s="281"/>
      <c r="AA207" s="81"/>
      <c r="AB207" s="281"/>
      <c r="AC207" s="81"/>
      <c r="AD207" s="281"/>
      <c r="AE207" s="81"/>
      <c r="AF207" s="281"/>
      <c r="AG207" s="81"/>
      <c r="AH207" s="281"/>
      <c r="AI207" s="81"/>
      <c r="AJ207" s="281"/>
      <c r="AK207" s="81"/>
      <c r="AL207" s="281"/>
      <c r="AM207" s="81"/>
      <c r="AN207" s="281"/>
      <c r="AO207" s="81"/>
      <c r="AP207" s="281"/>
      <c r="AQ207" s="81"/>
      <c r="AR207" s="281"/>
      <c r="AS207" s="81"/>
      <c r="AT207" s="281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2">
        <f t="shared" ref="G208:G254" si="18">SUM(J208,L208,N208,P208,R208,T208,V208,X208,Z208,AB208,AD208,AF208,AH208,AJ208,AL208,AN208,AP208,AR208,AT208,AV208)</f>
        <v>7.2</v>
      </c>
      <c r="H208" s="137">
        <f t="shared" si="13"/>
        <v>132.11009174311926</v>
      </c>
      <c r="I208" s="89" t="s">
        <v>699</v>
      </c>
      <c r="J208" s="284">
        <v>1.7</v>
      </c>
      <c r="K208" s="83" t="s">
        <v>700</v>
      </c>
      <c r="L208" s="286">
        <v>5.5</v>
      </c>
      <c r="M208" s="81"/>
      <c r="N208" s="281"/>
      <c r="O208" s="81"/>
      <c r="P208" s="281"/>
      <c r="Q208" s="81"/>
      <c r="R208" s="281"/>
      <c r="S208" s="81"/>
      <c r="T208" s="281"/>
      <c r="U208" s="81"/>
      <c r="V208" s="281"/>
      <c r="W208" s="81"/>
      <c r="X208" s="281"/>
      <c r="Y208" s="81"/>
      <c r="Z208" s="281"/>
      <c r="AA208" s="81"/>
      <c r="AB208" s="281"/>
      <c r="AC208" s="81"/>
      <c r="AD208" s="281"/>
      <c r="AE208" s="81"/>
      <c r="AF208" s="281"/>
      <c r="AG208" s="81"/>
      <c r="AH208" s="281"/>
      <c r="AI208" s="81"/>
      <c r="AJ208" s="281"/>
      <c r="AK208" s="81"/>
      <c r="AL208" s="281"/>
      <c r="AM208" s="81"/>
      <c r="AN208" s="281"/>
      <c r="AO208" s="81"/>
      <c r="AP208" s="281"/>
      <c r="AQ208" s="81"/>
      <c r="AR208" s="281"/>
      <c r="AS208" s="81"/>
      <c r="AT208" s="281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2">
        <f t="shared" si="18"/>
        <v>3.7</v>
      </c>
      <c r="H209" s="137">
        <f t="shared" ref="H209:H270" si="19">SUM(G209*1000)/54.5</f>
        <v>67.88990825688073</v>
      </c>
      <c r="I209" s="81" t="s">
        <v>701</v>
      </c>
      <c r="J209" s="281">
        <v>1.7</v>
      </c>
      <c r="K209" s="81" t="s">
        <v>702</v>
      </c>
      <c r="L209" s="281">
        <v>1</v>
      </c>
      <c r="M209" s="261" t="s">
        <v>703</v>
      </c>
      <c r="N209" s="285">
        <v>1</v>
      </c>
      <c r="O209" s="81"/>
      <c r="P209" s="281"/>
      <c r="Q209" s="81"/>
      <c r="R209" s="281"/>
      <c r="S209" s="81"/>
      <c r="T209" s="281"/>
      <c r="U209" s="81"/>
      <c r="V209" s="281"/>
      <c r="W209" s="81"/>
      <c r="X209" s="281"/>
      <c r="Y209" s="81"/>
      <c r="Z209" s="281"/>
      <c r="AA209" s="81"/>
      <c r="AB209" s="281"/>
      <c r="AC209" s="81"/>
      <c r="AD209" s="281"/>
      <c r="AE209" s="81"/>
      <c r="AF209" s="281"/>
      <c r="AG209" s="81"/>
      <c r="AH209" s="281"/>
      <c r="AI209" s="81"/>
      <c r="AJ209" s="281"/>
      <c r="AK209" s="81"/>
      <c r="AL209" s="281"/>
      <c r="AM209" s="81"/>
      <c r="AN209" s="281"/>
      <c r="AO209" s="81"/>
      <c r="AP209" s="281"/>
      <c r="AQ209" s="81"/>
      <c r="AR209" s="281"/>
      <c r="AS209" s="81"/>
      <c r="AT209" s="281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2">
        <f t="shared" si="18"/>
        <v>3.5</v>
      </c>
      <c r="H210" s="137">
        <f t="shared" si="19"/>
        <v>64.220183486238525</v>
      </c>
      <c r="I210" s="81" t="s">
        <v>704</v>
      </c>
      <c r="J210" s="281">
        <v>0.5</v>
      </c>
      <c r="K210" s="267" t="s">
        <v>563</v>
      </c>
      <c r="L210" s="293">
        <v>2</v>
      </c>
      <c r="M210" s="99" t="s">
        <v>702</v>
      </c>
      <c r="N210" s="291">
        <v>1</v>
      </c>
      <c r="O210" s="83"/>
      <c r="P210" s="286"/>
      <c r="Q210" s="81"/>
      <c r="R210" s="281"/>
      <c r="S210" s="83"/>
      <c r="T210" s="286"/>
      <c r="U210" s="81"/>
      <c r="V210" s="281"/>
      <c r="W210" s="81"/>
      <c r="X210" s="281"/>
      <c r="Y210" s="81"/>
      <c r="Z210" s="281"/>
      <c r="AA210" s="81"/>
      <c r="AB210" s="281"/>
      <c r="AC210" s="81"/>
      <c r="AD210" s="281"/>
      <c r="AE210" s="81"/>
      <c r="AF210" s="281"/>
      <c r="AG210" s="81"/>
      <c r="AH210" s="281"/>
      <c r="AI210" s="81"/>
      <c r="AJ210" s="281"/>
      <c r="AK210" s="81"/>
      <c r="AL210" s="281"/>
      <c r="AM210" s="81"/>
      <c r="AN210" s="281"/>
      <c r="AO210" s="81"/>
      <c r="AP210" s="281"/>
      <c r="AQ210" s="81"/>
      <c r="AR210" s="281"/>
      <c r="AS210" s="81"/>
      <c r="AT210" s="281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2">
        <f t="shared" si="18"/>
        <v>0</v>
      </c>
      <c r="H211" s="137">
        <f t="shared" si="19"/>
        <v>0</v>
      </c>
      <c r="I211" s="81"/>
      <c r="J211" s="281"/>
      <c r="K211" s="81"/>
      <c r="L211" s="281"/>
      <c r="M211" s="81"/>
      <c r="N211" s="281"/>
      <c r="O211" s="81"/>
      <c r="P211" s="281"/>
      <c r="Q211" s="81"/>
      <c r="R211" s="281"/>
      <c r="S211" s="81"/>
      <c r="T211" s="281"/>
      <c r="U211" s="81"/>
      <c r="V211" s="281"/>
      <c r="W211" s="81"/>
      <c r="X211" s="281"/>
      <c r="Y211" s="81"/>
      <c r="Z211" s="281"/>
      <c r="AA211" s="81"/>
      <c r="AB211" s="281"/>
      <c r="AC211" s="81"/>
      <c r="AD211" s="281"/>
      <c r="AE211" s="81"/>
      <c r="AF211" s="281"/>
      <c r="AG211" s="81"/>
      <c r="AH211" s="281"/>
      <c r="AI211" s="81"/>
      <c r="AJ211" s="281"/>
      <c r="AK211" s="81"/>
      <c r="AL211" s="281"/>
      <c r="AM211" s="81"/>
      <c r="AN211" s="281"/>
      <c r="AO211" s="81"/>
      <c r="AP211" s="281"/>
      <c r="AQ211" s="81"/>
      <c r="AR211" s="281"/>
      <c r="AS211" s="81"/>
      <c r="AT211" s="281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2">
        <f t="shared" si="18"/>
        <v>0</v>
      </c>
      <c r="H212" s="137">
        <f t="shared" si="19"/>
        <v>0</v>
      </c>
      <c r="I212" s="81"/>
      <c r="J212" s="281"/>
      <c r="K212" s="81"/>
      <c r="L212" s="281"/>
      <c r="M212" s="81"/>
      <c r="N212" s="281"/>
      <c r="O212" s="81"/>
      <c r="P212" s="281"/>
      <c r="Q212" s="81"/>
      <c r="R212" s="281"/>
      <c r="S212" s="81"/>
      <c r="T212" s="281"/>
      <c r="U212" s="81"/>
      <c r="V212" s="281"/>
      <c r="W212" s="81"/>
      <c r="X212" s="281"/>
      <c r="Y212" s="81"/>
      <c r="Z212" s="281"/>
      <c r="AA212" s="81"/>
      <c r="AB212" s="281"/>
      <c r="AC212" s="81"/>
      <c r="AD212" s="281"/>
      <c r="AE212" s="81"/>
      <c r="AF212" s="281"/>
      <c r="AG212" s="81"/>
      <c r="AH212" s="281"/>
      <c r="AI212" s="81"/>
      <c r="AJ212" s="281"/>
      <c r="AK212" s="81"/>
      <c r="AL212" s="281"/>
      <c r="AM212" s="81"/>
      <c r="AN212" s="281"/>
      <c r="AO212" s="81"/>
      <c r="AP212" s="281"/>
      <c r="AQ212" s="81"/>
      <c r="AR212" s="281"/>
      <c r="AS212" s="81"/>
      <c r="AT212" s="281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2">
        <f t="shared" si="18"/>
        <v>2</v>
      </c>
      <c r="H213" s="137">
        <f t="shared" si="19"/>
        <v>36.697247706422019</v>
      </c>
      <c r="I213" s="81" t="s">
        <v>705</v>
      </c>
      <c r="J213" s="281">
        <v>1</v>
      </c>
      <c r="K213" s="264" t="s">
        <v>706</v>
      </c>
      <c r="L213" s="285">
        <v>1</v>
      </c>
      <c r="M213" s="81"/>
      <c r="N213" s="281"/>
      <c r="O213" s="81"/>
      <c r="P213" s="281"/>
      <c r="Q213" s="81"/>
      <c r="R213" s="281"/>
      <c r="S213" s="81"/>
      <c r="T213" s="281"/>
      <c r="U213" s="81"/>
      <c r="V213" s="281"/>
      <c r="W213" s="81"/>
      <c r="X213" s="281"/>
      <c r="Y213" s="81"/>
      <c r="Z213" s="281"/>
      <c r="AA213" s="81"/>
      <c r="AB213" s="281"/>
      <c r="AC213" s="81"/>
      <c r="AD213" s="281"/>
      <c r="AE213" s="81"/>
      <c r="AF213" s="281"/>
      <c r="AG213" s="81"/>
      <c r="AH213" s="281"/>
      <c r="AI213" s="81"/>
      <c r="AJ213" s="281"/>
      <c r="AK213" s="81"/>
      <c r="AL213" s="281"/>
      <c r="AM213" s="81"/>
      <c r="AN213" s="281"/>
      <c r="AO213" s="81"/>
      <c r="AP213" s="281"/>
      <c r="AQ213" s="81"/>
      <c r="AR213" s="281"/>
      <c r="AS213" s="81"/>
      <c r="AT213" s="281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2">
        <f t="shared" si="18"/>
        <v>2</v>
      </c>
      <c r="H214" s="137">
        <f t="shared" si="19"/>
        <v>36.697247706422019</v>
      </c>
      <c r="I214" s="261" t="s">
        <v>707</v>
      </c>
      <c r="J214" s="285">
        <v>1</v>
      </c>
      <c r="K214" s="87" t="s">
        <v>708</v>
      </c>
      <c r="L214" s="283">
        <v>1</v>
      </c>
      <c r="M214" s="81"/>
      <c r="N214" s="281"/>
      <c r="O214" s="81"/>
      <c r="P214" s="281"/>
      <c r="Q214" s="81"/>
      <c r="R214" s="281"/>
      <c r="S214" s="81"/>
      <c r="T214" s="281"/>
      <c r="U214" s="81"/>
      <c r="V214" s="281"/>
      <c r="W214" s="81"/>
      <c r="X214" s="281"/>
      <c r="Y214" s="81"/>
      <c r="Z214" s="281"/>
      <c r="AA214" s="81"/>
      <c r="AB214" s="281"/>
      <c r="AC214" s="81"/>
      <c r="AD214" s="281"/>
      <c r="AE214" s="81"/>
      <c r="AF214" s="281"/>
      <c r="AG214" s="81"/>
      <c r="AH214" s="281"/>
      <c r="AI214" s="81"/>
      <c r="AJ214" s="281"/>
      <c r="AK214" s="81"/>
      <c r="AL214" s="281"/>
      <c r="AM214" s="81"/>
      <c r="AN214" s="281"/>
      <c r="AO214" s="81"/>
      <c r="AP214" s="281"/>
      <c r="AQ214" s="81"/>
      <c r="AR214" s="281"/>
      <c r="AS214" s="81"/>
      <c r="AT214" s="281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2">
        <f t="shared" si="18"/>
        <v>1</v>
      </c>
      <c r="H215" s="137">
        <f t="shared" si="19"/>
        <v>18.348623853211009</v>
      </c>
      <c r="I215" s="261" t="s">
        <v>709</v>
      </c>
      <c r="J215" s="285">
        <v>1</v>
      </c>
      <c r="K215" s="87"/>
      <c r="L215" s="283"/>
      <c r="M215" s="81"/>
      <c r="N215" s="281"/>
      <c r="O215" s="81"/>
      <c r="P215" s="281"/>
      <c r="Q215" s="81"/>
      <c r="R215" s="281"/>
      <c r="S215" s="81"/>
      <c r="T215" s="281"/>
      <c r="U215" s="81"/>
      <c r="V215" s="281"/>
      <c r="W215" s="81"/>
      <c r="X215" s="281"/>
      <c r="Y215" s="81"/>
      <c r="Z215" s="281"/>
      <c r="AA215" s="81"/>
      <c r="AB215" s="281"/>
      <c r="AC215" s="81"/>
      <c r="AD215" s="281"/>
      <c r="AE215" s="81"/>
      <c r="AF215" s="281"/>
      <c r="AG215" s="81"/>
      <c r="AH215" s="281"/>
      <c r="AI215" s="81"/>
      <c r="AJ215" s="281"/>
      <c r="AK215" s="81"/>
      <c r="AL215" s="281"/>
      <c r="AM215" s="81"/>
      <c r="AN215" s="281"/>
      <c r="AO215" s="81"/>
      <c r="AP215" s="281"/>
      <c r="AQ215" s="81"/>
      <c r="AR215" s="281"/>
      <c r="AS215" s="81"/>
      <c r="AT215" s="281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2">
        <f t="shared" si="18"/>
        <v>4</v>
      </c>
      <c r="H216" s="137">
        <f t="shared" si="19"/>
        <v>73.394495412844037</v>
      </c>
      <c r="I216" s="261" t="s">
        <v>710</v>
      </c>
      <c r="J216" s="283">
        <v>2</v>
      </c>
      <c r="K216" s="261" t="s">
        <v>711</v>
      </c>
      <c r="L216" s="283">
        <v>2</v>
      </c>
      <c r="M216" s="81"/>
      <c r="N216" s="281"/>
      <c r="O216" s="81"/>
      <c r="P216" s="281"/>
      <c r="Q216" s="81"/>
      <c r="R216" s="281"/>
      <c r="S216" s="81"/>
      <c r="T216" s="281"/>
      <c r="U216" s="81"/>
      <c r="V216" s="281"/>
      <c r="W216" s="81"/>
      <c r="X216" s="281"/>
      <c r="Y216" s="81"/>
      <c r="Z216" s="281"/>
      <c r="AA216" s="81"/>
      <c r="AB216" s="281"/>
      <c r="AC216" s="81"/>
      <c r="AD216" s="281"/>
      <c r="AE216" s="81"/>
      <c r="AF216" s="281"/>
      <c r="AG216" s="81"/>
      <c r="AH216" s="281"/>
      <c r="AI216" s="81"/>
      <c r="AJ216" s="281"/>
      <c r="AK216" s="81"/>
      <c r="AL216" s="281"/>
      <c r="AM216" s="81"/>
      <c r="AN216" s="281"/>
      <c r="AO216" s="81"/>
      <c r="AP216" s="281"/>
      <c r="AQ216" s="81"/>
      <c r="AR216" s="281"/>
      <c r="AS216" s="81"/>
      <c r="AT216" s="281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2">
        <f t="shared" si="18"/>
        <v>0</v>
      </c>
      <c r="H217" s="137">
        <f t="shared" si="19"/>
        <v>0</v>
      </c>
      <c r="I217" s="81"/>
      <c r="J217" s="281"/>
      <c r="K217" s="81"/>
      <c r="L217" s="281"/>
      <c r="M217" s="81"/>
      <c r="N217" s="281"/>
      <c r="O217" s="81"/>
      <c r="P217" s="281"/>
      <c r="Q217" s="81"/>
      <c r="R217" s="281"/>
      <c r="S217" s="81"/>
      <c r="T217" s="281"/>
      <c r="U217" s="81"/>
      <c r="V217" s="281"/>
      <c r="W217" s="81"/>
      <c r="X217" s="281"/>
      <c r="Y217" s="81"/>
      <c r="Z217" s="281"/>
      <c r="AA217" s="81"/>
      <c r="AB217" s="281"/>
      <c r="AC217" s="81"/>
      <c r="AD217" s="281"/>
      <c r="AE217" s="81"/>
      <c r="AF217" s="281"/>
      <c r="AG217" s="81"/>
      <c r="AH217" s="281"/>
      <c r="AI217" s="81"/>
      <c r="AJ217" s="281"/>
      <c r="AK217" s="81"/>
      <c r="AL217" s="281"/>
      <c r="AM217" s="81"/>
      <c r="AN217" s="281"/>
      <c r="AO217" s="81"/>
      <c r="AP217" s="281"/>
      <c r="AQ217" s="81"/>
      <c r="AR217" s="281"/>
      <c r="AS217" s="81"/>
      <c r="AT217" s="281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2">
        <f>SUM(J218,L218,N218,P218,R218,T218,V218,X218,Z218,AB218,AD218,AF218,AH218,AJ218,AL218,AN218,AP218,AR218,AT218,AV218)</f>
        <v>0</v>
      </c>
      <c r="H218" s="137">
        <f t="shared" si="19"/>
        <v>0</v>
      </c>
      <c r="I218" s="81"/>
      <c r="J218" s="281"/>
      <c r="K218" s="81"/>
      <c r="L218" s="281"/>
      <c r="M218" s="81"/>
      <c r="N218" s="281"/>
      <c r="O218" s="81"/>
      <c r="P218" s="281"/>
      <c r="Q218" s="81"/>
      <c r="R218" s="281"/>
      <c r="S218" s="81"/>
      <c r="T218" s="281"/>
      <c r="U218" s="81"/>
      <c r="V218" s="281"/>
      <c r="W218" s="81"/>
      <c r="X218" s="281"/>
      <c r="Y218" s="81"/>
      <c r="Z218" s="281"/>
      <c r="AA218" s="81"/>
      <c r="AB218" s="281"/>
      <c r="AC218" s="81"/>
      <c r="AD218" s="281"/>
      <c r="AE218" s="81"/>
      <c r="AF218" s="281"/>
      <c r="AG218" s="81"/>
      <c r="AH218" s="281"/>
      <c r="AI218" s="81"/>
      <c r="AJ218" s="281"/>
      <c r="AK218" s="81"/>
      <c r="AL218" s="281"/>
      <c r="AM218" s="81"/>
      <c r="AN218" s="281"/>
      <c r="AO218" s="81"/>
      <c r="AP218" s="281"/>
      <c r="AQ218" s="81"/>
      <c r="AR218" s="281"/>
      <c r="AS218" s="81"/>
      <c r="AT218" s="281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2">
        <f>SUM(J219,L219,N219,P219,R219,T219,V219,X219,Z219,AB219,AD219,AF219,AH219,AJ219,AL219,AN219,AP219,AR219,AT219,AV219)</f>
        <v>14.249999999999998</v>
      </c>
      <c r="H219" s="137">
        <f t="shared" si="19"/>
        <v>261.46788990825684</v>
      </c>
      <c r="I219" s="81" t="s">
        <v>712</v>
      </c>
      <c r="J219" s="281">
        <v>1.5</v>
      </c>
      <c r="K219" s="81" t="s">
        <v>713</v>
      </c>
      <c r="L219" s="281">
        <v>0.4</v>
      </c>
      <c r="M219" s="81" t="s">
        <v>714</v>
      </c>
      <c r="N219" s="281">
        <v>1.6</v>
      </c>
      <c r="O219" s="81" t="s">
        <v>715</v>
      </c>
      <c r="P219" s="281">
        <v>1</v>
      </c>
      <c r="Q219" s="81" t="s">
        <v>716</v>
      </c>
      <c r="R219" s="281">
        <v>1.3</v>
      </c>
      <c r="S219" s="81" t="s">
        <v>717</v>
      </c>
      <c r="T219" s="281">
        <v>1</v>
      </c>
      <c r="U219" s="89" t="s">
        <v>718</v>
      </c>
      <c r="V219" s="284">
        <v>0.6</v>
      </c>
      <c r="W219" s="81"/>
      <c r="X219" s="284"/>
      <c r="Y219" s="264" t="s">
        <v>719</v>
      </c>
      <c r="Z219" s="293">
        <v>2</v>
      </c>
      <c r="AA219" s="87" t="s">
        <v>720</v>
      </c>
      <c r="AB219" s="283">
        <v>3.25</v>
      </c>
      <c r="AC219" s="87" t="s">
        <v>721</v>
      </c>
      <c r="AD219" s="283">
        <v>1.6</v>
      </c>
      <c r="AE219" s="99"/>
      <c r="AF219" s="322"/>
      <c r="AG219" s="81"/>
      <c r="AH219" s="281"/>
      <c r="AI219" s="81"/>
      <c r="AJ219" s="281"/>
      <c r="AK219" s="81"/>
      <c r="AL219" s="281"/>
      <c r="AM219" s="81"/>
      <c r="AN219" s="281"/>
      <c r="AO219" s="81"/>
      <c r="AP219" s="281"/>
      <c r="AQ219" s="81"/>
      <c r="AR219" s="281"/>
      <c r="AS219" s="81"/>
      <c r="AT219" s="281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2">
        <f t="shared" si="18"/>
        <v>13.85</v>
      </c>
      <c r="H220" s="137">
        <f t="shared" si="19"/>
        <v>254.12844036697248</v>
      </c>
      <c r="I220" s="81" t="s">
        <v>712</v>
      </c>
      <c r="J220" s="281">
        <v>1</v>
      </c>
      <c r="K220" s="81" t="s">
        <v>713</v>
      </c>
      <c r="L220" s="281">
        <v>0.5</v>
      </c>
      <c r="M220" s="81" t="s">
        <v>714</v>
      </c>
      <c r="N220" s="281">
        <v>1.7</v>
      </c>
      <c r="O220" s="81" t="s">
        <v>715</v>
      </c>
      <c r="P220" s="281">
        <v>1</v>
      </c>
      <c r="Q220" s="81" t="s">
        <v>716</v>
      </c>
      <c r="R220" s="281">
        <v>1.2</v>
      </c>
      <c r="S220" s="81" t="s">
        <v>717</v>
      </c>
      <c r="T220" s="281">
        <v>0.9</v>
      </c>
      <c r="U220" s="89" t="s">
        <v>718</v>
      </c>
      <c r="V220" s="284">
        <v>0.7</v>
      </c>
      <c r="W220" s="81"/>
      <c r="X220" s="284"/>
      <c r="Y220" s="264" t="s">
        <v>719</v>
      </c>
      <c r="Z220" s="293">
        <v>2</v>
      </c>
      <c r="AA220" s="87" t="s">
        <v>720</v>
      </c>
      <c r="AB220" s="283">
        <v>3.25</v>
      </c>
      <c r="AC220" s="87" t="s">
        <v>721</v>
      </c>
      <c r="AD220" s="283">
        <v>1.6</v>
      </c>
      <c r="AE220" s="99"/>
      <c r="AF220" s="322"/>
      <c r="AG220" s="81"/>
      <c r="AH220" s="281"/>
      <c r="AI220" s="81"/>
      <c r="AJ220" s="281"/>
      <c r="AK220" s="81"/>
      <c r="AL220" s="281"/>
      <c r="AM220" s="81"/>
      <c r="AN220" s="281"/>
      <c r="AO220" s="81"/>
      <c r="AP220" s="281"/>
      <c r="AQ220" s="81"/>
      <c r="AR220" s="281"/>
      <c r="AS220" s="81"/>
      <c r="AT220" s="281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2">
        <f t="shared" si="18"/>
        <v>8.5299999999999994</v>
      </c>
      <c r="H221" s="137">
        <f t="shared" si="19"/>
        <v>156.51376146788991</v>
      </c>
      <c r="I221" s="261" t="s">
        <v>722</v>
      </c>
      <c r="J221" s="285">
        <v>0.5</v>
      </c>
      <c r="K221" s="87" t="s">
        <v>723</v>
      </c>
      <c r="L221" s="283">
        <v>1.25</v>
      </c>
      <c r="M221" s="87" t="s">
        <v>724</v>
      </c>
      <c r="N221" s="283">
        <v>1.25</v>
      </c>
      <c r="O221" s="83" t="s">
        <v>725</v>
      </c>
      <c r="P221" s="286">
        <v>5.5</v>
      </c>
      <c r="Q221" s="81" t="s">
        <v>726</v>
      </c>
      <c r="R221" s="326">
        <v>0.03</v>
      </c>
      <c r="S221" s="81"/>
      <c r="T221" s="281"/>
      <c r="U221" s="81"/>
      <c r="V221" s="281"/>
      <c r="W221" s="81"/>
      <c r="X221" s="281"/>
      <c r="Y221" s="81"/>
      <c r="Z221" s="281"/>
      <c r="AA221" s="81"/>
      <c r="AB221" s="281"/>
      <c r="AC221" s="81"/>
      <c r="AD221" s="281"/>
      <c r="AE221" s="81"/>
      <c r="AF221" s="281"/>
      <c r="AG221" s="81"/>
      <c r="AH221" s="281"/>
      <c r="AI221" s="81"/>
      <c r="AJ221" s="281"/>
      <c r="AK221" s="81"/>
      <c r="AL221" s="281"/>
      <c r="AM221" s="81"/>
      <c r="AN221" s="281"/>
      <c r="AO221" s="81"/>
      <c r="AP221" s="281"/>
      <c r="AQ221" s="81"/>
      <c r="AR221" s="281"/>
      <c r="AS221" s="81"/>
      <c r="AT221" s="281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2">
        <f t="shared" si="18"/>
        <v>8.5299999999999994</v>
      </c>
      <c r="H222" s="137">
        <f t="shared" si="19"/>
        <v>156.51376146788991</v>
      </c>
      <c r="I222" s="261" t="s">
        <v>722</v>
      </c>
      <c r="J222" s="285">
        <v>0.5</v>
      </c>
      <c r="K222" s="87" t="s">
        <v>723</v>
      </c>
      <c r="L222" s="283">
        <v>1.25</v>
      </c>
      <c r="M222" s="87" t="s">
        <v>724</v>
      </c>
      <c r="N222" s="283">
        <v>1.25</v>
      </c>
      <c r="O222" s="83" t="s">
        <v>725</v>
      </c>
      <c r="P222" s="286">
        <v>5.5</v>
      </c>
      <c r="Q222" s="81" t="s">
        <v>726</v>
      </c>
      <c r="R222" s="326">
        <v>0.03</v>
      </c>
      <c r="S222" s="81"/>
      <c r="T222" s="281"/>
      <c r="U222" s="81"/>
      <c r="V222" s="281"/>
      <c r="W222" s="81"/>
      <c r="X222" s="281"/>
      <c r="Y222" s="81"/>
      <c r="Z222" s="281"/>
      <c r="AA222" s="81"/>
      <c r="AB222" s="281"/>
      <c r="AC222" s="81"/>
      <c r="AD222" s="281"/>
      <c r="AE222" s="81"/>
      <c r="AF222" s="281"/>
      <c r="AG222" s="81"/>
      <c r="AH222" s="281"/>
      <c r="AI222" s="81"/>
      <c r="AJ222" s="281"/>
      <c r="AK222" s="81"/>
      <c r="AL222" s="281"/>
      <c r="AM222" s="81"/>
      <c r="AN222" s="281"/>
      <c r="AO222" s="81"/>
      <c r="AP222" s="281"/>
      <c r="AQ222" s="81"/>
      <c r="AR222" s="281"/>
      <c r="AS222" s="81"/>
      <c r="AT222" s="281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2">
        <f t="shared" si="18"/>
        <v>0</v>
      </c>
      <c r="H223" s="137">
        <f t="shared" si="19"/>
        <v>0</v>
      </c>
      <c r="I223" s="81"/>
      <c r="J223" s="281"/>
      <c r="K223" s="81"/>
      <c r="L223" s="281"/>
      <c r="M223" s="81"/>
      <c r="N223" s="281"/>
      <c r="O223" s="81"/>
      <c r="P223" s="281"/>
      <c r="Q223" s="81"/>
      <c r="R223" s="281"/>
      <c r="S223" s="81"/>
      <c r="T223" s="281"/>
      <c r="U223" s="81"/>
      <c r="V223" s="281"/>
      <c r="W223" s="81"/>
      <c r="X223" s="281"/>
      <c r="Y223" s="81"/>
      <c r="Z223" s="281"/>
      <c r="AA223" s="81"/>
      <c r="AB223" s="281"/>
      <c r="AC223" s="81"/>
      <c r="AD223" s="281"/>
      <c r="AE223" s="81"/>
      <c r="AF223" s="281"/>
      <c r="AG223" s="81"/>
      <c r="AH223" s="281"/>
      <c r="AI223" s="81"/>
      <c r="AJ223" s="281"/>
      <c r="AK223" s="81"/>
      <c r="AL223" s="281"/>
      <c r="AM223" s="81"/>
      <c r="AN223" s="281"/>
      <c r="AO223" s="81"/>
      <c r="AP223" s="281"/>
      <c r="AQ223" s="81"/>
      <c r="AR223" s="281"/>
      <c r="AS223" s="81"/>
      <c r="AT223" s="281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2">
        <f t="shared" si="18"/>
        <v>3</v>
      </c>
      <c r="H224" s="137">
        <f t="shared" si="19"/>
        <v>55.045871559633028</v>
      </c>
      <c r="I224" s="81" t="s">
        <v>727</v>
      </c>
      <c r="J224" s="281">
        <v>3</v>
      </c>
      <c r="K224" s="81"/>
      <c r="L224" s="281"/>
      <c r="M224" s="81"/>
      <c r="N224" s="281"/>
      <c r="O224" s="81"/>
      <c r="P224" s="281"/>
      <c r="Q224" s="81"/>
      <c r="R224" s="281"/>
      <c r="S224" s="81"/>
      <c r="T224" s="281"/>
      <c r="U224" s="81"/>
      <c r="V224" s="281"/>
      <c r="W224" s="81"/>
      <c r="X224" s="281"/>
      <c r="Y224" s="81"/>
      <c r="Z224" s="281"/>
      <c r="AA224" s="81"/>
      <c r="AB224" s="281"/>
      <c r="AC224" s="81"/>
      <c r="AD224" s="281"/>
      <c r="AE224" s="81"/>
      <c r="AF224" s="281"/>
      <c r="AG224" s="81"/>
      <c r="AH224" s="281"/>
      <c r="AI224" s="81"/>
      <c r="AJ224" s="281"/>
      <c r="AK224" s="81"/>
      <c r="AL224" s="281"/>
      <c r="AM224" s="81"/>
      <c r="AN224" s="281"/>
      <c r="AO224" s="81"/>
      <c r="AP224" s="281"/>
      <c r="AQ224" s="81"/>
      <c r="AR224" s="281"/>
      <c r="AS224" s="81"/>
      <c r="AT224" s="281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2">
        <f t="shared" si="18"/>
        <v>3.4</v>
      </c>
      <c r="H225" s="137">
        <f t="shared" si="19"/>
        <v>62.38532110091743</v>
      </c>
      <c r="I225" s="81" t="s">
        <v>728</v>
      </c>
      <c r="J225" s="281">
        <v>2.4</v>
      </c>
      <c r="K225" s="83" t="s">
        <v>729</v>
      </c>
      <c r="L225" s="286">
        <v>1</v>
      </c>
      <c r="M225" s="81"/>
      <c r="N225" s="281"/>
      <c r="O225" s="81"/>
      <c r="P225" s="281"/>
      <c r="Q225" s="81"/>
      <c r="R225" s="281"/>
      <c r="S225" s="81"/>
      <c r="T225" s="281"/>
      <c r="U225" s="81"/>
      <c r="V225" s="281"/>
      <c r="W225" s="81"/>
      <c r="X225" s="281"/>
      <c r="Y225" s="81"/>
      <c r="Z225" s="281"/>
      <c r="AA225" s="81"/>
      <c r="AB225" s="281"/>
      <c r="AC225" s="81"/>
      <c r="AD225" s="281"/>
      <c r="AE225" s="81"/>
      <c r="AF225" s="281"/>
      <c r="AG225" s="81"/>
      <c r="AH225" s="281"/>
      <c r="AI225" s="81"/>
      <c r="AJ225" s="281"/>
      <c r="AK225" s="81"/>
      <c r="AL225" s="281"/>
      <c r="AM225" s="81"/>
      <c r="AN225" s="281"/>
      <c r="AO225" s="81"/>
      <c r="AP225" s="281"/>
      <c r="AQ225" s="81"/>
      <c r="AR225" s="281"/>
      <c r="AS225" s="81"/>
      <c r="AT225" s="281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2">
        <f t="shared" si="18"/>
        <v>3</v>
      </c>
      <c r="H226" s="137">
        <f t="shared" si="19"/>
        <v>55.045871559633028</v>
      </c>
      <c r="I226" s="87" t="s">
        <v>730</v>
      </c>
      <c r="J226" s="283">
        <v>1</v>
      </c>
      <c r="K226" s="85" t="s">
        <v>731</v>
      </c>
      <c r="L226" s="282">
        <v>2</v>
      </c>
      <c r="M226" s="81"/>
      <c r="N226" s="281"/>
      <c r="O226" s="81"/>
      <c r="P226" s="281"/>
      <c r="Q226" s="81"/>
      <c r="R226" s="281"/>
      <c r="S226" s="81"/>
      <c r="T226" s="281"/>
      <c r="U226" s="81"/>
      <c r="V226" s="281"/>
      <c r="W226" s="81"/>
      <c r="X226" s="281"/>
      <c r="Y226" s="81"/>
      <c r="Z226" s="281"/>
      <c r="AA226" s="81"/>
      <c r="AB226" s="281"/>
      <c r="AC226" s="81"/>
      <c r="AD226" s="281"/>
      <c r="AE226" s="81"/>
      <c r="AF226" s="281"/>
      <c r="AG226" s="81"/>
      <c r="AH226" s="281"/>
      <c r="AI226" s="81"/>
      <c r="AJ226" s="281"/>
      <c r="AK226" s="81"/>
      <c r="AL226" s="281"/>
      <c r="AM226" s="81"/>
      <c r="AN226" s="281"/>
      <c r="AO226" s="81"/>
      <c r="AP226" s="281"/>
      <c r="AQ226" s="81"/>
      <c r="AR226" s="281"/>
      <c r="AS226" s="81"/>
      <c r="AT226" s="281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2">
        <f t="shared" si="18"/>
        <v>1.1000000000000001</v>
      </c>
      <c r="H227" s="137">
        <f t="shared" si="19"/>
        <v>20.183486238532112</v>
      </c>
      <c r="I227" s="83" t="s">
        <v>732</v>
      </c>
      <c r="J227" s="286">
        <v>1.1000000000000001</v>
      </c>
      <c r="K227" s="81"/>
      <c r="L227" s="281"/>
      <c r="M227" s="81"/>
      <c r="N227" s="281"/>
      <c r="O227" s="81"/>
      <c r="P227" s="281"/>
      <c r="Q227" s="81"/>
      <c r="R227" s="281"/>
      <c r="S227" s="81"/>
      <c r="T227" s="281"/>
      <c r="U227" s="81"/>
      <c r="V227" s="281"/>
      <c r="W227" s="81"/>
      <c r="X227" s="281"/>
      <c r="Y227" s="81"/>
      <c r="Z227" s="281"/>
      <c r="AA227" s="81"/>
      <c r="AB227" s="281"/>
      <c r="AC227" s="81"/>
      <c r="AD227" s="281"/>
      <c r="AE227" s="81"/>
      <c r="AF227" s="281"/>
      <c r="AG227" s="81"/>
      <c r="AH227" s="281"/>
      <c r="AI227" s="81"/>
      <c r="AJ227" s="281"/>
      <c r="AK227" s="81"/>
      <c r="AL227" s="281"/>
      <c r="AM227" s="81"/>
      <c r="AN227" s="281"/>
      <c r="AO227" s="81"/>
      <c r="AP227" s="281"/>
      <c r="AQ227" s="81"/>
      <c r="AR227" s="281"/>
      <c r="AS227" s="81"/>
      <c r="AT227" s="281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2">
        <f t="shared" si="18"/>
        <v>0</v>
      </c>
      <c r="H228" s="137">
        <f t="shared" si="19"/>
        <v>0</v>
      </c>
      <c r="I228" s="83"/>
      <c r="J228" s="286"/>
      <c r="K228" s="81"/>
      <c r="L228" s="281"/>
      <c r="M228" s="81"/>
      <c r="N228" s="281"/>
      <c r="O228" s="81"/>
      <c r="P228" s="281"/>
      <c r="Q228" s="81"/>
      <c r="R228" s="281"/>
      <c r="S228" s="81"/>
      <c r="T228" s="281"/>
      <c r="U228" s="81"/>
      <c r="V228" s="281"/>
      <c r="W228" s="81"/>
      <c r="X228" s="281"/>
      <c r="Y228" s="81"/>
      <c r="Z228" s="281"/>
      <c r="AA228" s="81"/>
      <c r="AB228" s="281"/>
      <c r="AC228" s="81"/>
      <c r="AD228" s="281"/>
      <c r="AE228" s="81"/>
      <c r="AF228" s="281"/>
      <c r="AG228" s="81"/>
      <c r="AH228" s="281"/>
      <c r="AI228" s="81"/>
      <c r="AJ228" s="281"/>
      <c r="AK228" s="81"/>
      <c r="AL228" s="281"/>
      <c r="AM228" s="81"/>
      <c r="AN228" s="281"/>
      <c r="AO228" s="81"/>
      <c r="AP228" s="281"/>
      <c r="AQ228" s="81"/>
      <c r="AR228" s="281"/>
      <c r="AS228" s="81"/>
      <c r="AT228" s="281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2">
        <f t="shared" si="18"/>
        <v>0</v>
      </c>
      <c r="H229" s="137">
        <f t="shared" si="19"/>
        <v>0</v>
      </c>
      <c r="I229" s="81"/>
      <c r="J229" s="281"/>
      <c r="K229" s="81"/>
      <c r="L229" s="281"/>
      <c r="M229" s="81"/>
      <c r="N229" s="281"/>
      <c r="O229" s="81"/>
      <c r="P229" s="281"/>
      <c r="Q229" s="81"/>
      <c r="R229" s="281"/>
      <c r="S229" s="81"/>
      <c r="T229" s="281"/>
      <c r="U229" s="81"/>
      <c r="V229" s="281"/>
      <c r="W229" s="81"/>
      <c r="X229" s="281"/>
      <c r="Y229" s="81"/>
      <c r="Z229" s="281"/>
      <c r="AA229" s="81"/>
      <c r="AB229" s="281"/>
      <c r="AC229" s="81"/>
      <c r="AD229" s="281"/>
      <c r="AE229" s="81"/>
      <c r="AF229" s="281"/>
      <c r="AG229" s="81"/>
      <c r="AH229" s="281"/>
      <c r="AI229" s="81"/>
      <c r="AJ229" s="281"/>
      <c r="AK229" s="81"/>
      <c r="AL229" s="281"/>
      <c r="AM229" s="81"/>
      <c r="AN229" s="281"/>
      <c r="AO229" s="81"/>
      <c r="AP229" s="281"/>
      <c r="AQ229" s="81"/>
      <c r="AR229" s="281"/>
      <c r="AS229" s="81"/>
      <c r="AT229" s="281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2">
        <f t="shared" si="18"/>
        <v>0</v>
      </c>
      <c r="H230" s="137">
        <f t="shared" si="19"/>
        <v>0</v>
      </c>
      <c r="I230" s="81"/>
      <c r="J230" s="281"/>
      <c r="K230" s="81"/>
      <c r="L230" s="281"/>
      <c r="M230" s="81"/>
      <c r="N230" s="281"/>
      <c r="O230" s="81"/>
      <c r="P230" s="281"/>
      <c r="Q230" s="81"/>
      <c r="R230" s="281"/>
      <c r="S230" s="81"/>
      <c r="T230" s="281"/>
      <c r="U230" s="81"/>
      <c r="V230" s="281"/>
      <c r="W230" s="81"/>
      <c r="X230" s="281"/>
      <c r="Y230" s="81"/>
      <c r="Z230" s="281"/>
      <c r="AA230" s="81"/>
      <c r="AB230" s="281"/>
      <c r="AC230" s="81"/>
      <c r="AD230" s="281"/>
      <c r="AE230" s="81"/>
      <c r="AF230" s="281"/>
      <c r="AG230" s="81"/>
      <c r="AH230" s="281"/>
      <c r="AI230" s="81"/>
      <c r="AJ230" s="281"/>
      <c r="AK230" s="81"/>
      <c r="AL230" s="281"/>
      <c r="AM230" s="81"/>
      <c r="AN230" s="281"/>
      <c r="AO230" s="81"/>
      <c r="AP230" s="281"/>
      <c r="AQ230" s="81"/>
      <c r="AR230" s="281"/>
      <c r="AS230" s="81"/>
      <c r="AT230" s="281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2">
        <f t="shared" si="18"/>
        <v>0</v>
      </c>
      <c r="H231" s="137">
        <f t="shared" si="19"/>
        <v>0</v>
      </c>
      <c r="I231" s="81"/>
      <c r="J231" s="281"/>
      <c r="K231" s="81"/>
      <c r="L231" s="281"/>
      <c r="M231" s="81"/>
      <c r="N231" s="281"/>
      <c r="O231" s="81"/>
      <c r="P231" s="281"/>
      <c r="Q231" s="81"/>
      <c r="R231" s="281"/>
      <c r="S231" s="81"/>
      <c r="T231" s="281"/>
      <c r="U231" s="81"/>
      <c r="V231" s="281"/>
      <c r="W231" s="81"/>
      <c r="X231" s="281"/>
      <c r="Y231" s="81"/>
      <c r="Z231" s="281"/>
      <c r="AA231" s="81"/>
      <c r="AB231" s="281"/>
      <c r="AC231" s="81"/>
      <c r="AD231" s="281"/>
      <c r="AE231" s="81"/>
      <c r="AF231" s="281"/>
      <c r="AG231" s="81"/>
      <c r="AH231" s="281"/>
      <c r="AI231" s="81"/>
      <c r="AJ231" s="281"/>
      <c r="AK231" s="81"/>
      <c r="AL231" s="281"/>
      <c r="AM231" s="81"/>
      <c r="AN231" s="281"/>
      <c r="AO231" s="81"/>
      <c r="AP231" s="281"/>
      <c r="AQ231" s="81"/>
      <c r="AR231" s="281"/>
      <c r="AS231" s="81"/>
      <c r="AT231" s="281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2">
        <f t="shared" si="18"/>
        <v>8.2050000000000001</v>
      </c>
      <c r="H232" s="137">
        <f t="shared" si="19"/>
        <v>150.55045871559633</v>
      </c>
      <c r="I232" s="81" t="s">
        <v>733</v>
      </c>
      <c r="J232" s="281">
        <v>0.9</v>
      </c>
      <c r="K232" s="81" t="s">
        <v>734</v>
      </c>
      <c r="L232" s="281">
        <v>1.855</v>
      </c>
      <c r="M232" s="81" t="s">
        <v>735</v>
      </c>
      <c r="N232" s="281">
        <v>1.45</v>
      </c>
      <c r="O232" s="81" t="s">
        <v>736</v>
      </c>
      <c r="P232" s="281">
        <v>1.9</v>
      </c>
      <c r="Q232" s="87" t="s">
        <v>737</v>
      </c>
      <c r="R232" s="283">
        <v>2.1</v>
      </c>
      <c r="S232" s="83"/>
      <c r="T232" s="286"/>
      <c r="U232" s="81"/>
      <c r="V232" s="281"/>
      <c r="W232" s="81"/>
      <c r="X232" s="281"/>
      <c r="Y232" s="81"/>
      <c r="Z232" s="281"/>
      <c r="AA232" s="81"/>
      <c r="AB232" s="281"/>
      <c r="AC232" s="81"/>
      <c r="AD232" s="281"/>
      <c r="AE232" s="81"/>
      <c r="AF232" s="281"/>
      <c r="AG232" s="81"/>
      <c r="AH232" s="281"/>
      <c r="AI232" s="81"/>
      <c r="AJ232" s="281"/>
      <c r="AK232" s="81"/>
      <c r="AL232" s="281"/>
      <c r="AM232" s="81"/>
      <c r="AN232" s="281"/>
      <c r="AO232" s="81"/>
      <c r="AP232" s="281"/>
      <c r="AQ232" s="81"/>
      <c r="AR232" s="281"/>
      <c r="AS232" s="81"/>
      <c r="AT232" s="281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2">
        <f t="shared" si="18"/>
        <v>8.2050000000000001</v>
      </c>
      <c r="H233" s="137">
        <f t="shared" si="19"/>
        <v>150.55045871559633</v>
      </c>
      <c r="I233" s="81" t="s">
        <v>733</v>
      </c>
      <c r="J233" s="281">
        <v>0.9</v>
      </c>
      <c r="K233" s="81" t="s">
        <v>734</v>
      </c>
      <c r="L233" s="281">
        <v>1.855</v>
      </c>
      <c r="M233" s="81" t="s">
        <v>735</v>
      </c>
      <c r="N233" s="281">
        <v>1.45</v>
      </c>
      <c r="O233" s="81" t="s">
        <v>736</v>
      </c>
      <c r="P233" s="281">
        <v>1.9</v>
      </c>
      <c r="Q233" s="87" t="s">
        <v>737</v>
      </c>
      <c r="R233" s="283">
        <v>2.1</v>
      </c>
      <c r="S233" s="83"/>
      <c r="T233" s="286"/>
      <c r="U233" s="81"/>
      <c r="V233" s="281"/>
      <c r="W233" s="81"/>
      <c r="X233" s="281"/>
      <c r="Y233" s="81"/>
      <c r="Z233" s="281"/>
      <c r="AA233" s="81"/>
      <c r="AB233" s="281"/>
      <c r="AC233" s="81"/>
      <c r="AD233" s="281"/>
      <c r="AE233" s="81"/>
      <c r="AF233" s="281"/>
      <c r="AG233" s="81"/>
      <c r="AH233" s="281"/>
      <c r="AI233" s="81"/>
      <c r="AJ233" s="281"/>
      <c r="AK233" s="81"/>
      <c r="AL233" s="281"/>
      <c r="AM233" s="81"/>
      <c r="AN233" s="281"/>
      <c r="AO233" s="81"/>
      <c r="AP233" s="281"/>
      <c r="AQ233" s="81"/>
      <c r="AR233" s="281"/>
      <c r="AS233" s="81"/>
      <c r="AT233" s="281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2">
        <f t="shared" si="18"/>
        <v>0</v>
      </c>
      <c r="H234" s="137">
        <f t="shared" si="19"/>
        <v>0</v>
      </c>
      <c r="I234" s="81"/>
      <c r="J234" s="281"/>
      <c r="K234" s="81"/>
      <c r="L234" s="281"/>
      <c r="M234" s="81"/>
      <c r="N234" s="281"/>
      <c r="O234" s="81"/>
      <c r="P234" s="281"/>
      <c r="Q234" s="81"/>
      <c r="R234" s="281"/>
      <c r="S234" s="81"/>
      <c r="T234" s="281"/>
      <c r="U234" s="81"/>
      <c r="V234" s="281"/>
      <c r="W234" s="81"/>
      <c r="X234" s="281"/>
      <c r="Y234" s="81"/>
      <c r="Z234" s="281"/>
      <c r="AA234" s="81"/>
      <c r="AB234" s="281"/>
      <c r="AC234" s="81"/>
      <c r="AD234" s="281"/>
      <c r="AE234" s="81"/>
      <c r="AF234" s="281"/>
      <c r="AG234" s="81"/>
      <c r="AH234" s="281"/>
      <c r="AI234" s="81"/>
      <c r="AJ234" s="281"/>
      <c r="AK234" s="81"/>
      <c r="AL234" s="281"/>
      <c r="AM234" s="81"/>
      <c r="AN234" s="281"/>
      <c r="AO234" s="81"/>
      <c r="AP234" s="281"/>
      <c r="AQ234" s="81"/>
      <c r="AR234" s="281"/>
      <c r="AS234" s="81"/>
      <c r="AT234" s="281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2">
        <f t="shared" si="18"/>
        <v>7.5</v>
      </c>
      <c r="H235" s="137">
        <f t="shared" si="19"/>
        <v>137.61467889908258</v>
      </c>
      <c r="I235" s="81" t="s">
        <v>738</v>
      </c>
      <c r="J235" s="281">
        <v>5.8</v>
      </c>
      <c r="K235" s="85" t="s">
        <v>739</v>
      </c>
      <c r="L235" s="282">
        <v>1.7</v>
      </c>
      <c r="M235" s="81"/>
      <c r="N235" s="281"/>
      <c r="O235" s="81"/>
      <c r="P235" s="281"/>
      <c r="Q235" s="81"/>
      <c r="R235" s="281"/>
      <c r="S235" s="81"/>
      <c r="T235" s="281"/>
      <c r="U235" s="81"/>
      <c r="V235" s="281"/>
      <c r="W235" s="81"/>
      <c r="X235" s="281"/>
      <c r="Y235" s="81"/>
      <c r="Z235" s="281"/>
      <c r="AA235" s="81"/>
      <c r="AB235" s="281"/>
      <c r="AC235" s="81"/>
      <c r="AD235" s="281"/>
      <c r="AE235" s="81"/>
      <c r="AF235" s="281"/>
      <c r="AG235" s="81"/>
      <c r="AH235" s="281"/>
      <c r="AI235" s="81"/>
      <c r="AJ235" s="281"/>
      <c r="AK235" s="81"/>
      <c r="AL235" s="281"/>
      <c r="AM235" s="81"/>
      <c r="AN235" s="281"/>
      <c r="AO235" s="81"/>
      <c r="AP235" s="281"/>
      <c r="AQ235" s="81"/>
      <c r="AR235" s="281"/>
      <c r="AS235" s="81"/>
      <c r="AT235" s="281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2">
        <f t="shared" si="18"/>
        <v>7.6000000000000005</v>
      </c>
      <c r="H236" s="137">
        <f t="shared" si="19"/>
        <v>139.44954128440369</v>
      </c>
      <c r="I236" s="81" t="s">
        <v>738</v>
      </c>
      <c r="J236" s="281">
        <v>5.9</v>
      </c>
      <c r="K236" s="85" t="s">
        <v>739</v>
      </c>
      <c r="L236" s="282">
        <v>1.7</v>
      </c>
      <c r="M236" s="81"/>
      <c r="N236" s="281"/>
      <c r="O236" s="81"/>
      <c r="P236" s="281"/>
      <c r="Q236" s="81"/>
      <c r="R236" s="281"/>
      <c r="S236" s="81"/>
      <c r="T236" s="281"/>
      <c r="U236" s="81"/>
      <c r="V236" s="281"/>
      <c r="W236" s="81"/>
      <c r="X236" s="281"/>
      <c r="Y236" s="81"/>
      <c r="Z236" s="281"/>
      <c r="AA236" s="81"/>
      <c r="AB236" s="281"/>
      <c r="AC236" s="81"/>
      <c r="AD236" s="281"/>
      <c r="AE236" s="81"/>
      <c r="AF236" s="281"/>
      <c r="AG236" s="81"/>
      <c r="AH236" s="281"/>
      <c r="AI236" s="81"/>
      <c r="AJ236" s="281"/>
      <c r="AK236" s="81"/>
      <c r="AL236" s="281"/>
      <c r="AM236" s="81"/>
      <c r="AN236" s="281"/>
      <c r="AO236" s="81"/>
      <c r="AP236" s="281"/>
      <c r="AQ236" s="81"/>
      <c r="AR236" s="281"/>
      <c r="AS236" s="81"/>
      <c r="AT236" s="281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2">
        <f t="shared" si="18"/>
        <v>0</v>
      </c>
      <c r="H237" s="137">
        <f t="shared" si="19"/>
        <v>0</v>
      </c>
      <c r="I237" s="81"/>
      <c r="J237" s="281"/>
      <c r="K237" s="81"/>
      <c r="L237" s="281"/>
      <c r="M237" s="81"/>
      <c r="N237" s="281"/>
      <c r="O237" s="81"/>
      <c r="P237" s="281"/>
      <c r="Q237" s="81"/>
      <c r="R237" s="281"/>
      <c r="S237" s="81"/>
      <c r="T237" s="281"/>
      <c r="U237" s="81"/>
      <c r="V237" s="281"/>
      <c r="W237" s="81"/>
      <c r="X237" s="281"/>
      <c r="Y237" s="81"/>
      <c r="Z237" s="281"/>
      <c r="AA237" s="81"/>
      <c r="AB237" s="281"/>
      <c r="AC237" s="81"/>
      <c r="AD237" s="281"/>
      <c r="AE237" s="81"/>
      <c r="AF237" s="281"/>
      <c r="AG237" s="81"/>
      <c r="AH237" s="281"/>
      <c r="AI237" s="81"/>
      <c r="AJ237" s="281"/>
      <c r="AK237" s="81"/>
      <c r="AL237" s="281"/>
      <c r="AM237" s="81"/>
      <c r="AN237" s="281"/>
      <c r="AO237" s="81"/>
      <c r="AP237" s="281"/>
      <c r="AQ237" s="81"/>
      <c r="AR237" s="281"/>
      <c r="AS237" s="81"/>
      <c r="AT237" s="281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2">
        <f t="shared" si="18"/>
        <v>7.4</v>
      </c>
      <c r="H238" s="137">
        <f t="shared" si="19"/>
        <v>135.77981651376146</v>
      </c>
      <c r="I238" s="81" t="s">
        <v>740</v>
      </c>
      <c r="J238" s="281">
        <v>2.4</v>
      </c>
      <c r="K238" s="87" t="s">
        <v>741</v>
      </c>
      <c r="L238" s="283">
        <v>2</v>
      </c>
      <c r="M238" s="264" t="s">
        <v>742</v>
      </c>
      <c r="N238" s="285">
        <v>2</v>
      </c>
      <c r="O238" s="87" t="s">
        <v>743</v>
      </c>
      <c r="P238" s="283">
        <v>1</v>
      </c>
      <c r="Q238" s="83"/>
      <c r="R238" s="286"/>
      <c r="S238" s="81"/>
      <c r="T238" s="281"/>
      <c r="U238" s="81"/>
      <c r="V238" s="281"/>
      <c r="W238" s="81"/>
      <c r="X238" s="281"/>
      <c r="Y238" s="81"/>
      <c r="Z238" s="281"/>
      <c r="AA238" s="81"/>
      <c r="AB238" s="281"/>
      <c r="AC238" s="81"/>
      <c r="AD238" s="281"/>
      <c r="AE238" s="81"/>
      <c r="AF238" s="281"/>
      <c r="AG238" s="81"/>
      <c r="AH238" s="281"/>
      <c r="AI238" s="81"/>
      <c r="AJ238" s="281"/>
      <c r="AK238" s="81"/>
      <c r="AL238" s="281"/>
      <c r="AM238" s="81"/>
      <c r="AN238" s="281"/>
      <c r="AO238" s="81"/>
      <c r="AP238" s="281"/>
      <c r="AQ238" s="81"/>
      <c r="AR238" s="281"/>
      <c r="AS238" s="81"/>
      <c r="AT238" s="281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2">
        <f t="shared" si="18"/>
        <v>0</v>
      </c>
      <c r="H239" s="137">
        <f t="shared" si="19"/>
        <v>0</v>
      </c>
      <c r="I239" s="81"/>
      <c r="J239" s="281"/>
      <c r="K239" s="81"/>
      <c r="L239" s="281"/>
      <c r="M239" s="81"/>
      <c r="N239" s="281"/>
      <c r="O239" s="81"/>
      <c r="P239" s="281"/>
      <c r="Q239" s="81"/>
      <c r="R239" s="281"/>
      <c r="S239" s="81"/>
      <c r="T239" s="281"/>
      <c r="U239" s="81"/>
      <c r="V239" s="281"/>
      <c r="W239" s="81"/>
      <c r="X239" s="281"/>
      <c r="Y239" s="81"/>
      <c r="Z239" s="281"/>
      <c r="AA239" s="81"/>
      <c r="AB239" s="281"/>
      <c r="AC239" s="81"/>
      <c r="AD239" s="281"/>
      <c r="AE239" s="81"/>
      <c r="AF239" s="281"/>
      <c r="AG239" s="81"/>
      <c r="AH239" s="281"/>
      <c r="AI239" s="81"/>
      <c r="AJ239" s="281"/>
      <c r="AK239" s="81"/>
      <c r="AL239" s="281"/>
      <c r="AM239" s="81"/>
      <c r="AN239" s="281"/>
      <c r="AO239" s="81"/>
      <c r="AP239" s="281"/>
      <c r="AQ239" s="81"/>
      <c r="AR239" s="281"/>
      <c r="AS239" s="81"/>
      <c r="AT239" s="281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2">
        <f t="shared" si="18"/>
        <v>9.1549999999999994</v>
      </c>
      <c r="H240" s="137">
        <f t="shared" si="19"/>
        <v>167.9816513761468</v>
      </c>
      <c r="I240" s="81" t="s">
        <v>744</v>
      </c>
      <c r="J240" s="281">
        <v>0.9</v>
      </c>
      <c r="K240" s="85" t="s">
        <v>745</v>
      </c>
      <c r="L240" s="281">
        <v>1.25</v>
      </c>
      <c r="M240" s="81" t="s">
        <v>746</v>
      </c>
      <c r="N240" s="281">
        <v>1.55</v>
      </c>
      <c r="O240" s="81" t="s">
        <v>747</v>
      </c>
      <c r="P240" s="281">
        <v>0.95</v>
      </c>
      <c r="Q240" s="81" t="s">
        <v>748</v>
      </c>
      <c r="R240" s="281">
        <v>0.3</v>
      </c>
      <c r="S240" s="89" t="s">
        <v>749</v>
      </c>
      <c r="T240" s="284">
        <v>0.67500000000000004</v>
      </c>
      <c r="U240" s="85" t="s">
        <v>750</v>
      </c>
      <c r="V240" s="282">
        <v>1.5</v>
      </c>
      <c r="W240" s="85" t="s">
        <v>751</v>
      </c>
      <c r="X240" s="282">
        <v>1.05</v>
      </c>
      <c r="Y240" s="85" t="s">
        <v>752</v>
      </c>
      <c r="Z240" s="281">
        <v>0.95</v>
      </c>
      <c r="AA240" s="83" t="s">
        <v>753</v>
      </c>
      <c r="AB240" s="324">
        <v>0.03</v>
      </c>
      <c r="AC240" s="81"/>
      <c r="AD240" s="281"/>
      <c r="AE240" s="81"/>
      <c r="AF240" s="281"/>
      <c r="AG240" s="81"/>
      <c r="AH240" s="281"/>
      <c r="AI240" s="81"/>
      <c r="AJ240" s="281"/>
      <c r="AK240" s="81"/>
      <c r="AL240" s="281"/>
      <c r="AM240" s="81"/>
      <c r="AN240" s="281"/>
      <c r="AO240" s="81"/>
      <c r="AP240" s="281"/>
      <c r="AQ240" s="81"/>
      <c r="AR240" s="281"/>
      <c r="AS240" s="81"/>
      <c r="AT240" s="281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2">
        <f t="shared" si="18"/>
        <v>10.055</v>
      </c>
      <c r="H241" s="137">
        <f t="shared" si="19"/>
        <v>184.49541284403671</v>
      </c>
      <c r="I241" s="89" t="s">
        <v>744</v>
      </c>
      <c r="J241" s="284">
        <v>1.5</v>
      </c>
      <c r="K241" s="85" t="s">
        <v>745</v>
      </c>
      <c r="L241" s="281">
        <v>1.25</v>
      </c>
      <c r="M241" s="81" t="s">
        <v>746</v>
      </c>
      <c r="N241" s="281">
        <v>1.65</v>
      </c>
      <c r="O241" s="81" t="s">
        <v>747</v>
      </c>
      <c r="P241" s="281">
        <v>0.95</v>
      </c>
      <c r="Q241" s="81" t="s">
        <v>748</v>
      </c>
      <c r="R241" s="281">
        <v>0.5</v>
      </c>
      <c r="S241" s="89" t="s">
        <v>749</v>
      </c>
      <c r="T241" s="284">
        <v>0.67500000000000004</v>
      </c>
      <c r="U241" s="85" t="s">
        <v>750</v>
      </c>
      <c r="V241" s="282">
        <v>1.5</v>
      </c>
      <c r="W241" s="85" t="s">
        <v>751</v>
      </c>
      <c r="X241" s="282">
        <v>1.05</v>
      </c>
      <c r="Y241" s="85" t="s">
        <v>752</v>
      </c>
      <c r="Z241" s="281">
        <v>0.95</v>
      </c>
      <c r="AA241" s="83" t="s">
        <v>753</v>
      </c>
      <c r="AB241" s="324">
        <v>0.03</v>
      </c>
      <c r="AC241" s="81"/>
      <c r="AD241" s="281"/>
      <c r="AE241" s="81"/>
      <c r="AF241" s="281"/>
      <c r="AG241" s="81"/>
      <c r="AH241" s="281"/>
      <c r="AI241" s="81"/>
      <c r="AJ241" s="281"/>
      <c r="AK241" s="81"/>
      <c r="AL241" s="281"/>
      <c r="AM241" s="81"/>
      <c r="AN241" s="281"/>
      <c r="AO241" s="81"/>
      <c r="AP241" s="281"/>
      <c r="AQ241" s="81"/>
      <c r="AR241" s="281"/>
      <c r="AS241" s="81"/>
      <c r="AT241" s="281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2">
        <f t="shared" si="18"/>
        <v>11.83</v>
      </c>
      <c r="H242" s="137">
        <f t="shared" si="19"/>
        <v>217.06422018348624</v>
      </c>
      <c r="I242" s="87" t="s">
        <v>754</v>
      </c>
      <c r="J242" s="283">
        <v>2</v>
      </c>
      <c r="K242" s="87" t="s">
        <v>755</v>
      </c>
      <c r="L242" s="283">
        <v>2</v>
      </c>
      <c r="M242" s="261" t="s">
        <v>756</v>
      </c>
      <c r="N242" s="285">
        <v>2.73</v>
      </c>
      <c r="O242" s="101" t="s">
        <v>757</v>
      </c>
      <c r="P242" s="291">
        <v>3</v>
      </c>
      <c r="Q242" s="101" t="s">
        <v>758</v>
      </c>
      <c r="R242" s="291">
        <v>2.1</v>
      </c>
      <c r="S242" s="89"/>
      <c r="T242" s="284"/>
      <c r="U242" s="81"/>
      <c r="V242" s="281"/>
      <c r="W242" s="81"/>
      <c r="X242" s="281"/>
      <c r="Y242" s="81"/>
      <c r="Z242" s="281"/>
      <c r="AA242" s="81"/>
      <c r="AB242" s="281"/>
      <c r="AC242" s="81"/>
      <c r="AD242" s="281"/>
      <c r="AE242" s="81"/>
      <c r="AF242" s="281"/>
      <c r="AG242" s="81"/>
      <c r="AH242" s="281"/>
      <c r="AI242" s="81"/>
      <c r="AJ242" s="281"/>
      <c r="AK242" s="81"/>
      <c r="AL242" s="281"/>
      <c r="AM242" s="81"/>
      <c r="AN242" s="281"/>
      <c r="AO242" s="81"/>
      <c r="AP242" s="281"/>
      <c r="AQ242" s="81"/>
      <c r="AR242" s="281"/>
      <c r="AS242" s="81"/>
      <c r="AT242" s="281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2">
        <f t="shared" si="18"/>
        <v>11.83</v>
      </c>
      <c r="H243" s="137">
        <f t="shared" si="19"/>
        <v>217.06422018348624</v>
      </c>
      <c r="I243" s="87" t="s">
        <v>754</v>
      </c>
      <c r="J243" s="283">
        <v>2</v>
      </c>
      <c r="K243" s="87" t="s">
        <v>755</v>
      </c>
      <c r="L243" s="283">
        <v>2</v>
      </c>
      <c r="M243" s="261" t="s">
        <v>756</v>
      </c>
      <c r="N243" s="285">
        <v>2.73</v>
      </c>
      <c r="O243" s="101" t="s">
        <v>757</v>
      </c>
      <c r="P243" s="291">
        <v>3</v>
      </c>
      <c r="Q243" s="101" t="s">
        <v>758</v>
      </c>
      <c r="R243" s="291">
        <v>2.1</v>
      </c>
      <c r="S243" s="81"/>
      <c r="T243" s="281"/>
      <c r="U243" s="81"/>
      <c r="V243" s="281"/>
      <c r="W243" s="81"/>
      <c r="X243" s="281"/>
      <c r="Y243" s="81"/>
      <c r="Z243" s="281"/>
      <c r="AA243" s="81"/>
      <c r="AB243" s="281"/>
      <c r="AC243" s="81"/>
      <c r="AD243" s="281"/>
      <c r="AE243" s="81"/>
      <c r="AF243" s="281"/>
      <c r="AG243" s="81"/>
      <c r="AH243" s="281"/>
      <c r="AI243" s="81"/>
      <c r="AJ243" s="281"/>
      <c r="AK243" s="81"/>
      <c r="AL243" s="281"/>
      <c r="AM243" s="81"/>
      <c r="AN243" s="281"/>
      <c r="AO243" s="81"/>
      <c r="AP243" s="281"/>
      <c r="AQ243" s="81"/>
      <c r="AR243" s="281"/>
      <c r="AS243" s="81"/>
      <c r="AT243" s="281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2">
        <f t="shared" si="18"/>
        <v>0</v>
      </c>
      <c r="H244" s="137">
        <f t="shared" si="19"/>
        <v>0</v>
      </c>
      <c r="I244" s="81"/>
      <c r="J244" s="281"/>
      <c r="K244" s="81"/>
      <c r="L244" s="281"/>
      <c r="M244" s="81"/>
      <c r="N244" s="281"/>
      <c r="O244" s="81"/>
      <c r="P244" s="281"/>
      <c r="Q244" s="81"/>
      <c r="R244" s="281"/>
      <c r="S244" s="81"/>
      <c r="T244" s="281"/>
      <c r="U244" s="81"/>
      <c r="V244" s="281"/>
      <c r="W244" s="81"/>
      <c r="X244" s="281"/>
      <c r="Y244" s="81"/>
      <c r="Z244" s="281"/>
      <c r="AA244" s="81"/>
      <c r="AB244" s="281"/>
      <c r="AC244" s="81"/>
      <c r="AD244" s="281"/>
      <c r="AE244" s="81"/>
      <c r="AF244" s="281"/>
      <c r="AG244" s="81"/>
      <c r="AH244" s="281"/>
      <c r="AI244" s="81"/>
      <c r="AJ244" s="281"/>
      <c r="AK244" s="81"/>
      <c r="AL244" s="281"/>
      <c r="AM244" s="81"/>
      <c r="AN244" s="281"/>
      <c r="AO244" s="81"/>
      <c r="AP244" s="281"/>
      <c r="AQ244" s="81"/>
      <c r="AR244" s="281"/>
      <c r="AS244" s="81"/>
      <c r="AT244" s="281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2">
        <f t="shared" si="18"/>
        <v>1.5</v>
      </c>
      <c r="H245" s="137">
        <f t="shared" si="19"/>
        <v>27.522935779816514</v>
      </c>
      <c r="I245" s="83" t="s">
        <v>759</v>
      </c>
      <c r="J245" s="286">
        <v>1.5</v>
      </c>
      <c r="K245" s="81"/>
      <c r="L245" s="281"/>
      <c r="M245" s="81"/>
      <c r="N245" s="281"/>
      <c r="O245" s="81"/>
      <c r="P245" s="281"/>
      <c r="Q245" s="81"/>
      <c r="R245" s="281"/>
      <c r="S245" s="81"/>
      <c r="T245" s="281"/>
      <c r="U245" s="81"/>
      <c r="V245" s="281"/>
      <c r="W245" s="81"/>
      <c r="X245" s="281"/>
      <c r="Y245" s="81"/>
      <c r="Z245" s="281"/>
      <c r="AA245" s="81"/>
      <c r="AB245" s="281"/>
      <c r="AC245" s="81"/>
      <c r="AD245" s="281"/>
      <c r="AE245" s="81"/>
      <c r="AF245" s="281"/>
      <c r="AG245" s="81"/>
      <c r="AH245" s="281"/>
      <c r="AI245" s="81"/>
      <c r="AJ245" s="281"/>
      <c r="AK245" s="81"/>
      <c r="AL245" s="281"/>
      <c r="AM245" s="81"/>
      <c r="AN245" s="281"/>
      <c r="AO245" s="81"/>
      <c r="AP245" s="281"/>
      <c r="AQ245" s="81"/>
      <c r="AR245" s="281"/>
      <c r="AS245" s="81"/>
      <c r="AT245" s="281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2">
        <f t="shared" si="18"/>
        <v>0</v>
      </c>
      <c r="H246" s="137">
        <f t="shared" si="19"/>
        <v>0</v>
      </c>
      <c r="I246" s="81"/>
      <c r="J246" s="281"/>
      <c r="K246" s="81"/>
      <c r="L246" s="281"/>
      <c r="M246" s="81"/>
      <c r="N246" s="281"/>
      <c r="O246" s="81"/>
      <c r="P246" s="281"/>
      <c r="Q246" s="81"/>
      <c r="R246" s="281"/>
      <c r="S246" s="81"/>
      <c r="T246" s="281"/>
      <c r="U246" s="81"/>
      <c r="V246" s="281"/>
      <c r="W246" s="81"/>
      <c r="X246" s="281"/>
      <c r="Y246" s="81"/>
      <c r="Z246" s="281"/>
      <c r="AA246" s="81"/>
      <c r="AB246" s="281"/>
      <c r="AC246" s="81"/>
      <c r="AD246" s="281"/>
      <c r="AE246" s="81"/>
      <c r="AF246" s="281"/>
      <c r="AG246" s="81"/>
      <c r="AH246" s="281"/>
      <c r="AI246" s="81"/>
      <c r="AJ246" s="281"/>
      <c r="AK246" s="81"/>
      <c r="AL246" s="281"/>
      <c r="AM246" s="81"/>
      <c r="AN246" s="281"/>
      <c r="AO246" s="81"/>
      <c r="AP246" s="281"/>
      <c r="AQ246" s="81"/>
      <c r="AR246" s="281"/>
      <c r="AS246" s="81"/>
      <c r="AT246" s="281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2">
        <f t="shared" si="18"/>
        <v>1</v>
      </c>
      <c r="H247" s="137">
        <f t="shared" si="19"/>
        <v>18.348623853211009</v>
      </c>
      <c r="I247" s="261" t="s">
        <v>760</v>
      </c>
      <c r="J247" s="285">
        <v>1</v>
      </c>
      <c r="K247" s="81"/>
      <c r="L247" s="281"/>
      <c r="M247" s="81"/>
      <c r="N247" s="281"/>
      <c r="O247" s="81"/>
      <c r="P247" s="281"/>
      <c r="Q247" s="81"/>
      <c r="R247" s="281"/>
      <c r="S247" s="81"/>
      <c r="T247" s="281"/>
      <c r="U247" s="81"/>
      <c r="V247" s="281"/>
      <c r="W247" s="81"/>
      <c r="X247" s="281"/>
      <c r="Y247" s="81"/>
      <c r="Z247" s="281"/>
      <c r="AA247" s="81"/>
      <c r="AB247" s="281"/>
      <c r="AC247" s="81"/>
      <c r="AD247" s="281"/>
      <c r="AE247" s="81"/>
      <c r="AF247" s="281"/>
      <c r="AG247" s="81"/>
      <c r="AH247" s="281"/>
      <c r="AI247" s="81"/>
      <c r="AJ247" s="281"/>
      <c r="AK247" s="81"/>
      <c r="AL247" s="281"/>
      <c r="AM247" s="81"/>
      <c r="AN247" s="281"/>
      <c r="AO247" s="81"/>
      <c r="AP247" s="281"/>
      <c r="AQ247" s="81"/>
      <c r="AR247" s="281"/>
      <c r="AS247" s="81"/>
      <c r="AT247" s="281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2">
        <f t="shared" si="18"/>
        <v>2.4</v>
      </c>
      <c r="H248" s="137">
        <f t="shared" si="19"/>
        <v>44.036697247706421</v>
      </c>
      <c r="I248" s="81" t="s">
        <v>761</v>
      </c>
      <c r="J248" s="281">
        <v>2.4</v>
      </c>
      <c r="K248" s="81"/>
      <c r="L248" s="281"/>
      <c r="M248" s="81"/>
      <c r="N248" s="281"/>
      <c r="O248" s="81"/>
      <c r="P248" s="281"/>
      <c r="Q248" s="81"/>
      <c r="R248" s="281"/>
      <c r="S248" s="81"/>
      <c r="T248" s="281"/>
      <c r="U248" s="81"/>
      <c r="V248" s="281"/>
      <c r="W248" s="81"/>
      <c r="X248" s="281"/>
      <c r="Y248" s="81"/>
      <c r="Z248" s="281"/>
      <c r="AA248" s="81"/>
      <c r="AB248" s="281"/>
      <c r="AC248" s="81"/>
      <c r="AD248" s="281"/>
      <c r="AE248" s="81"/>
      <c r="AF248" s="281"/>
      <c r="AG248" s="81"/>
      <c r="AH248" s="281"/>
      <c r="AI248" s="81"/>
      <c r="AJ248" s="281"/>
      <c r="AK248" s="81"/>
      <c r="AL248" s="281"/>
      <c r="AM248" s="81"/>
      <c r="AN248" s="281"/>
      <c r="AO248" s="81"/>
      <c r="AP248" s="281"/>
      <c r="AQ248" s="81"/>
      <c r="AR248" s="281"/>
      <c r="AS248" s="81"/>
      <c r="AT248" s="281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2">
        <f t="shared" si="18"/>
        <v>0.5</v>
      </c>
      <c r="H249" s="137">
        <f t="shared" si="19"/>
        <v>9.1743119266055047</v>
      </c>
      <c r="I249" s="87" t="s">
        <v>762</v>
      </c>
      <c r="J249" s="283">
        <v>0.5</v>
      </c>
      <c r="K249" s="87"/>
      <c r="L249" s="283"/>
      <c r="M249" s="81"/>
      <c r="N249" s="281"/>
      <c r="O249" s="81"/>
      <c r="P249" s="281"/>
      <c r="Q249" s="81"/>
      <c r="R249" s="281"/>
      <c r="S249" s="81"/>
      <c r="T249" s="281"/>
      <c r="U249" s="81"/>
      <c r="V249" s="281"/>
      <c r="W249" s="81"/>
      <c r="X249" s="281"/>
      <c r="Y249" s="81"/>
      <c r="Z249" s="281"/>
      <c r="AA249" s="81"/>
      <c r="AB249" s="281"/>
      <c r="AC249" s="81"/>
      <c r="AD249" s="281"/>
      <c r="AE249" s="81"/>
      <c r="AF249" s="281"/>
      <c r="AG249" s="81"/>
      <c r="AH249" s="281"/>
      <c r="AI249" s="81"/>
      <c r="AJ249" s="281"/>
      <c r="AK249" s="81"/>
      <c r="AL249" s="281"/>
      <c r="AM249" s="81"/>
      <c r="AN249" s="281"/>
      <c r="AO249" s="81"/>
      <c r="AP249" s="281"/>
      <c r="AQ249" s="81"/>
      <c r="AR249" s="281"/>
      <c r="AS249" s="81"/>
      <c r="AT249" s="281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2">
        <f t="shared" si="18"/>
        <v>2.7</v>
      </c>
      <c r="H250" s="137">
        <f t="shared" si="19"/>
        <v>49.541284403669728</v>
      </c>
      <c r="I250" s="87" t="s">
        <v>763</v>
      </c>
      <c r="J250" s="283">
        <v>1.7</v>
      </c>
      <c r="K250" s="264" t="s">
        <v>764</v>
      </c>
      <c r="L250" s="285">
        <v>1</v>
      </c>
      <c r="M250" s="81"/>
      <c r="N250" s="281"/>
      <c r="O250" s="81"/>
      <c r="P250" s="281"/>
      <c r="Q250" s="81"/>
      <c r="R250" s="281"/>
      <c r="S250" s="81"/>
      <c r="T250" s="281"/>
      <c r="U250" s="81"/>
      <c r="V250" s="281"/>
      <c r="W250" s="81"/>
      <c r="X250" s="281"/>
      <c r="Y250" s="81"/>
      <c r="Z250" s="281"/>
      <c r="AA250" s="81"/>
      <c r="AB250" s="281"/>
      <c r="AC250" s="81"/>
      <c r="AD250" s="281"/>
      <c r="AE250" s="81"/>
      <c r="AF250" s="281"/>
      <c r="AG250" s="81"/>
      <c r="AH250" s="281"/>
      <c r="AI250" s="81"/>
      <c r="AJ250" s="281"/>
      <c r="AK250" s="81"/>
      <c r="AL250" s="281"/>
      <c r="AM250" s="81"/>
      <c r="AN250" s="281"/>
      <c r="AO250" s="81"/>
      <c r="AP250" s="281"/>
      <c r="AQ250" s="81"/>
      <c r="AR250" s="281"/>
      <c r="AS250" s="81"/>
      <c r="AT250" s="281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2">
        <f t="shared" si="18"/>
        <v>1</v>
      </c>
      <c r="H251" s="137">
        <f t="shared" si="19"/>
        <v>18.348623853211009</v>
      </c>
      <c r="I251" s="261" t="s">
        <v>765</v>
      </c>
      <c r="J251" s="285">
        <v>1</v>
      </c>
      <c r="K251" s="87"/>
      <c r="L251" s="283"/>
      <c r="M251" s="81"/>
      <c r="N251" s="281"/>
      <c r="O251" s="81"/>
      <c r="P251" s="281"/>
      <c r="Q251" s="81"/>
      <c r="R251" s="281"/>
      <c r="S251" s="81"/>
      <c r="T251" s="281"/>
      <c r="U251" s="81"/>
      <c r="V251" s="281"/>
      <c r="W251" s="81"/>
      <c r="X251" s="281"/>
      <c r="Y251" s="81"/>
      <c r="Z251" s="281"/>
      <c r="AA251" s="81"/>
      <c r="AB251" s="281"/>
      <c r="AC251" s="81"/>
      <c r="AD251" s="281"/>
      <c r="AE251" s="81"/>
      <c r="AF251" s="281"/>
      <c r="AG251" s="81"/>
      <c r="AH251" s="281"/>
      <c r="AI251" s="81"/>
      <c r="AJ251" s="281"/>
      <c r="AK251" s="81"/>
      <c r="AL251" s="281"/>
      <c r="AM251" s="81"/>
      <c r="AN251" s="281"/>
      <c r="AO251" s="81"/>
      <c r="AP251" s="281"/>
      <c r="AQ251" s="81"/>
      <c r="AR251" s="281"/>
      <c r="AS251" s="81"/>
      <c r="AT251" s="281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2">
        <f t="shared" si="18"/>
        <v>2.4</v>
      </c>
      <c r="H252" s="137">
        <f t="shared" si="19"/>
        <v>44.036697247706421</v>
      </c>
      <c r="I252" s="87" t="s">
        <v>766</v>
      </c>
      <c r="J252" s="283">
        <v>2.4</v>
      </c>
      <c r="K252" s="87"/>
      <c r="L252" s="283"/>
      <c r="M252" s="81"/>
      <c r="N252" s="281"/>
      <c r="O252" s="81"/>
      <c r="P252" s="281"/>
      <c r="Q252" s="81"/>
      <c r="R252" s="281"/>
      <c r="S252" s="81"/>
      <c r="T252" s="281"/>
      <c r="U252" s="81"/>
      <c r="V252" s="281"/>
      <c r="W252" s="81"/>
      <c r="X252" s="281"/>
      <c r="Y252" s="81"/>
      <c r="Z252" s="281"/>
      <c r="AA252" s="81"/>
      <c r="AB252" s="281"/>
      <c r="AC252" s="81"/>
      <c r="AD252" s="281"/>
      <c r="AE252" s="81"/>
      <c r="AF252" s="281"/>
      <c r="AG252" s="81"/>
      <c r="AH252" s="281"/>
      <c r="AI252" s="81"/>
      <c r="AJ252" s="281"/>
      <c r="AK252" s="81"/>
      <c r="AL252" s="281"/>
      <c r="AM252" s="81"/>
      <c r="AN252" s="281"/>
      <c r="AO252" s="81"/>
      <c r="AP252" s="281"/>
      <c r="AQ252" s="81"/>
      <c r="AR252" s="281"/>
      <c r="AS252" s="81"/>
      <c r="AT252" s="281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2">
        <f t="shared" si="18"/>
        <v>1</v>
      </c>
      <c r="H253" s="137">
        <f t="shared" si="19"/>
        <v>18.348623853211009</v>
      </c>
      <c r="I253" s="261" t="s">
        <v>767</v>
      </c>
      <c r="J253" s="285">
        <v>1</v>
      </c>
      <c r="K253" s="87"/>
      <c r="L253" s="283"/>
      <c r="M253" s="81"/>
      <c r="N253" s="281"/>
      <c r="O253" s="81"/>
      <c r="P253" s="281"/>
      <c r="Q253" s="81"/>
      <c r="R253" s="281"/>
      <c r="S253" s="81"/>
      <c r="T253" s="281"/>
      <c r="U253" s="81"/>
      <c r="V253" s="281"/>
      <c r="W253" s="81"/>
      <c r="X253" s="281"/>
      <c r="Y253" s="81"/>
      <c r="Z253" s="281"/>
      <c r="AA253" s="81"/>
      <c r="AB253" s="281"/>
      <c r="AC253" s="81"/>
      <c r="AD253" s="281"/>
      <c r="AE253" s="81"/>
      <c r="AF253" s="281"/>
      <c r="AG253" s="81"/>
      <c r="AH253" s="281"/>
      <c r="AI253" s="81"/>
      <c r="AJ253" s="281"/>
      <c r="AK253" s="81"/>
      <c r="AL253" s="281"/>
      <c r="AM253" s="81"/>
      <c r="AN253" s="281"/>
      <c r="AO253" s="81"/>
      <c r="AP253" s="281"/>
      <c r="AQ253" s="81"/>
      <c r="AR253" s="281"/>
      <c r="AS253" s="81"/>
      <c r="AT253" s="281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2">
        <f t="shared" si="18"/>
        <v>0</v>
      </c>
      <c r="H254" s="137">
        <f t="shared" si="19"/>
        <v>0</v>
      </c>
      <c r="I254" s="91"/>
      <c r="J254" s="289"/>
      <c r="K254" s="91"/>
      <c r="L254" s="289"/>
      <c r="M254" s="91"/>
      <c r="N254" s="281"/>
      <c r="O254" s="91"/>
      <c r="P254" s="281"/>
      <c r="Q254" s="91"/>
      <c r="R254" s="281"/>
      <c r="S254" s="91"/>
      <c r="T254" s="281"/>
      <c r="U254" s="91"/>
      <c r="V254" s="281"/>
      <c r="W254" s="91"/>
      <c r="X254" s="281"/>
      <c r="Y254" s="91"/>
      <c r="Z254" s="281"/>
      <c r="AA254" s="91"/>
      <c r="AB254" s="281"/>
      <c r="AC254" s="91"/>
      <c r="AD254" s="281"/>
      <c r="AE254" s="91"/>
      <c r="AF254" s="281"/>
      <c r="AG254" s="91"/>
      <c r="AH254" s="281"/>
      <c r="AI254" s="91"/>
      <c r="AJ254" s="281"/>
      <c r="AK254" s="91"/>
      <c r="AL254" s="281"/>
      <c r="AM254" s="91"/>
      <c r="AN254" s="281"/>
      <c r="AO254" s="91"/>
      <c r="AP254" s="281"/>
      <c r="AQ254" s="91"/>
      <c r="AR254" s="281"/>
      <c r="AS254" s="91"/>
      <c r="AT254" s="281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7">
        <f t="shared" si="19"/>
        <v>0</v>
      </c>
      <c r="I255" s="81"/>
      <c r="J255" s="281"/>
      <c r="K255" s="81"/>
      <c r="L255" s="281"/>
      <c r="M255" s="81"/>
      <c r="N255" s="281"/>
      <c r="O255" s="81"/>
      <c r="P255" s="281"/>
      <c r="Q255" s="81"/>
      <c r="R255" s="281"/>
      <c r="S255" s="81"/>
      <c r="T255" s="281"/>
      <c r="U255" s="81"/>
      <c r="V255" s="281"/>
      <c r="W255" s="81"/>
      <c r="X255" s="281"/>
      <c r="Y255" s="81"/>
      <c r="Z255" s="281"/>
      <c r="AA255" s="81"/>
      <c r="AB255" s="281"/>
      <c r="AC255" s="81"/>
      <c r="AD255" s="281"/>
      <c r="AE255" s="81"/>
      <c r="AF255" s="281"/>
      <c r="AG255" s="81"/>
      <c r="AH255" s="281"/>
      <c r="AI255" s="81"/>
      <c r="AJ255" s="281"/>
      <c r="AK255" s="81"/>
      <c r="AL255" s="281"/>
      <c r="AM255" s="81"/>
      <c r="AN255" s="281"/>
      <c r="AO255" s="81"/>
      <c r="AP255" s="281"/>
      <c r="AQ255" s="81"/>
      <c r="AR255" s="281"/>
      <c r="AS255" s="81"/>
      <c r="AT255" s="281"/>
      <c r="AU255" s="81"/>
      <c r="AV255" s="50">
        <f>IFERROR(VLOOKUP(A255,'Site check'!A:Q,14,0),0)</f>
        <v>0</v>
      </c>
    </row>
    <row r="256" spans="1:48">
      <c r="A256" s="35"/>
      <c r="H256" s="137">
        <f t="shared" si="19"/>
        <v>0</v>
      </c>
      <c r="I256" s="81"/>
      <c r="J256" s="281"/>
      <c r="K256" s="81"/>
      <c r="L256" s="281"/>
      <c r="M256" s="81"/>
      <c r="N256" s="281"/>
      <c r="O256" s="81"/>
      <c r="P256" s="281"/>
      <c r="Q256" s="81"/>
      <c r="R256" s="281"/>
      <c r="S256" s="81"/>
      <c r="T256" s="281"/>
      <c r="U256" s="81"/>
      <c r="V256" s="281"/>
      <c r="W256" s="81"/>
      <c r="X256" s="281"/>
      <c r="Y256" s="81"/>
      <c r="Z256" s="281"/>
      <c r="AA256" s="81"/>
      <c r="AB256" s="281"/>
      <c r="AC256" s="81"/>
      <c r="AD256" s="281"/>
      <c r="AE256" s="81"/>
      <c r="AF256" s="281"/>
      <c r="AG256" s="81"/>
      <c r="AH256" s="281"/>
      <c r="AI256" s="81"/>
      <c r="AJ256" s="281"/>
      <c r="AK256" s="81"/>
      <c r="AL256" s="281"/>
      <c r="AM256" s="81"/>
      <c r="AN256" s="281"/>
      <c r="AO256" s="81"/>
      <c r="AP256" s="281"/>
      <c r="AQ256" s="81"/>
      <c r="AR256" s="281"/>
      <c r="AS256" s="81"/>
      <c r="AT256" s="281"/>
      <c r="AU256" s="81"/>
      <c r="AV256" s="50">
        <f>IFERROR(VLOOKUP(A256,'Site check'!A:Q,14,0),0)</f>
        <v>0</v>
      </c>
    </row>
    <row r="257" spans="1:48">
      <c r="A257" s="35"/>
      <c r="H257" s="137">
        <f t="shared" si="19"/>
        <v>0</v>
      </c>
      <c r="I257" s="81"/>
      <c r="J257" s="281"/>
      <c r="K257" s="81"/>
      <c r="L257" s="281"/>
      <c r="M257" s="81"/>
      <c r="N257" s="281"/>
      <c r="O257" s="81"/>
      <c r="P257" s="281"/>
      <c r="Q257" s="81"/>
      <c r="R257" s="281"/>
      <c r="S257" s="81"/>
      <c r="T257" s="281"/>
      <c r="U257" s="81"/>
      <c r="V257" s="281"/>
      <c r="W257" s="81"/>
      <c r="X257" s="281"/>
      <c r="Y257" s="81"/>
      <c r="Z257" s="281"/>
      <c r="AA257" s="81"/>
      <c r="AB257" s="281"/>
      <c r="AC257" s="81"/>
      <c r="AD257" s="281"/>
      <c r="AE257" s="81"/>
      <c r="AF257" s="281"/>
      <c r="AG257" s="81"/>
      <c r="AH257" s="281"/>
      <c r="AI257" s="81"/>
      <c r="AJ257" s="281"/>
      <c r="AK257" s="81"/>
      <c r="AL257" s="281"/>
      <c r="AM257" s="81"/>
      <c r="AN257" s="281"/>
      <c r="AO257" s="81"/>
      <c r="AP257" s="281"/>
      <c r="AQ257" s="81"/>
      <c r="AR257" s="281"/>
      <c r="AS257" s="81"/>
      <c r="AT257" s="281"/>
      <c r="AU257" s="81"/>
      <c r="AV257" s="50">
        <f>IFERROR(VLOOKUP(A257,'Site check'!A:Q,14,0),0)</f>
        <v>0</v>
      </c>
    </row>
    <row r="258" spans="1:48">
      <c r="A258" s="35"/>
      <c r="H258" s="137">
        <f t="shared" si="19"/>
        <v>0</v>
      </c>
      <c r="I258" s="81"/>
      <c r="J258" s="281"/>
      <c r="K258" s="81"/>
      <c r="L258" s="281"/>
      <c r="M258" s="81"/>
      <c r="N258" s="281"/>
      <c r="O258" s="81"/>
      <c r="P258" s="281"/>
      <c r="Q258" s="81"/>
      <c r="R258" s="281"/>
      <c r="S258" s="81"/>
      <c r="T258" s="281"/>
      <c r="U258" s="81"/>
      <c r="V258" s="281"/>
      <c r="W258" s="81"/>
      <c r="X258" s="281"/>
      <c r="Y258" s="81"/>
      <c r="Z258" s="281"/>
      <c r="AA258" s="81"/>
      <c r="AB258" s="281"/>
      <c r="AC258" s="81"/>
      <c r="AD258" s="281"/>
      <c r="AE258" s="81"/>
      <c r="AF258" s="281"/>
      <c r="AG258" s="81"/>
      <c r="AH258" s="281"/>
      <c r="AI258" s="81"/>
      <c r="AJ258" s="281"/>
      <c r="AK258" s="81"/>
      <c r="AL258" s="281"/>
      <c r="AM258" s="81"/>
      <c r="AN258" s="281"/>
      <c r="AO258" s="81"/>
      <c r="AP258" s="281"/>
      <c r="AQ258" s="81"/>
      <c r="AR258" s="281"/>
      <c r="AS258" s="81"/>
      <c r="AT258" s="281"/>
      <c r="AU258" s="81"/>
      <c r="AV258" s="50">
        <f>IFERROR(VLOOKUP(A258,'Site check'!A:Q,14,0),0)</f>
        <v>0</v>
      </c>
    </row>
    <row r="259" spans="1:48">
      <c r="A259" s="35"/>
      <c r="H259" s="137">
        <f t="shared" si="19"/>
        <v>0</v>
      </c>
      <c r="I259" s="81"/>
      <c r="J259" s="281"/>
      <c r="K259" s="81"/>
      <c r="L259" s="281"/>
      <c r="M259" s="81"/>
      <c r="N259" s="281"/>
      <c r="O259" s="81"/>
      <c r="P259" s="281"/>
      <c r="Q259" s="81"/>
      <c r="R259" s="281"/>
      <c r="S259" s="81"/>
      <c r="T259" s="281"/>
      <c r="U259" s="81"/>
      <c r="V259" s="281"/>
      <c r="W259" s="81"/>
      <c r="X259" s="281"/>
      <c r="Y259" s="81"/>
      <c r="Z259" s="281"/>
      <c r="AA259" s="81"/>
      <c r="AB259" s="281"/>
      <c r="AC259" s="81"/>
      <c r="AD259" s="281"/>
      <c r="AE259" s="81"/>
      <c r="AF259" s="281"/>
      <c r="AG259" s="81"/>
      <c r="AH259" s="281"/>
      <c r="AI259" s="81"/>
      <c r="AJ259" s="281"/>
      <c r="AK259" s="81"/>
      <c r="AL259" s="281"/>
      <c r="AM259" s="81"/>
      <c r="AN259" s="281"/>
      <c r="AO259" s="81"/>
      <c r="AP259" s="281"/>
      <c r="AQ259" s="81"/>
      <c r="AR259" s="281"/>
      <c r="AS259" s="81"/>
      <c r="AT259" s="281"/>
      <c r="AU259" s="81"/>
      <c r="AV259" s="50">
        <f>IFERROR(VLOOKUP(A259,'Site check'!A:Q,14,0),0)</f>
        <v>0</v>
      </c>
    </row>
    <row r="260" spans="1:48">
      <c r="A260" s="35"/>
      <c r="H260" s="137">
        <f t="shared" si="19"/>
        <v>0</v>
      </c>
      <c r="I260" s="81"/>
      <c r="J260" s="281"/>
      <c r="K260" s="81"/>
      <c r="L260" s="281"/>
      <c r="M260" s="81"/>
      <c r="N260" s="281"/>
      <c r="O260" s="81"/>
      <c r="P260" s="281"/>
      <c r="Q260" s="81"/>
      <c r="R260" s="281"/>
      <c r="S260" s="81"/>
      <c r="T260" s="281"/>
      <c r="U260" s="81"/>
      <c r="V260" s="281"/>
      <c r="W260" s="81"/>
      <c r="X260" s="281"/>
      <c r="Y260" s="81"/>
      <c r="Z260" s="281"/>
      <c r="AA260" s="81"/>
      <c r="AB260" s="281"/>
      <c r="AC260" s="81"/>
      <c r="AD260" s="281"/>
      <c r="AE260" s="81"/>
      <c r="AF260" s="281"/>
      <c r="AG260" s="81"/>
      <c r="AH260" s="281"/>
      <c r="AI260" s="81"/>
      <c r="AJ260" s="281"/>
      <c r="AK260" s="81"/>
      <c r="AL260" s="281"/>
      <c r="AM260" s="81"/>
      <c r="AN260" s="281"/>
      <c r="AO260" s="81"/>
      <c r="AP260" s="281"/>
      <c r="AQ260" s="81"/>
      <c r="AR260" s="281"/>
      <c r="AS260" s="81"/>
      <c r="AT260" s="281"/>
      <c r="AU260" s="81"/>
      <c r="AV260" s="50">
        <f>IFERROR(VLOOKUP(A260,'Site check'!A:Q,14,0),0)</f>
        <v>0</v>
      </c>
    </row>
    <row r="261" spans="1:48">
      <c r="A261" s="35"/>
      <c r="H261" s="137">
        <f t="shared" si="19"/>
        <v>0</v>
      </c>
      <c r="I261" s="81"/>
      <c r="J261" s="281"/>
      <c r="K261" s="81"/>
      <c r="L261" s="281"/>
      <c r="M261" s="81"/>
      <c r="N261" s="281"/>
      <c r="O261" s="81"/>
      <c r="P261" s="281"/>
      <c r="Q261" s="81"/>
      <c r="R261" s="281"/>
      <c r="S261" s="81"/>
      <c r="T261" s="281"/>
      <c r="U261" s="81"/>
      <c r="V261" s="281"/>
      <c r="W261" s="81"/>
      <c r="X261" s="281"/>
      <c r="Y261" s="81"/>
      <c r="Z261" s="281"/>
      <c r="AA261" s="81"/>
      <c r="AB261" s="281"/>
      <c r="AC261" s="81"/>
      <c r="AD261" s="281"/>
      <c r="AE261" s="81"/>
      <c r="AF261" s="281"/>
      <c r="AG261" s="81"/>
      <c r="AH261" s="281"/>
      <c r="AI261" s="81"/>
      <c r="AJ261" s="281"/>
      <c r="AK261" s="81"/>
      <c r="AL261" s="281"/>
      <c r="AM261" s="81"/>
      <c r="AN261" s="281"/>
      <c r="AO261" s="81"/>
      <c r="AP261" s="281"/>
      <c r="AQ261" s="81"/>
      <c r="AR261" s="281"/>
      <c r="AS261" s="81"/>
      <c r="AT261" s="281"/>
      <c r="AU261" s="81"/>
      <c r="AV261" s="50">
        <f>IFERROR(VLOOKUP(A261,'Site check'!A:Q,14,0),0)</f>
        <v>0</v>
      </c>
    </row>
    <row r="262" spans="1:48">
      <c r="A262" s="35"/>
      <c r="H262" s="137">
        <f t="shared" si="19"/>
        <v>0</v>
      </c>
      <c r="I262" s="81"/>
      <c r="J262" s="281"/>
      <c r="K262" s="81"/>
      <c r="L262" s="281"/>
      <c r="M262" s="81"/>
      <c r="N262" s="281"/>
      <c r="O262" s="81"/>
      <c r="P262" s="281"/>
      <c r="Q262" s="81"/>
      <c r="R262" s="281"/>
      <c r="S262" s="81"/>
      <c r="T262" s="281"/>
      <c r="U262" s="81"/>
      <c r="V262" s="281"/>
      <c r="W262" s="81"/>
      <c r="X262" s="281"/>
      <c r="Y262" s="81"/>
      <c r="Z262" s="281"/>
      <c r="AA262" s="81"/>
      <c r="AB262" s="281"/>
      <c r="AC262" s="81"/>
      <c r="AD262" s="281"/>
      <c r="AE262" s="81"/>
      <c r="AF262" s="281"/>
      <c r="AG262" s="81"/>
      <c r="AH262" s="281"/>
      <c r="AI262" s="81"/>
      <c r="AJ262" s="281"/>
      <c r="AK262" s="81"/>
      <c r="AL262" s="281"/>
      <c r="AM262" s="81"/>
      <c r="AN262" s="281"/>
      <c r="AO262" s="81"/>
      <c r="AP262" s="281"/>
      <c r="AQ262" s="81"/>
      <c r="AR262" s="281"/>
      <c r="AS262" s="81"/>
      <c r="AT262" s="281"/>
      <c r="AU262" s="81"/>
      <c r="AV262" s="50">
        <f>IFERROR(VLOOKUP(A262,'Site check'!A:Q,14,0),0)</f>
        <v>0</v>
      </c>
    </row>
    <row r="263" spans="1:48">
      <c r="A263" s="35"/>
      <c r="H263" s="137">
        <f t="shared" si="19"/>
        <v>0</v>
      </c>
      <c r="I263" s="81"/>
      <c r="J263" s="281"/>
      <c r="K263" s="81"/>
      <c r="L263" s="281"/>
      <c r="M263" s="81"/>
      <c r="N263" s="281"/>
      <c r="O263" s="81"/>
      <c r="P263" s="281"/>
      <c r="Q263" s="81"/>
      <c r="R263" s="281"/>
      <c r="S263" s="81"/>
      <c r="T263" s="281"/>
      <c r="U263" s="81"/>
      <c r="V263" s="281"/>
      <c r="W263" s="81"/>
      <c r="X263" s="281"/>
      <c r="Y263" s="81"/>
      <c r="Z263" s="281"/>
      <c r="AA263" s="81"/>
      <c r="AB263" s="281"/>
      <c r="AC263" s="81"/>
      <c r="AD263" s="281"/>
      <c r="AE263" s="81"/>
      <c r="AF263" s="281"/>
      <c r="AG263" s="81"/>
      <c r="AH263" s="281"/>
      <c r="AI263" s="81"/>
      <c r="AJ263" s="281"/>
      <c r="AK263" s="81"/>
      <c r="AL263" s="281"/>
      <c r="AM263" s="81"/>
      <c r="AN263" s="281"/>
      <c r="AO263" s="81"/>
      <c r="AP263" s="281"/>
      <c r="AQ263" s="81"/>
      <c r="AR263" s="281"/>
      <c r="AS263" s="81"/>
      <c r="AT263" s="281"/>
      <c r="AU263" s="81"/>
      <c r="AV263" s="50">
        <f>IFERROR(VLOOKUP(A263,'Site check'!A:Q,14,0),0)</f>
        <v>0</v>
      </c>
    </row>
    <row r="264" spans="1:48">
      <c r="A264" s="35"/>
      <c r="H264" s="137">
        <f t="shared" si="19"/>
        <v>0</v>
      </c>
      <c r="I264" s="81"/>
      <c r="J264" s="281"/>
      <c r="K264" s="81"/>
      <c r="L264" s="281"/>
      <c r="M264" s="81"/>
      <c r="N264" s="281"/>
      <c r="O264" s="81"/>
      <c r="P264" s="281"/>
      <c r="Q264" s="81"/>
      <c r="R264" s="281"/>
      <c r="S264" s="81"/>
      <c r="T264" s="281"/>
      <c r="U264" s="81"/>
      <c r="V264" s="281"/>
      <c r="W264" s="81"/>
      <c r="X264" s="281"/>
      <c r="Y264" s="81"/>
      <c r="Z264" s="281"/>
      <c r="AA264" s="81"/>
      <c r="AB264" s="281"/>
      <c r="AC264" s="81"/>
      <c r="AD264" s="281"/>
      <c r="AE264" s="81"/>
      <c r="AF264" s="281"/>
      <c r="AG264" s="81"/>
      <c r="AH264" s="281"/>
      <c r="AI264" s="81"/>
      <c r="AJ264" s="281"/>
      <c r="AK264" s="81"/>
      <c r="AL264" s="281"/>
      <c r="AM264" s="81"/>
      <c r="AN264" s="281"/>
      <c r="AO264" s="81"/>
      <c r="AP264" s="281"/>
      <c r="AQ264" s="81"/>
      <c r="AR264" s="281"/>
      <c r="AS264" s="81"/>
      <c r="AT264" s="281"/>
      <c r="AU264" s="81"/>
      <c r="AV264" s="50">
        <f>IFERROR(VLOOKUP(A264,'Site check'!A:Q,14,0),0)</f>
        <v>0</v>
      </c>
    </row>
    <row r="265" spans="1:48">
      <c r="A265" s="35"/>
      <c r="H265" s="137">
        <f t="shared" si="19"/>
        <v>0</v>
      </c>
      <c r="I265" s="81"/>
      <c r="J265" s="281"/>
      <c r="K265" s="81"/>
      <c r="L265" s="281"/>
      <c r="M265" s="81"/>
      <c r="N265" s="281"/>
      <c r="O265" s="81"/>
      <c r="P265" s="281"/>
      <c r="Q265" s="81"/>
      <c r="R265" s="281"/>
      <c r="S265" s="81"/>
      <c r="T265" s="281"/>
      <c r="U265" s="81"/>
      <c r="V265" s="281"/>
      <c r="W265" s="81"/>
      <c r="X265" s="281"/>
      <c r="Y265" s="81"/>
      <c r="Z265" s="281"/>
      <c r="AA265" s="81"/>
      <c r="AB265" s="281"/>
      <c r="AC265" s="81"/>
      <c r="AD265" s="281"/>
      <c r="AE265" s="81"/>
      <c r="AF265" s="281"/>
      <c r="AG265" s="81"/>
      <c r="AH265" s="281"/>
      <c r="AI265" s="81"/>
      <c r="AJ265" s="281"/>
      <c r="AK265" s="81"/>
      <c r="AL265" s="281"/>
      <c r="AM265" s="81"/>
      <c r="AN265" s="281"/>
      <c r="AO265" s="81"/>
      <c r="AP265" s="281"/>
      <c r="AQ265" s="81"/>
      <c r="AR265" s="281"/>
      <c r="AS265" s="81"/>
      <c r="AT265" s="281"/>
      <c r="AU265" s="81"/>
      <c r="AV265" s="50">
        <f>IFERROR(VLOOKUP(A265,'Site check'!A:Q,14,0),0)</f>
        <v>0</v>
      </c>
    </row>
    <row r="266" spans="1:48">
      <c r="A266" s="35"/>
      <c r="H266" s="137">
        <f t="shared" si="19"/>
        <v>0</v>
      </c>
      <c r="I266" s="81"/>
      <c r="J266" s="281"/>
      <c r="K266" s="81"/>
      <c r="L266" s="281"/>
      <c r="M266" s="81"/>
      <c r="N266" s="281"/>
      <c r="O266" s="81"/>
      <c r="P266" s="281"/>
      <c r="Q266" s="81"/>
      <c r="R266" s="281"/>
      <c r="S266" s="81"/>
      <c r="T266" s="281"/>
      <c r="U266" s="81"/>
      <c r="V266" s="281"/>
      <c r="W266" s="81"/>
      <c r="X266" s="281"/>
      <c r="Y266" s="81"/>
      <c r="Z266" s="281"/>
      <c r="AA266" s="81"/>
      <c r="AB266" s="281"/>
      <c r="AC266" s="81"/>
      <c r="AD266" s="281"/>
      <c r="AE266" s="81"/>
      <c r="AF266" s="281"/>
      <c r="AG266" s="81"/>
      <c r="AH266" s="281"/>
      <c r="AI266" s="81"/>
      <c r="AJ266" s="281"/>
      <c r="AK266" s="81"/>
      <c r="AL266" s="281"/>
      <c r="AM266" s="81"/>
      <c r="AN266" s="281"/>
      <c r="AO266" s="81"/>
      <c r="AP266" s="281"/>
      <c r="AQ266" s="81"/>
      <c r="AR266" s="281"/>
      <c r="AS266" s="81"/>
      <c r="AT266" s="281"/>
      <c r="AU266" s="81"/>
      <c r="AV266" s="50">
        <f>IFERROR(VLOOKUP(A266,'Site check'!A:Q,14,0),0)</f>
        <v>0</v>
      </c>
    </row>
    <row r="267" spans="1:48">
      <c r="A267" s="35"/>
      <c r="H267" s="137">
        <f t="shared" si="19"/>
        <v>0</v>
      </c>
      <c r="I267" s="81"/>
      <c r="J267" s="281"/>
      <c r="K267" s="81"/>
      <c r="L267" s="281"/>
      <c r="M267" s="81"/>
      <c r="N267" s="281"/>
      <c r="O267" s="81"/>
      <c r="P267" s="281"/>
      <c r="Q267" s="81"/>
      <c r="R267" s="281"/>
      <c r="S267" s="81"/>
      <c r="T267" s="281"/>
      <c r="U267" s="81"/>
      <c r="V267" s="281"/>
      <c r="W267" s="81"/>
      <c r="X267" s="281"/>
      <c r="Y267" s="81"/>
      <c r="Z267" s="281"/>
      <c r="AA267" s="81"/>
      <c r="AB267" s="281"/>
      <c r="AC267" s="81"/>
      <c r="AD267" s="281"/>
      <c r="AE267" s="81"/>
      <c r="AF267" s="281"/>
      <c r="AG267" s="81"/>
      <c r="AH267" s="281"/>
      <c r="AI267" s="81"/>
      <c r="AJ267" s="281"/>
      <c r="AK267" s="81"/>
      <c r="AL267" s="281"/>
      <c r="AM267" s="81"/>
      <c r="AN267" s="281"/>
      <c r="AO267" s="81"/>
      <c r="AP267" s="281"/>
      <c r="AQ267" s="81"/>
      <c r="AR267" s="281"/>
      <c r="AS267" s="81"/>
      <c r="AT267" s="281"/>
      <c r="AU267" s="81"/>
      <c r="AV267" s="50">
        <f>IFERROR(VLOOKUP(A267,'Site check'!A:Q,14,0),0)</f>
        <v>0</v>
      </c>
    </row>
    <row r="268" spans="1:48">
      <c r="A268" s="35"/>
      <c r="H268" s="137">
        <f t="shared" si="19"/>
        <v>0</v>
      </c>
      <c r="I268" s="81"/>
      <c r="J268" s="281"/>
      <c r="K268" s="81"/>
      <c r="L268" s="281"/>
      <c r="M268" s="81"/>
      <c r="N268" s="281"/>
      <c r="O268" s="81"/>
      <c r="P268" s="281"/>
      <c r="Q268" s="81"/>
      <c r="R268" s="281"/>
      <c r="S268" s="81"/>
      <c r="T268" s="281"/>
      <c r="U268" s="81"/>
      <c r="V268" s="281"/>
      <c r="W268" s="81"/>
      <c r="X268" s="281"/>
      <c r="Y268" s="81"/>
      <c r="Z268" s="281"/>
      <c r="AA268" s="81"/>
      <c r="AB268" s="281"/>
      <c r="AC268" s="81"/>
      <c r="AD268" s="281"/>
      <c r="AE268" s="81"/>
      <c r="AF268" s="281"/>
      <c r="AG268" s="81"/>
      <c r="AH268" s="281"/>
      <c r="AI268" s="81"/>
      <c r="AJ268" s="281"/>
      <c r="AK268" s="81"/>
      <c r="AL268" s="281"/>
      <c r="AM268" s="81"/>
      <c r="AN268" s="281"/>
      <c r="AO268" s="81"/>
      <c r="AP268" s="281"/>
      <c r="AQ268" s="81"/>
      <c r="AR268" s="281"/>
      <c r="AS268" s="81"/>
      <c r="AT268" s="281"/>
      <c r="AU268" s="81"/>
      <c r="AV268" s="50">
        <f>IFERROR(VLOOKUP(A268,'Site check'!A:Q,14,0),0)</f>
        <v>0</v>
      </c>
    </row>
    <row r="269" spans="1:48">
      <c r="A269" s="35"/>
      <c r="H269" s="137">
        <f t="shared" si="19"/>
        <v>0</v>
      </c>
      <c r="I269" s="81"/>
      <c r="J269" s="281"/>
      <c r="K269" s="81"/>
      <c r="L269" s="281"/>
      <c r="M269" s="81"/>
      <c r="N269" s="281"/>
      <c r="O269" s="81"/>
      <c r="P269" s="281"/>
      <c r="Q269" s="81"/>
      <c r="R269" s="281"/>
      <c r="S269" s="81"/>
      <c r="T269" s="281"/>
      <c r="U269" s="81"/>
      <c r="V269" s="281"/>
      <c r="W269" s="81"/>
      <c r="X269" s="281"/>
      <c r="Y269" s="81"/>
      <c r="Z269" s="281"/>
      <c r="AA269" s="81"/>
      <c r="AB269" s="281"/>
      <c r="AC269" s="81"/>
      <c r="AD269" s="281"/>
      <c r="AE269" s="81"/>
      <c r="AF269" s="281"/>
      <c r="AG269" s="81"/>
      <c r="AH269" s="281"/>
      <c r="AI269" s="81"/>
      <c r="AJ269" s="281"/>
      <c r="AK269" s="81"/>
      <c r="AL269" s="281"/>
      <c r="AM269" s="81"/>
      <c r="AN269" s="281"/>
      <c r="AO269" s="81"/>
      <c r="AP269" s="281"/>
      <c r="AQ269" s="81"/>
      <c r="AR269" s="281"/>
      <c r="AS269" s="81"/>
      <c r="AT269" s="281"/>
      <c r="AU269" s="81"/>
      <c r="AV269" s="50">
        <f>IFERROR(VLOOKUP(A269,'Site check'!A:Q,14,0),0)</f>
        <v>0</v>
      </c>
    </row>
    <row r="270" spans="1:48">
      <c r="H270" s="137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formatCells="0" autoFilter="0"/>
  <autoFilter ref="A7:AK270" xr:uid="{00000000-0009-0000-0000-000003000000}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tabSelected="1" zoomScale="80" zoomScaleNormal="80" workbookViewId="0">
      <pane xSplit="1" ySplit="1" topLeftCell="B2" activePane="bottomRight" state="frozen"/>
      <selection pane="bottomRight" activeCell="D8" sqref="D8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768</v>
      </c>
      <c r="B1" t="s">
        <v>286</v>
      </c>
      <c r="C1" t="s">
        <v>271</v>
      </c>
      <c r="D1" s="52" t="s">
        <v>769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770</v>
      </c>
      <c r="P1" s="11" t="s">
        <v>309</v>
      </c>
      <c r="Q1" s="65" t="s">
        <v>771</v>
      </c>
      <c r="R1" s="9" t="s">
        <v>311</v>
      </c>
      <c r="S1" s="13" t="s">
        <v>771</v>
      </c>
      <c r="T1" s="9" t="s">
        <v>311</v>
      </c>
      <c r="U1" s="13" t="s">
        <v>771</v>
      </c>
      <c r="V1" s="9" t="s">
        <v>311</v>
      </c>
      <c r="W1" s="13" t="s">
        <v>771</v>
      </c>
      <c r="X1" s="9" t="s">
        <v>311</v>
      </c>
      <c r="Y1" s="13" t="s">
        <v>771</v>
      </c>
      <c r="Z1" s="9" t="s">
        <v>311</v>
      </c>
      <c r="AA1" s="13" t="s">
        <v>771</v>
      </c>
      <c r="AB1" s="9" t="s">
        <v>311</v>
      </c>
      <c r="AC1" s="13" t="s">
        <v>771</v>
      </c>
      <c r="AD1" s="9" t="s">
        <v>311</v>
      </c>
      <c r="AE1" s="13" t="s">
        <v>771</v>
      </c>
      <c r="AF1" s="9" t="s">
        <v>311</v>
      </c>
      <c r="AG1" s="13" t="s">
        <v>771</v>
      </c>
      <c r="AH1" s="9" t="s">
        <v>311</v>
      </c>
      <c r="AI1" s="13" t="s">
        <v>771</v>
      </c>
      <c r="AJ1" s="9" t="s">
        <v>311</v>
      </c>
      <c r="AK1" s="13" t="s">
        <v>771</v>
      </c>
      <c r="AL1" s="9" t="s">
        <v>311</v>
      </c>
      <c r="AM1" s="13" t="s">
        <v>771</v>
      </c>
      <c r="AN1" s="9" t="s">
        <v>311</v>
      </c>
      <c r="AO1" s="13" t="s">
        <v>771</v>
      </c>
      <c r="AP1" s="9" t="s">
        <v>311</v>
      </c>
      <c r="AQ1" s="13" t="s">
        <v>771</v>
      </c>
      <c r="AR1" s="9" t="s">
        <v>311</v>
      </c>
      <c r="AS1" s="13" t="s">
        <v>771</v>
      </c>
      <c r="AT1" s="9"/>
      <c r="AU1" s="13" t="s">
        <v>771</v>
      </c>
      <c r="AV1" s="9"/>
      <c r="AW1" s="13" t="s">
        <v>771</v>
      </c>
      <c r="AX1" s="13" t="s">
        <v>772</v>
      </c>
      <c r="AY1" s="13" t="s">
        <v>773</v>
      </c>
      <c r="AZ1" s="49" t="s">
        <v>774</v>
      </c>
      <c r="BA1" s="49" t="s">
        <v>775</v>
      </c>
      <c r="BB1" s="52" t="s">
        <v>776</v>
      </c>
      <c r="BC1" s="52" t="s">
        <v>777</v>
      </c>
    </row>
    <row r="2" spans="1:55" ht="13.15">
      <c r="A2" t="s">
        <v>778</v>
      </c>
      <c r="B2" t="s">
        <v>78</v>
      </c>
      <c r="C2" s="52" t="s">
        <v>779</v>
      </c>
      <c r="D2" s="52" t="s">
        <v>779</v>
      </c>
      <c r="E2">
        <v>0</v>
      </c>
      <c r="F2">
        <v>0</v>
      </c>
      <c r="G2" s="64">
        <v>0</v>
      </c>
      <c r="H2">
        <v>300</v>
      </c>
      <c r="I2">
        <v>300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300"/>
      <c r="AU2" s="93"/>
      <c r="AV2" s="300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">
        <v>780</v>
      </c>
      <c r="B3" t="s">
        <v>78</v>
      </c>
      <c r="C3" s="52" t="s">
        <v>779</v>
      </c>
      <c r="D3" s="52" t="s">
        <v>779</v>
      </c>
      <c r="E3">
        <v>0</v>
      </c>
      <c r="F3">
        <v>0</v>
      </c>
      <c r="G3" s="64">
        <v>0</v>
      </c>
      <c r="H3">
        <v>300</v>
      </c>
      <c r="I3">
        <v>300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 s="69">
        <f t="shared" ref="P3:P67" si="2">SUM(AY3+BA3)</f>
        <v>20.833333333333332</v>
      </c>
      <c r="Q3" s="101" t="s">
        <v>462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300"/>
      <c r="AU3" s="93"/>
      <c r="AV3" s="300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">
        <v>781</v>
      </c>
      <c r="B4" t="s">
        <v>78</v>
      </c>
      <c r="C4" s="52" t="s">
        <v>779</v>
      </c>
      <c r="D4" s="52" t="s">
        <v>779</v>
      </c>
      <c r="E4">
        <v>0</v>
      </c>
      <c r="F4">
        <v>0</v>
      </c>
      <c r="G4" s="64">
        <v>0</v>
      </c>
      <c r="H4">
        <v>300</v>
      </c>
      <c r="I4">
        <v>300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300"/>
      <c r="AU4" s="93"/>
      <c r="AV4" s="300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">
        <v>782</v>
      </c>
      <c r="B5" t="s">
        <v>79</v>
      </c>
      <c r="C5" s="52" t="s">
        <v>783</v>
      </c>
      <c r="D5" s="52" t="s">
        <v>783</v>
      </c>
      <c r="E5">
        <v>40</v>
      </c>
      <c r="F5">
        <v>40</v>
      </c>
      <c r="G5" s="64">
        <v>44243</v>
      </c>
      <c r="H5">
        <v>300</v>
      </c>
      <c r="I5">
        <v>300</v>
      </c>
      <c r="J5">
        <v>8</v>
      </c>
      <c r="K5">
        <v>10</v>
      </c>
      <c r="L5">
        <v>1</v>
      </c>
      <c r="M5">
        <v>0</v>
      </c>
      <c r="N5">
        <v>0</v>
      </c>
      <c r="O5"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300"/>
      <c r="AU5" s="93"/>
      <c r="AV5" s="300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">
        <v>784</v>
      </c>
      <c r="B6" t="s">
        <v>83</v>
      </c>
      <c r="C6" s="52" t="s">
        <v>785</v>
      </c>
      <c r="D6" s="52" t="s">
        <v>785</v>
      </c>
      <c r="E6">
        <v>0</v>
      </c>
      <c r="F6">
        <v>0</v>
      </c>
      <c r="G6" s="64">
        <v>45055</v>
      </c>
      <c r="H6">
        <v>50</v>
      </c>
      <c r="I6">
        <v>50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300"/>
      <c r="AU6" s="93"/>
      <c r="AV6" s="300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">
        <v>786</v>
      </c>
      <c r="B7" t="s">
        <v>83</v>
      </c>
      <c r="C7" s="52" t="s">
        <v>785</v>
      </c>
      <c r="D7" s="52" t="s">
        <v>785</v>
      </c>
      <c r="E7">
        <v>0</v>
      </c>
      <c r="F7">
        <v>0</v>
      </c>
      <c r="G7" s="64">
        <v>44258</v>
      </c>
      <c r="H7">
        <v>300</v>
      </c>
      <c r="I7">
        <v>300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300"/>
      <c r="AU7" s="93"/>
      <c r="AV7" s="300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">
        <v>787</v>
      </c>
      <c r="B8" t="s">
        <v>83</v>
      </c>
      <c r="C8" s="52" t="s">
        <v>785</v>
      </c>
      <c r="D8" s="52" t="s">
        <v>785</v>
      </c>
      <c r="E8">
        <v>0</v>
      </c>
      <c r="F8">
        <v>0</v>
      </c>
      <c r="G8" s="64">
        <v>44258</v>
      </c>
      <c r="H8">
        <v>300</v>
      </c>
      <c r="I8">
        <v>300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300"/>
      <c r="AU8" s="93"/>
      <c r="AV8" s="300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">
        <v>788</v>
      </c>
      <c r="B9" t="s">
        <v>83</v>
      </c>
      <c r="C9" s="52" t="s">
        <v>785</v>
      </c>
      <c r="D9" s="52" t="s">
        <v>785</v>
      </c>
      <c r="E9">
        <v>0</v>
      </c>
      <c r="F9">
        <v>0</v>
      </c>
      <c r="G9" s="64">
        <v>45055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300"/>
      <c r="AU9" s="93"/>
      <c r="AV9" s="300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">
        <v>789</v>
      </c>
      <c r="B10" t="s">
        <v>83</v>
      </c>
      <c r="C10" s="52" t="s">
        <v>785</v>
      </c>
      <c r="D10" s="52" t="s">
        <v>785</v>
      </c>
      <c r="E10">
        <v>0</v>
      </c>
      <c r="F10">
        <v>0</v>
      </c>
      <c r="G10" s="64">
        <v>0</v>
      </c>
      <c r="H10">
        <v>300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300"/>
      <c r="AU10" s="93"/>
      <c r="AV10" s="300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">
        <v>790</v>
      </c>
      <c r="B11" t="s">
        <v>154</v>
      </c>
      <c r="C11" s="52" t="s">
        <v>791</v>
      </c>
      <c r="D11" s="52" t="s">
        <v>791</v>
      </c>
      <c r="E11" t="s">
        <v>792</v>
      </c>
      <c r="F11">
        <v>0</v>
      </c>
      <c r="G11" s="6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300"/>
      <c r="AU11" s="93"/>
      <c r="AV11" s="300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">
        <v>793</v>
      </c>
      <c r="B12" t="s">
        <v>185</v>
      </c>
      <c r="C12" s="52" t="s">
        <v>794</v>
      </c>
      <c r="D12" s="52" t="s">
        <v>794</v>
      </c>
      <c r="E12">
        <v>20</v>
      </c>
      <c r="F12">
        <v>20</v>
      </c>
      <c r="G12" s="64">
        <v>44118</v>
      </c>
      <c r="H12">
        <v>300</v>
      </c>
      <c r="I12">
        <v>300</v>
      </c>
      <c r="J12">
        <v>10</v>
      </c>
      <c r="K12">
        <v>6</v>
      </c>
      <c r="L12">
        <v>4</v>
      </c>
      <c r="M12">
        <v>0</v>
      </c>
      <c r="N12">
        <v>0</v>
      </c>
      <c r="O12">
        <v>20</v>
      </c>
      <c r="P12" s="69">
        <f t="shared" si="2"/>
        <v>104.16666666666667</v>
      </c>
      <c r="Q12" s="81" t="s">
        <v>652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300"/>
      <c r="AU12" s="93"/>
      <c r="AV12" s="300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">
        <v>795</v>
      </c>
      <c r="B13" t="s">
        <v>186</v>
      </c>
      <c r="C13" s="52" t="s">
        <v>796</v>
      </c>
      <c r="D13" s="52" t="s">
        <v>796</v>
      </c>
      <c r="E13">
        <v>0</v>
      </c>
      <c r="F13">
        <v>0</v>
      </c>
      <c r="G13" s="64">
        <v>0</v>
      </c>
      <c r="H13">
        <v>300</v>
      </c>
      <c r="I13">
        <v>300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300"/>
      <c r="AU13" s="93"/>
      <c r="AV13" s="300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">
        <v>797</v>
      </c>
      <c r="B14" t="s">
        <v>186</v>
      </c>
      <c r="C14" s="52" t="s">
        <v>796</v>
      </c>
      <c r="D14" s="52" t="s">
        <v>796</v>
      </c>
      <c r="E14">
        <v>0</v>
      </c>
      <c r="F14">
        <v>0</v>
      </c>
      <c r="G14" s="6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300"/>
      <c r="AU14" s="93"/>
      <c r="AV14" s="300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">
        <v>798</v>
      </c>
      <c r="B15" t="s">
        <v>186</v>
      </c>
      <c r="C15" s="52" t="s">
        <v>796</v>
      </c>
      <c r="D15" s="52" t="s">
        <v>796</v>
      </c>
      <c r="E15">
        <v>0</v>
      </c>
      <c r="F15">
        <v>0</v>
      </c>
      <c r="G15" s="64">
        <v>0</v>
      </c>
      <c r="H15">
        <v>300</v>
      </c>
      <c r="I15">
        <v>300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300"/>
      <c r="AU15" s="93"/>
      <c r="AV15" s="300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">
        <v>799</v>
      </c>
      <c r="B16" t="s">
        <v>186</v>
      </c>
      <c r="C16" s="52" t="s">
        <v>796</v>
      </c>
      <c r="D16" s="52" t="s">
        <v>796</v>
      </c>
      <c r="E16">
        <v>0</v>
      </c>
      <c r="F16">
        <v>0</v>
      </c>
      <c r="G16" s="64">
        <v>0</v>
      </c>
      <c r="H16">
        <v>300</v>
      </c>
      <c r="I16">
        <v>300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300"/>
      <c r="AU16" s="93"/>
      <c r="AV16" s="300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">
        <v>800</v>
      </c>
      <c r="B17" t="s">
        <v>207</v>
      </c>
      <c r="C17" s="52" t="s">
        <v>801</v>
      </c>
      <c r="D17" s="52" t="s">
        <v>801</v>
      </c>
      <c r="E17">
        <v>85</v>
      </c>
      <c r="F17">
        <v>85</v>
      </c>
      <c r="G17" s="64">
        <v>45096</v>
      </c>
      <c r="H17">
        <v>300</v>
      </c>
      <c r="I17">
        <v>300</v>
      </c>
      <c r="J17">
        <v>0</v>
      </c>
      <c r="K17">
        <v>2</v>
      </c>
      <c r="L17">
        <v>0</v>
      </c>
      <c r="M17">
        <v>10</v>
      </c>
      <c r="N17">
        <v>9</v>
      </c>
      <c r="O17">
        <v>0</v>
      </c>
      <c r="P17" s="69">
        <f t="shared" si="2"/>
        <v>62.5</v>
      </c>
      <c r="Q17" s="106" t="s">
        <v>675</v>
      </c>
      <c r="R17" s="256">
        <v>2</v>
      </c>
      <c r="S17" s="257" t="s">
        <v>676</v>
      </c>
      <c r="T17" s="256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300"/>
      <c r="AU17" s="93"/>
      <c r="AV17" s="300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">
        <v>802</v>
      </c>
      <c r="B18" t="s">
        <v>207</v>
      </c>
      <c r="C18" s="52" t="s">
        <v>801</v>
      </c>
      <c r="D18" s="52" t="s">
        <v>801</v>
      </c>
      <c r="E18">
        <v>100</v>
      </c>
      <c r="F18">
        <v>105</v>
      </c>
      <c r="G18" s="64">
        <v>45096</v>
      </c>
      <c r="H18">
        <v>300</v>
      </c>
      <c r="I18">
        <v>300</v>
      </c>
      <c r="J18">
        <v>5</v>
      </c>
      <c r="K18">
        <v>1</v>
      </c>
      <c r="L18">
        <v>1</v>
      </c>
      <c r="M18">
        <v>10</v>
      </c>
      <c r="N18">
        <v>3</v>
      </c>
      <c r="O18">
        <v>0</v>
      </c>
      <c r="P18" s="69">
        <f t="shared" si="2"/>
        <v>0</v>
      </c>
      <c r="Q18" s="92"/>
      <c r="R18" s="80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300"/>
      <c r="AU18" s="93"/>
      <c r="AV18" s="300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">
        <v>803</v>
      </c>
      <c r="B19" t="s">
        <v>267</v>
      </c>
      <c r="C19" s="52" t="s">
        <v>804</v>
      </c>
      <c r="D19" s="52" t="s">
        <v>804</v>
      </c>
      <c r="E19">
        <v>0</v>
      </c>
      <c r="F19">
        <v>0</v>
      </c>
      <c r="G19" s="64">
        <v>0</v>
      </c>
      <c r="H19">
        <v>300</v>
      </c>
      <c r="I19">
        <v>300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300"/>
      <c r="AU19" s="93"/>
      <c r="AV19" s="300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">
        <v>805</v>
      </c>
      <c r="B20" t="s">
        <v>267</v>
      </c>
      <c r="C20" s="52" t="s">
        <v>804</v>
      </c>
      <c r="D20" s="52" t="s">
        <v>804</v>
      </c>
      <c r="E20">
        <v>0</v>
      </c>
      <c r="F20">
        <v>0</v>
      </c>
      <c r="G20" s="64">
        <v>0</v>
      </c>
      <c r="H20">
        <v>300</v>
      </c>
      <c r="I20">
        <v>300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9">
        <f t="shared" si="2"/>
        <v>20.833333333333332</v>
      </c>
      <c r="Q20" s="106" t="s">
        <v>765</v>
      </c>
      <c r="R20" s="256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300"/>
      <c r="AU20" s="93"/>
      <c r="AV20" s="300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">
        <v>806</v>
      </c>
      <c r="B21" t="s">
        <v>267</v>
      </c>
      <c r="C21" s="52" t="s">
        <v>804</v>
      </c>
      <c r="D21" s="52" t="s">
        <v>804</v>
      </c>
      <c r="E21">
        <v>25</v>
      </c>
      <c r="F21">
        <v>25</v>
      </c>
      <c r="G21" s="64">
        <v>45056</v>
      </c>
      <c r="H21">
        <v>300</v>
      </c>
      <c r="I21">
        <v>300</v>
      </c>
      <c r="J21">
        <v>0</v>
      </c>
      <c r="K21">
        <v>1</v>
      </c>
      <c r="L21">
        <v>5</v>
      </c>
      <c r="M21">
        <v>2</v>
      </c>
      <c r="N21">
        <v>0</v>
      </c>
      <c r="O21"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300"/>
      <c r="AU21" s="93"/>
      <c r="AV21" s="300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">
        <v>807</v>
      </c>
      <c r="B22" t="s">
        <v>42</v>
      </c>
      <c r="C22" s="52" t="s">
        <v>808</v>
      </c>
      <c r="D22" s="52" t="s">
        <v>808</v>
      </c>
      <c r="E22" t="s">
        <v>809</v>
      </c>
      <c r="F22">
        <v>0</v>
      </c>
      <c r="G22" s="6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9">
        <f t="shared" si="2"/>
        <v>83.333333333333329</v>
      </c>
      <c r="Q22" s="92" t="s">
        <v>810</v>
      </c>
      <c r="R22" s="80">
        <v>4</v>
      </c>
      <c r="S22" s="93"/>
      <c r="T22" s="80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300"/>
      <c r="AU22" s="93"/>
      <c r="AV22" s="300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">
        <v>811</v>
      </c>
      <c r="B23" t="s">
        <v>812</v>
      </c>
      <c r="C23" s="52" t="s">
        <v>813</v>
      </c>
      <c r="D23" s="52" t="s">
        <v>813</v>
      </c>
      <c r="E23">
        <v>66</v>
      </c>
      <c r="F23">
        <v>58.1</v>
      </c>
      <c r="G23" s="64">
        <v>45335</v>
      </c>
      <c r="H23">
        <v>360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9">
        <f t="shared" si="2"/>
        <v>237.5</v>
      </c>
      <c r="Q23" s="81" t="s">
        <v>322</v>
      </c>
      <c r="R23" s="82">
        <v>2.6</v>
      </c>
      <c r="S23" s="81" t="s">
        <v>323</v>
      </c>
      <c r="T23" s="82">
        <v>5.4</v>
      </c>
      <c r="U23" s="254" t="s">
        <v>324</v>
      </c>
      <c r="V23" s="283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300"/>
      <c r="AU23" s="93"/>
      <c r="AV23" s="300"/>
      <c r="AW23" s="93"/>
      <c r="AX23" s="66">
        <f t="shared" si="3"/>
        <v>11.4</v>
      </c>
      <c r="AY23" s="78">
        <f t="shared" si="4"/>
        <v>237.5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184.75</v>
      </c>
      <c r="BC23" s="53">
        <f t="shared" si="1"/>
        <v>176.85</v>
      </c>
    </row>
    <row r="24" spans="1:55" ht="13.15">
      <c r="A24" t="s">
        <v>814</v>
      </c>
      <c r="B24" t="s">
        <v>812</v>
      </c>
      <c r="C24" s="52" t="s">
        <v>813</v>
      </c>
      <c r="D24" s="52" t="s">
        <v>813</v>
      </c>
      <c r="E24">
        <v>260</v>
      </c>
      <c r="F24">
        <v>250</v>
      </c>
      <c r="G24" s="64">
        <v>44182</v>
      </c>
      <c r="H24">
        <v>300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300"/>
      <c r="AU24" s="93"/>
      <c r="AV24" s="300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">
        <v>815</v>
      </c>
      <c r="B25" t="s">
        <v>812</v>
      </c>
      <c r="C25" s="52" t="s">
        <v>813</v>
      </c>
      <c r="D25" s="52" t="s">
        <v>813</v>
      </c>
      <c r="E25">
        <v>100</v>
      </c>
      <c r="F25">
        <v>100</v>
      </c>
      <c r="G25" s="64">
        <v>45078</v>
      </c>
      <c r="H25">
        <v>300</v>
      </c>
      <c r="I25">
        <v>300</v>
      </c>
      <c r="J25">
        <v>1</v>
      </c>
      <c r="K25">
        <v>0</v>
      </c>
      <c r="L25">
        <v>0</v>
      </c>
      <c r="M25">
        <v>17</v>
      </c>
      <c r="N25">
        <v>8</v>
      </c>
      <c r="O25"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300"/>
      <c r="AU25" s="93"/>
      <c r="AV25" s="300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">
        <v>816</v>
      </c>
      <c r="B26" t="s">
        <v>812</v>
      </c>
      <c r="C26" s="52" t="s">
        <v>813</v>
      </c>
      <c r="D26" s="52" t="s">
        <v>813</v>
      </c>
      <c r="E26">
        <v>140</v>
      </c>
      <c r="F26">
        <v>190</v>
      </c>
      <c r="G26" s="64">
        <v>45078</v>
      </c>
      <c r="H26">
        <v>300</v>
      </c>
      <c r="I26">
        <v>300</v>
      </c>
      <c r="J26">
        <v>3</v>
      </c>
      <c r="K26">
        <v>6</v>
      </c>
      <c r="L26">
        <v>0</v>
      </c>
      <c r="M26">
        <v>3</v>
      </c>
      <c r="N26">
        <v>12</v>
      </c>
      <c r="O26"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300"/>
      <c r="AU26" s="93"/>
      <c r="AV26" s="300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">
        <v>817</v>
      </c>
      <c r="B27" t="s">
        <v>812</v>
      </c>
      <c r="C27" s="52" t="s">
        <v>813</v>
      </c>
      <c r="D27" s="52" t="s">
        <v>813</v>
      </c>
      <c r="E27">
        <v>110</v>
      </c>
      <c r="F27">
        <v>120</v>
      </c>
      <c r="G27" s="64">
        <v>45084</v>
      </c>
      <c r="H27">
        <v>300</v>
      </c>
      <c r="I27">
        <v>300</v>
      </c>
      <c r="J27">
        <v>5</v>
      </c>
      <c r="K27">
        <v>6</v>
      </c>
      <c r="L27">
        <v>0</v>
      </c>
      <c r="M27">
        <v>2</v>
      </c>
      <c r="N27">
        <v>10</v>
      </c>
      <c r="O27"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300"/>
      <c r="AU27" s="93"/>
      <c r="AV27" s="300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">
        <v>818</v>
      </c>
      <c r="B28" t="s">
        <v>812</v>
      </c>
      <c r="C28" s="52" t="s">
        <v>813</v>
      </c>
      <c r="D28" s="52" t="s">
        <v>813</v>
      </c>
      <c r="E28">
        <v>74</v>
      </c>
      <c r="F28">
        <v>73</v>
      </c>
      <c r="G28" s="64">
        <v>45078</v>
      </c>
      <c r="H28">
        <v>200</v>
      </c>
      <c r="I28">
        <v>200</v>
      </c>
      <c r="J28">
        <v>0</v>
      </c>
      <c r="K28">
        <v>0</v>
      </c>
      <c r="L28">
        <v>4</v>
      </c>
      <c r="M28">
        <v>0</v>
      </c>
      <c r="N28">
        <v>0</v>
      </c>
      <c r="O28"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300"/>
      <c r="AU28" s="93"/>
      <c r="AV28" s="300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">
        <v>819</v>
      </c>
      <c r="B29" t="s">
        <v>50</v>
      </c>
      <c r="C29" s="52" t="s">
        <v>820</v>
      </c>
      <c r="D29" s="52" t="s">
        <v>820</v>
      </c>
      <c r="E29" t="s">
        <v>821</v>
      </c>
      <c r="F29" t="s">
        <v>821</v>
      </c>
      <c r="G29" s="64">
        <v>42816</v>
      </c>
      <c r="H29">
        <v>375</v>
      </c>
      <c r="I29">
        <v>375</v>
      </c>
      <c r="J29">
        <v>0</v>
      </c>
      <c r="K29">
        <v>7</v>
      </c>
      <c r="L29">
        <v>1</v>
      </c>
      <c r="M29">
        <v>0</v>
      </c>
      <c r="N29">
        <v>1</v>
      </c>
      <c r="O29">
        <v>0</v>
      </c>
      <c r="P29" s="69">
        <f t="shared" si="2"/>
        <v>20.833333333333332</v>
      </c>
      <c r="Q29" s="83" t="s">
        <v>370</v>
      </c>
      <c r="R29" s="286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300"/>
      <c r="AU29" s="93"/>
      <c r="AV29" s="300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">
        <v>822</v>
      </c>
      <c r="B30" t="s">
        <v>70</v>
      </c>
      <c r="C30" s="52" t="s">
        <v>823</v>
      </c>
      <c r="D30" s="52" t="s">
        <v>823</v>
      </c>
      <c r="E30">
        <v>312</v>
      </c>
      <c r="F30">
        <v>278.5</v>
      </c>
      <c r="G30" s="64">
        <v>45335</v>
      </c>
      <c r="H30">
        <v>600</v>
      </c>
      <c r="I30">
        <v>600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9">
        <f t="shared" si="2"/>
        <v>690.625</v>
      </c>
      <c r="Q30" s="81" t="s">
        <v>427</v>
      </c>
      <c r="R30" s="281">
        <v>1</v>
      </c>
      <c r="S30" s="81" t="s">
        <v>428</v>
      </c>
      <c r="T30" s="281">
        <v>1.8</v>
      </c>
      <c r="U30" s="81" t="s">
        <v>429</v>
      </c>
      <c r="V30" s="281">
        <v>0.8</v>
      </c>
      <c r="W30" s="81" t="s">
        <v>430</v>
      </c>
      <c r="X30" s="281">
        <v>10.7</v>
      </c>
      <c r="Y30" s="89" t="s">
        <v>432</v>
      </c>
      <c r="Z30" s="90">
        <v>2.2000000000000002</v>
      </c>
      <c r="AA30" s="89" t="s">
        <v>433</v>
      </c>
      <c r="AB30" s="284">
        <v>2.65</v>
      </c>
      <c r="AC30" s="89"/>
      <c r="AD30" s="284"/>
      <c r="AE30" s="113" t="s">
        <v>434</v>
      </c>
      <c r="AF30" s="114">
        <v>2</v>
      </c>
      <c r="AG30" s="85" t="s">
        <v>824</v>
      </c>
      <c r="AH30" s="86">
        <v>2.4</v>
      </c>
      <c r="AI30" s="85" t="s">
        <v>438</v>
      </c>
      <c r="AJ30" s="86">
        <v>3.2</v>
      </c>
      <c r="AK30" s="81" t="s">
        <v>426</v>
      </c>
      <c r="AL30" s="281">
        <v>2.5</v>
      </c>
      <c r="AM30" s="87" t="s">
        <v>439</v>
      </c>
      <c r="AN30" s="283">
        <v>3.9</v>
      </c>
      <c r="AO30" s="92"/>
      <c r="AP30" s="80"/>
      <c r="AQ30" s="93"/>
      <c r="AR30" s="80"/>
      <c r="AS30" s="93"/>
      <c r="AT30" s="300"/>
      <c r="AU30" s="93"/>
      <c r="AV30" s="300"/>
      <c r="AW30" s="93"/>
      <c r="AX30" s="66">
        <f t="shared" si="3"/>
        <v>33.15</v>
      </c>
      <c r="AY30" s="78">
        <f t="shared" si="4"/>
        <v>690.625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657.3125</v>
      </c>
      <c r="BC30" s="53">
        <f t="shared" si="1"/>
        <v>623.8125</v>
      </c>
    </row>
    <row r="31" spans="1:55" ht="13.15">
      <c r="A31" t="s">
        <v>825</v>
      </c>
      <c r="B31" t="s">
        <v>69</v>
      </c>
      <c r="C31" s="52" t="s">
        <v>823</v>
      </c>
      <c r="D31" s="52" t="s">
        <v>823</v>
      </c>
      <c r="E31">
        <v>250</v>
      </c>
      <c r="F31">
        <v>250</v>
      </c>
      <c r="G31" s="64">
        <v>44258</v>
      </c>
      <c r="H31">
        <v>300</v>
      </c>
      <c r="I31">
        <v>300</v>
      </c>
      <c r="J31">
        <v>0</v>
      </c>
      <c r="K31">
        <v>0</v>
      </c>
      <c r="L31">
        <v>0</v>
      </c>
      <c r="M31">
        <v>0</v>
      </c>
      <c r="N31">
        <v>6</v>
      </c>
      <c r="O31"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300"/>
      <c r="AU31" s="93"/>
      <c r="AV31" s="300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">
        <v>826</v>
      </c>
      <c r="B32" t="s">
        <v>69</v>
      </c>
      <c r="C32" s="52" t="s">
        <v>823</v>
      </c>
      <c r="D32" s="52" t="s">
        <v>823</v>
      </c>
      <c r="E32">
        <v>250</v>
      </c>
      <c r="F32">
        <v>250</v>
      </c>
      <c r="G32" s="64">
        <v>44258</v>
      </c>
      <c r="H32">
        <v>300</v>
      </c>
      <c r="I32">
        <v>300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300"/>
      <c r="AU32" s="93"/>
      <c r="AV32" s="300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">
        <v>827</v>
      </c>
      <c r="B33" t="s">
        <v>86</v>
      </c>
      <c r="C33" s="52" t="s">
        <v>828</v>
      </c>
      <c r="D33" s="52" t="s">
        <v>828</v>
      </c>
      <c r="E33">
        <v>50</v>
      </c>
      <c r="F33">
        <v>50</v>
      </c>
      <c r="G33" s="64">
        <v>44966</v>
      </c>
      <c r="H33">
        <v>300</v>
      </c>
      <c r="I33">
        <v>300</v>
      </c>
      <c r="J33">
        <v>5</v>
      </c>
      <c r="K33">
        <v>0</v>
      </c>
      <c r="L33">
        <v>6</v>
      </c>
      <c r="M33">
        <v>16</v>
      </c>
      <c r="N33">
        <v>12</v>
      </c>
      <c r="O33">
        <v>0</v>
      </c>
      <c r="P33" s="69">
        <f t="shared" si="2"/>
        <v>52.083333333333336</v>
      </c>
      <c r="Q33" s="81" t="s">
        <v>468</v>
      </c>
      <c r="R33" s="82">
        <v>1</v>
      </c>
      <c r="S33" s="81" t="s">
        <v>475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300"/>
      <c r="AU33" s="93"/>
      <c r="AV33" s="300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">
        <v>829</v>
      </c>
      <c r="B34" t="s">
        <v>86</v>
      </c>
      <c r="C34" s="52" t="s">
        <v>828</v>
      </c>
      <c r="D34" s="52" t="s">
        <v>828</v>
      </c>
      <c r="E34">
        <v>90</v>
      </c>
      <c r="F34">
        <v>100</v>
      </c>
      <c r="G34" s="64">
        <v>45071</v>
      </c>
      <c r="H34">
        <v>300</v>
      </c>
      <c r="I34">
        <v>300</v>
      </c>
      <c r="J34">
        <v>1</v>
      </c>
      <c r="K34">
        <v>2</v>
      </c>
      <c r="L34">
        <v>0</v>
      </c>
      <c r="M34">
        <v>20</v>
      </c>
      <c r="N34">
        <v>12</v>
      </c>
      <c r="O34">
        <v>0</v>
      </c>
      <c r="P34" s="69">
        <f t="shared" si="2"/>
        <v>291.66666666666669</v>
      </c>
      <c r="Q34" s="81" t="s">
        <v>470</v>
      </c>
      <c r="R34" s="262">
        <v>2</v>
      </c>
      <c r="S34" s="264" t="s">
        <v>471</v>
      </c>
      <c r="T34" s="262">
        <v>2</v>
      </c>
      <c r="U34" s="264" t="s">
        <v>473</v>
      </c>
      <c r="V34" s="262">
        <v>2</v>
      </c>
      <c r="W34" s="99" t="s">
        <v>471</v>
      </c>
      <c r="X34" s="100">
        <v>2</v>
      </c>
      <c r="Y34" s="264" t="s">
        <v>472</v>
      </c>
      <c r="Z34" s="80">
        <v>2</v>
      </c>
      <c r="AA34" s="264" t="s">
        <v>830</v>
      </c>
      <c r="AB34" s="80">
        <v>2</v>
      </c>
      <c r="AC34" s="264" t="s">
        <v>472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300"/>
      <c r="AU34" s="93"/>
      <c r="AV34" s="300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">
        <v>831</v>
      </c>
      <c r="B35" t="s">
        <v>86</v>
      </c>
      <c r="C35" s="52" t="s">
        <v>828</v>
      </c>
      <c r="D35" s="52" t="s">
        <v>828</v>
      </c>
      <c r="E35">
        <v>80</v>
      </c>
      <c r="F35">
        <v>80</v>
      </c>
      <c r="G35" s="64">
        <v>44966</v>
      </c>
      <c r="H35">
        <v>300</v>
      </c>
      <c r="I35">
        <v>300</v>
      </c>
      <c r="J35">
        <v>4</v>
      </c>
      <c r="K35">
        <v>0</v>
      </c>
      <c r="L35">
        <v>0</v>
      </c>
      <c r="M35">
        <v>4</v>
      </c>
      <c r="N35">
        <v>11</v>
      </c>
      <c r="O35"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300"/>
      <c r="AU35" s="93"/>
      <c r="AV35" s="300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">
        <v>832</v>
      </c>
      <c r="B36" t="s">
        <v>86</v>
      </c>
      <c r="C36" s="52" t="s">
        <v>828</v>
      </c>
      <c r="D36" s="52" t="s">
        <v>828</v>
      </c>
      <c r="E36">
        <v>60</v>
      </c>
      <c r="F36">
        <v>60</v>
      </c>
      <c r="G36" s="64">
        <v>44966</v>
      </c>
      <c r="H36">
        <v>300</v>
      </c>
      <c r="I36">
        <v>300</v>
      </c>
      <c r="J36">
        <v>4</v>
      </c>
      <c r="K36">
        <v>4</v>
      </c>
      <c r="L36">
        <v>3</v>
      </c>
      <c r="M36">
        <v>6</v>
      </c>
      <c r="N36">
        <v>0</v>
      </c>
      <c r="O36"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300"/>
      <c r="AU36" s="93"/>
      <c r="AV36" s="300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">
        <v>833</v>
      </c>
      <c r="B37" t="s">
        <v>86</v>
      </c>
      <c r="C37" s="52" t="s">
        <v>828</v>
      </c>
      <c r="D37" s="52" t="s">
        <v>828</v>
      </c>
      <c r="E37">
        <v>10</v>
      </c>
      <c r="F37">
        <v>10</v>
      </c>
      <c r="G37" s="64">
        <v>44966</v>
      </c>
      <c r="H37">
        <v>250</v>
      </c>
      <c r="I37">
        <v>250</v>
      </c>
      <c r="J37">
        <v>0</v>
      </c>
      <c r="K37">
        <v>0</v>
      </c>
      <c r="L37">
        <v>4</v>
      </c>
      <c r="M37">
        <v>4</v>
      </c>
      <c r="N37">
        <v>6</v>
      </c>
      <c r="O37"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300"/>
      <c r="AU37" s="93"/>
      <c r="AV37" s="300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">
        <v>834</v>
      </c>
      <c r="B38" t="s">
        <v>86</v>
      </c>
      <c r="C38" s="52" t="s">
        <v>828</v>
      </c>
      <c r="D38" s="52" t="s">
        <v>828</v>
      </c>
      <c r="E38">
        <v>180</v>
      </c>
      <c r="F38">
        <v>180</v>
      </c>
      <c r="G38" s="64">
        <v>44966</v>
      </c>
      <c r="H38">
        <v>300</v>
      </c>
      <c r="I38">
        <v>300</v>
      </c>
      <c r="J38">
        <v>7</v>
      </c>
      <c r="K38">
        <v>0</v>
      </c>
      <c r="L38">
        <v>5</v>
      </c>
      <c r="M38">
        <v>0</v>
      </c>
      <c r="N38">
        <v>0</v>
      </c>
      <c r="O38">
        <v>17</v>
      </c>
      <c r="P38" s="69">
        <f t="shared" si="2"/>
        <v>22.916666666666668</v>
      </c>
      <c r="Q38" s="92" t="s">
        <v>474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300"/>
      <c r="AU38" s="93"/>
      <c r="AV38" s="300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">
        <v>835</v>
      </c>
      <c r="B39" t="s">
        <v>86</v>
      </c>
      <c r="C39" s="52" t="s">
        <v>828</v>
      </c>
      <c r="D39" s="52" t="s">
        <v>828</v>
      </c>
      <c r="E39">
        <v>320</v>
      </c>
      <c r="F39">
        <v>320</v>
      </c>
      <c r="G39" s="64">
        <v>44966</v>
      </c>
      <c r="H39">
        <v>300</v>
      </c>
      <c r="I39">
        <v>300</v>
      </c>
      <c r="J39">
        <v>3</v>
      </c>
      <c r="K39">
        <v>2</v>
      </c>
      <c r="L39">
        <v>0</v>
      </c>
      <c r="M39">
        <v>0</v>
      </c>
      <c r="N39">
        <v>5</v>
      </c>
      <c r="O39"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300"/>
      <c r="AU39" s="93"/>
      <c r="AV39" s="300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">
        <v>836</v>
      </c>
      <c r="B40" t="s">
        <v>86</v>
      </c>
      <c r="C40" s="52" t="s">
        <v>828</v>
      </c>
      <c r="D40" s="52" t="s">
        <v>828</v>
      </c>
      <c r="E40">
        <v>50</v>
      </c>
      <c r="F40">
        <v>40</v>
      </c>
      <c r="G40" s="64">
        <v>44469</v>
      </c>
      <c r="H40">
        <v>300</v>
      </c>
      <c r="I40">
        <v>300</v>
      </c>
      <c r="J40">
        <v>1</v>
      </c>
      <c r="K40">
        <v>0</v>
      </c>
      <c r="L40">
        <v>0</v>
      </c>
      <c r="M40">
        <v>0</v>
      </c>
      <c r="N40">
        <v>4</v>
      </c>
      <c r="O40"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300"/>
      <c r="AU40" s="93"/>
      <c r="AV40" s="300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">
        <v>837</v>
      </c>
      <c r="B41" t="s">
        <v>86</v>
      </c>
      <c r="C41" s="52" t="s">
        <v>828</v>
      </c>
      <c r="D41" s="52" t="s">
        <v>828</v>
      </c>
      <c r="E41">
        <v>120</v>
      </c>
      <c r="F41">
        <v>120</v>
      </c>
      <c r="G41" s="64">
        <v>44966</v>
      </c>
      <c r="H41">
        <v>300</v>
      </c>
      <c r="I41">
        <v>300</v>
      </c>
      <c r="J41">
        <v>0</v>
      </c>
      <c r="K41">
        <v>0</v>
      </c>
      <c r="L41">
        <v>11</v>
      </c>
      <c r="M41">
        <v>0</v>
      </c>
      <c r="N41">
        <v>3</v>
      </c>
      <c r="O41">
        <v>31</v>
      </c>
      <c r="P41" s="69">
        <f t="shared" si="2"/>
        <v>20.833333333333332</v>
      </c>
      <c r="Q41" s="81" t="s">
        <v>469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300"/>
      <c r="AU41" s="93"/>
      <c r="AV41" s="300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">
        <v>838</v>
      </c>
      <c r="B42" t="s">
        <v>86</v>
      </c>
      <c r="C42" s="52" t="s">
        <v>828</v>
      </c>
      <c r="D42" s="52" t="s">
        <v>828</v>
      </c>
      <c r="E42">
        <v>100</v>
      </c>
      <c r="F42">
        <v>100</v>
      </c>
      <c r="G42" s="64">
        <v>44966</v>
      </c>
      <c r="H42">
        <v>300</v>
      </c>
      <c r="I42">
        <v>300</v>
      </c>
      <c r="J42">
        <v>3</v>
      </c>
      <c r="K42">
        <v>0</v>
      </c>
      <c r="L42">
        <v>0</v>
      </c>
      <c r="M42">
        <v>0</v>
      </c>
      <c r="N42">
        <v>3</v>
      </c>
      <c r="O42"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300"/>
      <c r="AU42" s="93"/>
      <c r="AV42" s="300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">
        <v>839</v>
      </c>
      <c r="B43" t="s">
        <v>86</v>
      </c>
      <c r="C43" s="52" t="s">
        <v>828</v>
      </c>
      <c r="D43" s="52" t="s">
        <v>828</v>
      </c>
      <c r="E43" t="s">
        <v>840</v>
      </c>
      <c r="F43" t="s">
        <v>840</v>
      </c>
      <c r="G43" s="64">
        <v>44966</v>
      </c>
      <c r="H43">
        <v>300</v>
      </c>
      <c r="I43">
        <v>300</v>
      </c>
      <c r="J43">
        <v>8</v>
      </c>
      <c r="K43">
        <v>0</v>
      </c>
      <c r="L43">
        <v>30</v>
      </c>
      <c r="M43">
        <v>0</v>
      </c>
      <c r="N43">
        <v>0</v>
      </c>
      <c r="O43"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300"/>
      <c r="AU43" s="93"/>
      <c r="AV43" s="300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">
        <v>841</v>
      </c>
      <c r="B44" t="s">
        <v>88</v>
      </c>
      <c r="C44" s="52" t="s">
        <v>842</v>
      </c>
      <c r="D44" s="52" t="s">
        <v>842</v>
      </c>
      <c r="E44">
        <v>228.1</v>
      </c>
      <c r="F44">
        <v>210.2</v>
      </c>
      <c r="G44" s="64">
        <v>45335</v>
      </c>
      <c r="H44">
        <v>600</v>
      </c>
      <c r="I44">
        <v>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69">
        <f t="shared" si="2"/>
        <v>204.16666666666666</v>
      </c>
      <c r="Q44" s="87"/>
      <c r="R44" s="88"/>
      <c r="S44" s="81" t="s">
        <v>476</v>
      </c>
      <c r="T44" s="82">
        <v>2.1</v>
      </c>
      <c r="U44" s="81" t="s">
        <v>477</v>
      </c>
      <c r="V44" s="82">
        <v>2.9</v>
      </c>
      <c r="W44" s="81" t="s">
        <v>478</v>
      </c>
      <c r="X44" s="82">
        <v>1.3</v>
      </c>
      <c r="Y44" s="81" t="s">
        <v>479</v>
      </c>
      <c r="Z44" s="82">
        <v>2.6</v>
      </c>
      <c r="AA44" s="89" t="s">
        <v>480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300"/>
      <c r="AU44" s="93"/>
      <c r="AV44" s="300"/>
      <c r="AW44" s="93"/>
      <c r="AX44" s="66">
        <f t="shared" si="3"/>
        <v>9.8000000000000007</v>
      </c>
      <c r="AY44" s="78">
        <f t="shared" si="4"/>
        <v>204.16666666666666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330.18333333333334</v>
      </c>
      <c r="BC44" s="53">
        <f t="shared" si="1"/>
        <v>312.2833333333333</v>
      </c>
    </row>
    <row r="45" spans="1:55" ht="13.15">
      <c r="A45" t="s">
        <v>843</v>
      </c>
      <c r="B45" t="s">
        <v>88</v>
      </c>
      <c r="C45" s="52" t="s">
        <v>842</v>
      </c>
      <c r="D45" s="52" t="s">
        <v>842</v>
      </c>
      <c r="E45">
        <v>0</v>
      </c>
      <c r="F45">
        <v>0</v>
      </c>
      <c r="G45" s="64">
        <v>0</v>
      </c>
      <c r="H45">
        <v>300</v>
      </c>
      <c r="I45">
        <v>300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300"/>
      <c r="AU45" s="93"/>
      <c r="AV45" s="300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">
        <v>844</v>
      </c>
      <c r="B46" t="s">
        <v>88</v>
      </c>
      <c r="C46" s="52" t="s">
        <v>842</v>
      </c>
      <c r="D46" s="52" t="s">
        <v>842</v>
      </c>
      <c r="E46">
        <v>65</v>
      </c>
      <c r="F46">
        <v>75</v>
      </c>
      <c r="G46" s="64">
        <v>44967</v>
      </c>
      <c r="H46">
        <v>300</v>
      </c>
      <c r="I46">
        <v>300</v>
      </c>
      <c r="J46">
        <v>0</v>
      </c>
      <c r="K46">
        <v>0</v>
      </c>
      <c r="L46">
        <v>1</v>
      </c>
      <c r="M46">
        <v>1</v>
      </c>
      <c r="N46">
        <v>0</v>
      </c>
      <c r="O46"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300"/>
      <c r="AU46" s="93"/>
      <c r="AV46" s="300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">
        <v>845</v>
      </c>
      <c r="B47" t="s">
        <v>100</v>
      </c>
      <c r="C47" s="52" t="s">
        <v>846</v>
      </c>
      <c r="D47" s="52" t="s">
        <v>846</v>
      </c>
      <c r="E47">
        <v>125</v>
      </c>
      <c r="F47">
        <v>125</v>
      </c>
      <c r="G47" s="64">
        <v>45110</v>
      </c>
      <c r="H47">
        <v>300</v>
      </c>
      <c r="I47">
        <v>300</v>
      </c>
      <c r="J47">
        <v>0</v>
      </c>
      <c r="K47">
        <v>0</v>
      </c>
      <c r="L47">
        <v>0</v>
      </c>
      <c r="M47">
        <v>3</v>
      </c>
      <c r="N47">
        <v>4</v>
      </c>
      <c r="O47"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300"/>
      <c r="AU47" s="93"/>
      <c r="AV47" s="300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">
        <v>847</v>
      </c>
      <c r="B48" t="s">
        <v>100</v>
      </c>
      <c r="C48" s="52" t="s">
        <v>846</v>
      </c>
      <c r="D48" s="52" t="s">
        <v>846</v>
      </c>
      <c r="E48">
        <v>125</v>
      </c>
      <c r="F48">
        <v>126</v>
      </c>
      <c r="G48" s="64">
        <v>45110</v>
      </c>
      <c r="H48">
        <v>300</v>
      </c>
      <c r="I48">
        <v>300</v>
      </c>
      <c r="J48">
        <v>0</v>
      </c>
      <c r="K48">
        <v>1</v>
      </c>
      <c r="L48">
        <v>3</v>
      </c>
      <c r="M48">
        <v>6</v>
      </c>
      <c r="N48">
        <v>8</v>
      </c>
      <c r="O48"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300"/>
      <c r="AU48" s="93"/>
      <c r="AV48" s="300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">
        <v>848</v>
      </c>
      <c r="B49" t="s">
        <v>100</v>
      </c>
      <c r="C49" s="52" t="s">
        <v>846</v>
      </c>
      <c r="D49" s="52" t="s">
        <v>846</v>
      </c>
      <c r="E49">
        <v>150</v>
      </c>
      <c r="F49">
        <v>150</v>
      </c>
      <c r="G49" s="64">
        <v>45110</v>
      </c>
      <c r="H49">
        <v>300</v>
      </c>
      <c r="I49">
        <v>300</v>
      </c>
      <c r="J49">
        <v>0</v>
      </c>
      <c r="K49">
        <v>2</v>
      </c>
      <c r="L49">
        <v>1</v>
      </c>
      <c r="M49">
        <v>9</v>
      </c>
      <c r="N49">
        <v>8</v>
      </c>
      <c r="O49">
        <v>0</v>
      </c>
      <c r="P49" s="69">
        <f t="shared" si="2"/>
        <v>62.5</v>
      </c>
      <c r="Q49" s="81" t="s">
        <v>493</v>
      </c>
      <c r="R49" s="82">
        <v>2</v>
      </c>
      <c r="S49" s="106" t="s">
        <v>494</v>
      </c>
      <c r="T49" s="256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300"/>
      <c r="AU49" s="93"/>
      <c r="AV49" s="300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">
        <v>849</v>
      </c>
      <c r="B50" t="s">
        <v>100</v>
      </c>
      <c r="C50" s="52" t="s">
        <v>846</v>
      </c>
      <c r="D50" s="52" t="s">
        <v>846</v>
      </c>
      <c r="E50">
        <v>90</v>
      </c>
      <c r="F50">
        <v>90</v>
      </c>
      <c r="G50" s="64">
        <v>45110</v>
      </c>
      <c r="H50">
        <v>250</v>
      </c>
      <c r="I50">
        <v>250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300"/>
      <c r="AU50" s="93"/>
      <c r="AV50" s="300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">
        <v>850</v>
      </c>
      <c r="B51" t="s">
        <v>255</v>
      </c>
      <c r="C51" s="52" t="s">
        <v>851</v>
      </c>
      <c r="D51" s="52" t="s">
        <v>851</v>
      </c>
      <c r="E51">
        <v>22</v>
      </c>
      <c r="F51">
        <v>22</v>
      </c>
      <c r="G51" s="64">
        <v>42422</v>
      </c>
      <c r="H51">
        <v>300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58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300"/>
      <c r="AU51" s="93"/>
      <c r="AV51" s="300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">
        <v>852</v>
      </c>
      <c r="B52" t="s">
        <v>107</v>
      </c>
      <c r="C52" s="52" t="s">
        <v>853</v>
      </c>
      <c r="D52" s="52" t="s">
        <v>853</v>
      </c>
      <c r="E52">
        <v>120</v>
      </c>
      <c r="F52">
        <v>140</v>
      </c>
      <c r="G52" s="64">
        <v>44105</v>
      </c>
      <c r="H52">
        <v>300</v>
      </c>
      <c r="I52">
        <v>300</v>
      </c>
      <c r="J52">
        <v>5</v>
      </c>
      <c r="K52">
        <v>6</v>
      </c>
      <c r="L52">
        <v>9</v>
      </c>
      <c r="M52">
        <v>4</v>
      </c>
      <c r="N52">
        <v>9</v>
      </c>
      <c r="O52">
        <v>0</v>
      </c>
      <c r="P52" s="69">
        <f t="shared" si="2"/>
        <v>20.833333333333332</v>
      </c>
      <c r="Q52" s="101" t="s">
        <v>502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300"/>
      <c r="AU52" s="93"/>
      <c r="AV52" s="300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">
        <v>854</v>
      </c>
      <c r="B53" t="s">
        <v>107</v>
      </c>
      <c r="C53" s="52" t="s">
        <v>853</v>
      </c>
      <c r="D53" s="52" t="s">
        <v>853</v>
      </c>
      <c r="E53">
        <v>80</v>
      </c>
      <c r="F53">
        <v>80</v>
      </c>
      <c r="G53" s="64">
        <v>44105</v>
      </c>
      <c r="H53">
        <v>300</v>
      </c>
      <c r="I53">
        <v>300</v>
      </c>
      <c r="J53">
        <v>6</v>
      </c>
      <c r="K53">
        <v>6</v>
      </c>
      <c r="L53">
        <v>11</v>
      </c>
      <c r="M53">
        <v>8</v>
      </c>
      <c r="N53">
        <v>11</v>
      </c>
      <c r="O53"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300"/>
      <c r="AU53" s="93"/>
      <c r="AV53" s="300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">
        <v>855</v>
      </c>
      <c r="B54" t="s">
        <v>107</v>
      </c>
      <c r="C54" s="52" t="s">
        <v>853</v>
      </c>
      <c r="D54" s="52" t="s">
        <v>853</v>
      </c>
      <c r="E54">
        <v>50</v>
      </c>
      <c r="F54">
        <v>60</v>
      </c>
      <c r="G54" s="64">
        <v>44105</v>
      </c>
      <c r="H54">
        <v>300</v>
      </c>
      <c r="I54">
        <v>300</v>
      </c>
      <c r="J54">
        <v>5</v>
      </c>
      <c r="K54">
        <v>5</v>
      </c>
      <c r="L54">
        <v>12</v>
      </c>
      <c r="M54">
        <v>14</v>
      </c>
      <c r="N54">
        <v>11</v>
      </c>
      <c r="O54"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300"/>
      <c r="AU54" s="93"/>
      <c r="AV54" s="300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">
        <v>856</v>
      </c>
      <c r="B55" t="s">
        <v>107</v>
      </c>
      <c r="C55" s="52" t="s">
        <v>853</v>
      </c>
      <c r="D55" s="52" t="s">
        <v>853</v>
      </c>
      <c r="E55">
        <v>150</v>
      </c>
      <c r="F55">
        <v>170</v>
      </c>
      <c r="G55" s="64">
        <v>44105</v>
      </c>
      <c r="H55">
        <v>300</v>
      </c>
      <c r="I55">
        <v>300</v>
      </c>
      <c r="J55">
        <v>6</v>
      </c>
      <c r="K55">
        <v>4</v>
      </c>
      <c r="L55">
        <v>0</v>
      </c>
      <c r="M55">
        <v>1</v>
      </c>
      <c r="N55">
        <v>12</v>
      </c>
      <c r="O55">
        <v>0</v>
      </c>
      <c r="P55" s="69">
        <f t="shared" si="2"/>
        <v>125</v>
      </c>
      <c r="Q55" s="101" t="s">
        <v>500</v>
      </c>
      <c r="R55" s="100">
        <v>2</v>
      </c>
      <c r="S55" s="99" t="s">
        <v>500</v>
      </c>
      <c r="T55" s="100">
        <v>2</v>
      </c>
      <c r="U55" s="101" t="s">
        <v>501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300"/>
      <c r="AU55" s="93"/>
      <c r="AV55" s="300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">
        <v>857</v>
      </c>
      <c r="B56" t="s">
        <v>107</v>
      </c>
      <c r="C56" s="52" t="s">
        <v>853</v>
      </c>
      <c r="D56" s="52" t="s">
        <v>853</v>
      </c>
      <c r="E56">
        <v>150</v>
      </c>
      <c r="F56">
        <v>130</v>
      </c>
      <c r="G56" s="64">
        <v>44105</v>
      </c>
      <c r="H56">
        <v>300</v>
      </c>
      <c r="I56">
        <v>300</v>
      </c>
      <c r="J56">
        <v>4</v>
      </c>
      <c r="K56">
        <v>0</v>
      </c>
      <c r="L56">
        <v>0</v>
      </c>
      <c r="M56">
        <v>21</v>
      </c>
      <c r="N56">
        <v>11</v>
      </c>
      <c r="O56">
        <v>0</v>
      </c>
      <c r="P56" s="69">
        <f t="shared" si="2"/>
        <v>104.16666666666667</v>
      </c>
      <c r="Q56" s="81" t="s">
        <v>499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300"/>
      <c r="AU56" s="93"/>
      <c r="AV56" s="300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">
        <v>858</v>
      </c>
      <c r="B57" t="s">
        <v>145</v>
      </c>
      <c r="C57" s="52" t="s">
        <v>859</v>
      </c>
      <c r="D57" s="52" t="s">
        <v>859</v>
      </c>
      <c r="E57">
        <v>40</v>
      </c>
      <c r="F57">
        <v>30</v>
      </c>
      <c r="G57" s="64">
        <v>44105</v>
      </c>
      <c r="H57">
        <v>300</v>
      </c>
      <c r="I57">
        <v>300</v>
      </c>
      <c r="J57">
        <v>6</v>
      </c>
      <c r="K57">
        <v>2</v>
      </c>
      <c r="L57">
        <v>5</v>
      </c>
      <c r="M57">
        <v>10</v>
      </c>
      <c r="N57">
        <v>11</v>
      </c>
      <c r="O57">
        <v>0</v>
      </c>
      <c r="P57" s="69">
        <f t="shared" si="2"/>
        <v>156.25</v>
      </c>
      <c r="Q57" s="81" t="s">
        <v>564</v>
      </c>
      <c r="R57" s="82">
        <v>5</v>
      </c>
      <c r="S57" s="99" t="s">
        <v>566</v>
      </c>
      <c r="T57" s="100">
        <v>1</v>
      </c>
      <c r="U57" s="99" t="s">
        <v>566</v>
      </c>
      <c r="V57" s="100">
        <v>1</v>
      </c>
      <c r="W57" s="99" t="s">
        <v>567</v>
      </c>
      <c r="X57" s="291">
        <v>0.5</v>
      </c>
      <c r="Y57" s="92"/>
      <c r="Z57" s="80"/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300"/>
      <c r="AU57" s="93"/>
      <c r="AV57" s="300"/>
      <c r="AW57" s="93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">
        <v>860</v>
      </c>
      <c r="B58" t="s">
        <v>145</v>
      </c>
      <c r="C58" s="52" t="s">
        <v>859</v>
      </c>
      <c r="D58" s="52" t="s">
        <v>859</v>
      </c>
      <c r="E58">
        <v>80</v>
      </c>
      <c r="F58">
        <v>100</v>
      </c>
      <c r="G58" s="64">
        <v>44105</v>
      </c>
      <c r="H58">
        <v>300</v>
      </c>
      <c r="I58">
        <v>300</v>
      </c>
      <c r="J58">
        <v>1</v>
      </c>
      <c r="K58">
        <v>0</v>
      </c>
      <c r="L58">
        <v>0</v>
      </c>
      <c r="M58">
        <v>11</v>
      </c>
      <c r="N58">
        <v>9</v>
      </c>
      <c r="O58">
        <v>0</v>
      </c>
      <c r="P58" s="69">
        <f t="shared" si="2"/>
        <v>41.666666666666664</v>
      </c>
      <c r="Q58" s="81" t="s">
        <v>565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300"/>
      <c r="AU58" s="93"/>
      <c r="AV58" s="300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">
        <v>861</v>
      </c>
      <c r="B59" t="s">
        <v>150</v>
      </c>
      <c r="C59" s="52" t="s">
        <v>862</v>
      </c>
      <c r="D59" s="52" t="s">
        <v>862</v>
      </c>
      <c r="E59">
        <v>105</v>
      </c>
      <c r="F59">
        <v>95</v>
      </c>
      <c r="G59" s="64">
        <v>44217</v>
      </c>
      <c r="H59">
        <v>300</v>
      </c>
      <c r="I59">
        <v>300</v>
      </c>
      <c r="J59">
        <v>2</v>
      </c>
      <c r="K59">
        <v>0</v>
      </c>
      <c r="L59">
        <v>0</v>
      </c>
      <c r="M59">
        <v>0</v>
      </c>
      <c r="N59">
        <v>2</v>
      </c>
      <c r="O59"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300"/>
      <c r="AU59" s="93"/>
      <c r="AV59" s="300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">
        <v>863</v>
      </c>
      <c r="B60" t="s">
        <v>150</v>
      </c>
      <c r="C60" s="52" t="s">
        <v>862</v>
      </c>
      <c r="D60" s="52" t="s">
        <v>862</v>
      </c>
      <c r="E60">
        <v>25</v>
      </c>
      <c r="F60">
        <v>25</v>
      </c>
      <c r="G60" s="64">
        <v>44161</v>
      </c>
      <c r="H60">
        <v>300</v>
      </c>
      <c r="I60">
        <v>300</v>
      </c>
      <c r="J60">
        <v>2</v>
      </c>
      <c r="K60">
        <v>0</v>
      </c>
      <c r="L60">
        <v>0</v>
      </c>
      <c r="M60">
        <v>2</v>
      </c>
      <c r="N60">
        <v>2</v>
      </c>
      <c r="O60"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300"/>
      <c r="AU60" s="93"/>
      <c r="AV60" s="300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">
        <v>864</v>
      </c>
      <c r="B61" t="s">
        <v>150</v>
      </c>
      <c r="C61" s="52" t="s">
        <v>862</v>
      </c>
      <c r="D61" s="52" t="s">
        <v>865</v>
      </c>
      <c r="E61">
        <v>125</v>
      </c>
      <c r="F61">
        <v>120</v>
      </c>
      <c r="G61" s="64">
        <v>44161</v>
      </c>
      <c r="H61">
        <v>300</v>
      </c>
      <c r="I61">
        <v>300</v>
      </c>
      <c r="J61">
        <v>2</v>
      </c>
      <c r="K61">
        <v>0</v>
      </c>
      <c r="L61">
        <v>0</v>
      </c>
      <c r="M61">
        <v>1</v>
      </c>
      <c r="N61">
        <v>2</v>
      </c>
      <c r="O61"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300"/>
      <c r="AU61" s="93"/>
      <c r="AV61" s="300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">
        <v>866</v>
      </c>
      <c r="B62" t="s">
        <v>150</v>
      </c>
      <c r="C62" s="52" t="s">
        <v>862</v>
      </c>
      <c r="D62" s="52" t="s">
        <v>862</v>
      </c>
      <c r="E62">
        <v>5</v>
      </c>
      <c r="F62">
        <v>25</v>
      </c>
      <c r="G62" s="64">
        <v>44161</v>
      </c>
      <c r="H62">
        <v>300</v>
      </c>
      <c r="I62">
        <v>300</v>
      </c>
      <c r="J62">
        <v>0</v>
      </c>
      <c r="K62">
        <v>0</v>
      </c>
      <c r="L62">
        <v>0</v>
      </c>
      <c r="M62">
        <v>1</v>
      </c>
      <c r="N62">
        <v>2</v>
      </c>
      <c r="O62">
        <v>49</v>
      </c>
      <c r="P62" s="69">
        <f t="shared" si="2"/>
        <v>416.66666666666669</v>
      </c>
      <c r="Q62" s="81" t="s">
        <v>575</v>
      </c>
      <c r="R62" s="82">
        <v>5</v>
      </c>
      <c r="S62" s="81" t="s">
        <v>576</v>
      </c>
      <c r="T62" s="82">
        <v>4.5</v>
      </c>
      <c r="U62" s="81" t="s">
        <v>867</v>
      </c>
      <c r="V62" s="82">
        <v>4.5</v>
      </c>
      <c r="W62" s="99" t="s">
        <v>577</v>
      </c>
      <c r="X62" s="100">
        <v>1</v>
      </c>
      <c r="Y62" s="303" t="s">
        <v>868</v>
      </c>
      <c r="Z62" s="304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300"/>
      <c r="AU62" s="93"/>
      <c r="AV62" s="300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">
        <v>869</v>
      </c>
      <c r="B63" t="s">
        <v>147</v>
      </c>
      <c r="C63" s="52" t="s">
        <v>870</v>
      </c>
      <c r="D63" s="52" t="s">
        <v>870</v>
      </c>
      <c r="E63">
        <v>97</v>
      </c>
      <c r="F63">
        <v>103</v>
      </c>
      <c r="G63" s="64">
        <v>44229</v>
      </c>
      <c r="H63">
        <v>300</v>
      </c>
      <c r="I63">
        <v>300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 s="69">
        <f t="shared" si="2"/>
        <v>125</v>
      </c>
      <c r="Q63" s="81" t="s">
        <v>569</v>
      </c>
      <c r="R63" s="82">
        <v>5</v>
      </c>
      <c r="S63" s="99" t="s">
        <v>571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300"/>
      <c r="AU63" s="93"/>
      <c r="AV63" s="300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">
        <v>871</v>
      </c>
      <c r="B64" t="s">
        <v>147</v>
      </c>
      <c r="C64" s="52" t="s">
        <v>870</v>
      </c>
      <c r="D64" s="52" t="s">
        <v>870</v>
      </c>
      <c r="E64">
        <v>75</v>
      </c>
      <c r="F64">
        <v>50</v>
      </c>
      <c r="G64" s="64">
        <v>44384</v>
      </c>
      <c r="H64">
        <v>300</v>
      </c>
      <c r="I64">
        <v>300</v>
      </c>
      <c r="J64">
        <v>6</v>
      </c>
      <c r="K64">
        <v>6</v>
      </c>
      <c r="L64">
        <v>0</v>
      </c>
      <c r="M64">
        <v>12</v>
      </c>
      <c r="N64">
        <v>12</v>
      </c>
      <c r="O64"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300"/>
      <c r="AU64" s="93"/>
      <c r="AV64" s="300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">
        <v>872</v>
      </c>
      <c r="B65" t="s">
        <v>147</v>
      </c>
      <c r="C65" s="52" t="s">
        <v>870</v>
      </c>
      <c r="D65" s="52" t="s">
        <v>870</v>
      </c>
      <c r="E65">
        <v>60</v>
      </c>
      <c r="F65">
        <v>40</v>
      </c>
      <c r="G65" s="64">
        <v>44229</v>
      </c>
      <c r="H65">
        <v>300</v>
      </c>
      <c r="I65">
        <v>300</v>
      </c>
      <c r="J65">
        <v>6</v>
      </c>
      <c r="K65">
        <v>4</v>
      </c>
      <c r="L65">
        <v>4</v>
      </c>
      <c r="M65">
        <v>20</v>
      </c>
      <c r="N65">
        <v>12</v>
      </c>
      <c r="O65"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300"/>
      <c r="AU65" s="93"/>
      <c r="AV65" s="300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">
        <v>873</v>
      </c>
      <c r="B66" t="s">
        <v>147</v>
      </c>
      <c r="C66" s="52" t="s">
        <v>870</v>
      </c>
      <c r="D66" s="52" t="s">
        <v>870</v>
      </c>
      <c r="E66">
        <v>110</v>
      </c>
      <c r="F66">
        <v>150</v>
      </c>
      <c r="G66" s="64">
        <v>44229</v>
      </c>
      <c r="H66">
        <v>300</v>
      </c>
      <c r="I66">
        <v>300</v>
      </c>
      <c r="J66">
        <v>6</v>
      </c>
      <c r="K66">
        <v>0</v>
      </c>
      <c r="L66">
        <v>1</v>
      </c>
      <c r="M66">
        <v>9</v>
      </c>
      <c r="N66">
        <v>12</v>
      </c>
      <c r="O66">
        <v>0</v>
      </c>
      <c r="P66" s="69">
        <f t="shared" si="2"/>
        <v>20.833333333333332</v>
      </c>
      <c r="Q66" s="81" t="s">
        <v>570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300"/>
      <c r="AU66" s="93"/>
      <c r="AV66" s="300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">
        <v>874</v>
      </c>
      <c r="B67" t="s">
        <v>168</v>
      </c>
      <c r="C67" s="52" t="s">
        <v>875</v>
      </c>
      <c r="D67" s="52" t="s">
        <v>875</v>
      </c>
      <c r="E67">
        <v>160</v>
      </c>
      <c r="F67">
        <v>150</v>
      </c>
      <c r="G67" s="64">
        <v>44294</v>
      </c>
      <c r="H67">
        <v>300</v>
      </c>
      <c r="I67">
        <v>300</v>
      </c>
      <c r="J67">
        <v>2</v>
      </c>
      <c r="K67">
        <v>3</v>
      </c>
      <c r="L67">
        <v>0</v>
      </c>
      <c r="M67">
        <v>19</v>
      </c>
      <c r="N67">
        <v>9</v>
      </c>
      <c r="O67">
        <v>0</v>
      </c>
      <c r="P67" s="69">
        <f t="shared" si="2"/>
        <v>41.666666666666664</v>
      </c>
      <c r="Q67" s="106" t="s">
        <v>613</v>
      </c>
      <c r="R67" s="256">
        <v>1</v>
      </c>
      <c r="S67" s="106" t="s">
        <v>613</v>
      </c>
      <c r="T67" s="256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300"/>
      <c r="AU67" s="93"/>
      <c r="AV67" s="300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">
        <v>876</v>
      </c>
      <c r="B68" t="s">
        <v>168</v>
      </c>
      <c r="C68" s="52" t="s">
        <v>875</v>
      </c>
      <c r="D68" s="52" t="s">
        <v>875</v>
      </c>
      <c r="E68">
        <v>40</v>
      </c>
      <c r="F68">
        <v>40</v>
      </c>
      <c r="G68" s="64">
        <v>45328</v>
      </c>
      <c r="H68">
        <v>300</v>
      </c>
      <c r="I68">
        <v>300</v>
      </c>
      <c r="J68">
        <v>1</v>
      </c>
      <c r="K68">
        <v>1</v>
      </c>
      <c r="L68">
        <v>0</v>
      </c>
      <c r="M68">
        <v>21</v>
      </c>
      <c r="N68">
        <v>12</v>
      </c>
      <c r="O68">
        <v>0</v>
      </c>
      <c r="P68" s="69">
        <f t="shared" ref="P68:P131" si="15">SUM(AY68+BA68)</f>
        <v>135.41666666666666</v>
      </c>
      <c r="Q68" s="92" t="s">
        <v>877</v>
      </c>
      <c r="R68" s="80">
        <v>1</v>
      </c>
      <c r="S68" s="89" t="s">
        <v>615</v>
      </c>
      <c r="T68" s="284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300"/>
      <c r="AU68" s="93"/>
      <c r="AV68" s="300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">
        <v>878</v>
      </c>
      <c r="B69" t="s">
        <v>168</v>
      </c>
      <c r="C69" s="52" t="s">
        <v>875</v>
      </c>
      <c r="D69" s="52" t="s">
        <v>875</v>
      </c>
      <c r="E69">
        <v>65</v>
      </c>
      <c r="F69">
        <v>70</v>
      </c>
      <c r="G69" s="64">
        <v>44294</v>
      </c>
      <c r="H69">
        <v>300</v>
      </c>
      <c r="I69">
        <v>300</v>
      </c>
      <c r="J69">
        <v>6</v>
      </c>
      <c r="K69">
        <v>0</v>
      </c>
      <c r="L69">
        <v>0</v>
      </c>
      <c r="M69">
        <v>16</v>
      </c>
      <c r="N69">
        <v>6</v>
      </c>
      <c r="O69">
        <v>0</v>
      </c>
      <c r="P69" s="69">
        <f t="shared" si="15"/>
        <v>83.333333333333329</v>
      </c>
      <c r="Q69" s="101" t="s">
        <v>879</v>
      </c>
      <c r="R69" s="117">
        <v>2</v>
      </c>
      <c r="S69" s="99" t="s">
        <v>611</v>
      </c>
      <c r="T69" s="117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300"/>
      <c r="AU69" s="93"/>
      <c r="AV69" s="300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">
        <v>880</v>
      </c>
      <c r="B70" t="s">
        <v>168</v>
      </c>
      <c r="C70" s="52" t="s">
        <v>875</v>
      </c>
      <c r="D70" s="52" t="s">
        <v>875</v>
      </c>
      <c r="E70">
        <v>140</v>
      </c>
      <c r="F70">
        <v>140</v>
      </c>
      <c r="G70" s="64">
        <v>44294</v>
      </c>
      <c r="H70">
        <v>300</v>
      </c>
      <c r="I70">
        <v>300</v>
      </c>
      <c r="J70">
        <v>0</v>
      </c>
      <c r="K70">
        <v>0</v>
      </c>
      <c r="L70">
        <v>0</v>
      </c>
      <c r="M70">
        <v>3</v>
      </c>
      <c r="N70">
        <v>7</v>
      </c>
      <c r="O70"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300"/>
      <c r="AU70" s="93"/>
      <c r="AV70" s="300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">
        <v>881</v>
      </c>
      <c r="B71" t="s">
        <v>168</v>
      </c>
      <c r="C71" s="52" t="s">
        <v>882</v>
      </c>
      <c r="D71" s="52" t="s">
        <v>882</v>
      </c>
      <c r="E71">
        <v>0</v>
      </c>
      <c r="F71">
        <v>0</v>
      </c>
      <c r="G71" s="64">
        <v>0</v>
      </c>
      <c r="H71">
        <v>300</v>
      </c>
      <c r="I71">
        <v>300</v>
      </c>
      <c r="J71">
        <v>0</v>
      </c>
      <c r="K71">
        <v>0</v>
      </c>
      <c r="L71">
        <v>0</v>
      </c>
      <c r="M71">
        <v>6</v>
      </c>
      <c r="N71">
        <v>6</v>
      </c>
      <c r="O71"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300"/>
      <c r="AU71" s="93"/>
      <c r="AV71" s="300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">
        <v>883</v>
      </c>
      <c r="B72" t="s">
        <v>168</v>
      </c>
      <c r="C72" s="52" t="s">
        <v>882</v>
      </c>
      <c r="D72" s="52" t="s">
        <v>882</v>
      </c>
      <c r="E72">
        <v>0</v>
      </c>
      <c r="F72">
        <v>0</v>
      </c>
      <c r="G72" s="64">
        <v>0</v>
      </c>
      <c r="H72">
        <v>300</v>
      </c>
      <c r="I72">
        <v>300</v>
      </c>
      <c r="J72">
        <v>0</v>
      </c>
      <c r="K72">
        <v>0</v>
      </c>
      <c r="L72">
        <v>3</v>
      </c>
      <c r="M72">
        <v>6</v>
      </c>
      <c r="N72">
        <v>6</v>
      </c>
      <c r="O72"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300"/>
      <c r="AU72" s="93"/>
      <c r="AV72" s="300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">
        <v>884</v>
      </c>
      <c r="B73" t="s">
        <v>206</v>
      </c>
      <c r="C73" s="52" t="s">
        <v>885</v>
      </c>
      <c r="D73" s="52" t="s">
        <v>885</v>
      </c>
      <c r="E73">
        <v>35</v>
      </c>
      <c r="F73">
        <v>35</v>
      </c>
      <c r="G73" s="64">
        <v>44042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</v>
      </c>
      <c r="P73" s="69">
        <f t="shared" si="15"/>
        <v>83.333333333333329</v>
      </c>
      <c r="Q73" s="81" t="s">
        <v>674</v>
      </c>
      <c r="R73" s="82">
        <v>4</v>
      </c>
      <c r="S73" s="93"/>
      <c r="T73" s="80"/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300"/>
      <c r="AU73" s="93"/>
      <c r="AV73" s="300"/>
      <c r="AW73" s="93"/>
      <c r="AX73" s="66">
        <f t="shared" si="11"/>
        <v>4</v>
      </c>
      <c r="AY73" s="78">
        <f t="shared" si="12"/>
        <v>83.333333333333329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76.666666666666657</v>
      </c>
      <c r="BC73" s="53">
        <f t="shared" si="14"/>
        <v>76.666666666666657</v>
      </c>
    </row>
    <row r="74" spans="1:55" ht="13.15">
      <c r="A74" t="s">
        <v>886</v>
      </c>
      <c r="B74" t="s">
        <v>216</v>
      </c>
      <c r="C74" s="52" t="s">
        <v>887</v>
      </c>
      <c r="D74" s="52" t="s">
        <v>887</v>
      </c>
      <c r="E74">
        <v>16</v>
      </c>
      <c r="F74">
        <v>14</v>
      </c>
      <c r="G74" s="64">
        <v>44111</v>
      </c>
      <c r="H74">
        <v>300</v>
      </c>
      <c r="I74">
        <v>300</v>
      </c>
      <c r="J74">
        <v>8</v>
      </c>
      <c r="K74">
        <v>12</v>
      </c>
      <c r="L74">
        <v>1</v>
      </c>
      <c r="M74">
        <v>0</v>
      </c>
      <c r="N74">
        <v>0</v>
      </c>
      <c r="O74"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300"/>
      <c r="AU74" s="93"/>
      <c r="AV74" s="300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">
        <v>888</v>
      </c>
      <c r="B75" t="s">
        <v>227</v>
      </c>
      <c r="C75" s="52" t="s">
        <v>889</v>
      </c>
      <c r="D75" s="52" t="s">
        <v>889</v>
      </c>
      <c r="E75">
        <v>140</v>
      </c>
      <c r="F75">
        <v>140</v>
      </c>
      <c r="G75" s="64">
        <v>44251</v>
      </c>
      <c r="H75">
        <v>300</v>
      </c>
      <c r="I75">
        <v>300</v>
      </c>
      <c r="J75">
        <v>5</v>
      </c>
      <c r="K75">
        <v>6</v>
      </c>
      <c r="L75">
        <v>9</v>
      </c>
      <c r="M75">
        <v>0</v>
      </c>
      <c r="N75">
        <v>8</v>
      </c>
      <c r="O75"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300"/>
      <c r="AU75" s="93"/>
      <c r="AV75" s="300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">
        <v>890</v>
      </c>
      <c r="B76" t="s">
        <v>227</v>
      </c>
      <c r="C76" s="52" t="s">
        <v>889</v>
      </c>
      <c r="D76" s="52" t="s">
        <v>889</v>
      </c>
      <c r="E76">
        <v>140</v>
      </c>
      <c r="F76">
        <v>140</v>
      </c>
      <c r="G76" s="64">
        <v>44251</v>
      </c>
      <c r="H76">
        <v>300</v>
      </c>
      <c r="I76">
        <v>300</v>
      </c>
      <c r="J76">
        <v>5</v>
      </c>
      <c r="K76">
        <v>2</v>
      </c>
      <c r="L76">
        <v>12</v>
      </c>
      <c r="M76">
        <v>2</v>
      </c>
      <c r="N76">
        <v>11</v>
      </c>
      <c r="O76"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300"/>
      <c r="AU76" s="93"/>
      <c r="AV76" s="300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">
        <v>891</v>
      </c>
      <c r="B77" t="s">
        <v>233</v>
      </c>
      <c r="C77" s="52" t="s">
        <v>892</v>
      </c>
      <c r="D77" s="52" t="s">
        <v>892</v>
      </c>
      <c r="E77">
        <v>200</v>
      </c>
      <c r="F77">
        <v>250</v>
      </c>
      <c r="G77" s="64">
        <v>44980</v>
      </c>
      <c r="H77">
        <v>300</v>
      </c>
      <c r="I77">
        <v>300</v>
      </c>
      <c r="J77">
        <v>2</v>
      </c>
      <c r="K77">
        <v>1</v>
      </c>
      <c r="L77">
        <v>0</v>
      </c>
      <c r="M77">
        <v>4</v>
      </c>
      <c r="N77">
        <v>7</v>
      </c>
      <c r="O77">
        <v>0</v>
      </c>
      <c r="P77" s="69">
        <f t="shared" si="15"/>
        <v>83.333333333333329</v>
      </c>
      <c r="Q77" s="303" t="s">
        <v>710</v>
      </c>
      <c r="R77" s="304">
        <v>2</v>
      </c>
      <c r="S77" s="303" t="s">
        <v>711</v>
      </c>
      <c r="T77" s="304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300"/>
      <c r="AU77" s="93"/>
      <c r="AV77" s="300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">
        <v>893</v>
      </c>
      <c r="B78" t="s">
        <v>234</v>
      </c>
      <c r="C78" s="52" t="s">
        <v>892</v>
      </c>
      <c r="D78" s="52" t="s">
        <v>892</v>
      </c>
      <c r="E78">
        <v>80</v>
      </c>
      <c r="F78">
        <v>80</v>
      </c>
      <c r="G78" s="64">
        <v>44980</v>
      </c>
      <c r="H78">
        <v>300</v>
      </c>
      <c r="I78">
        <v>300</v>
      </c>
      <c r="J78">
        <v>6</v>
      </c>
      <c r="K78">
        <v>6</v>
      </c>
      <c r="L78">
        <v>0</v>
      </c>
      <c r="M78">
        <v>6</v>
      </c>
      <c r="N78">
        <v>11</v>
      </c>
      <c r="O78"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300"/>
      <c r="AU78" s="93"/>
      <c r="AV78" s="300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">
        <v>894</v>
      </c>
      <c r="B79" t="s">
        <v>234</v>
      </c>
      <c r="C79" s="52" t="s">
        <v>892</v>
      </c>
      <c r="D79" s="52" t="s">
        <v>892</v>
      </c>
      <c r="E79">
        <v>80</v>
      </c>
      <c r="F79">
        <v>80</v>
      </c>
      <c r="G79" s="64">
        <v>44980</v>
      </c>
      <c r="H79">
        <v>300</v>
      </c>
      <c r="I79">
        <v>300</v>
      </c>
      <c r="J79">
        <v>6</v>
      </c>
      <c r="K79">
        <v>6</v>
      </c>
      <c r="L79">
        <v>0</v>
      </c>
      <c r="M79">
        <v>12</v>
      </c>
      <c r="N79">
        <v>11</v>
      </c>
      <c r="O79"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300"/>
      <c r="AU79" s="93"/>
      <c r="AV79" s="300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">
        <v>895</v>
      </c>
      <c r="B80" t="s">
        <v>233</v>
      </c>
      <c r="C80" s="52" t="s">
        <v>892</v>
      </c>
      <c r="D80" s="52" t="s">
        <v>892</v>
      </c>
      <c r="E80">
        <v>180</v>
      </c>
      <c r="F80">
        <v>180</v>
      </c>
      <c r="G80" s="64">
        <v>44980</v>
      </c>
      <c r="H80">
        <v>300</v>
      </c>
      <c r="I80">
        <v>300</v>
      </c>
      <c r="J80">
        <v>6</v>
      </c>
      <c r="K80">
        <v>7</v>
      </c>
      <c r="L80">
        <v>0</v>
      </c>
      <c r="M80">
        <v>6</v>
      </c>
      <c r="N80">
        <v>11</v>
      </c>
      <c r="O80"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300"/>
      <c r="AU80" s="93"/>
      <c r="AV80" s="300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">
        <v>896</v>
      </c>
      <c r="B81" t="s">
        <v>233</v>
      </c>
      <c r="C81" s="52" t="s">
        <v>892</v>
      </c>
      <c r="D81" s="52" t="s">
        <v>892</v>
      </c>
      <c r="E81">
        <v>20</v>
      </c>
      <c r="F81">
        <v>20</v>
      </c>
      <c r="G81" s="64">
        <v>44980</v>
      </c>
      <c r="H81">
        <v>300</v>
      </c>
      <c r="I81">
        <v>300</v>
      </c>
      <c r="J81">
        <v>6</v>
      </c>
      <c r="K81">
        <v>12</v>
      </c>
      <c r="L81">
        <v>0</v>
      </c>
      <c r="M81">
        <v>20</v>
      </c>
      <c r="N81">
        <v>8</v>
      </c>
      <c r="O81"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300"/>
      <c r="AU81" s="93"/>
      <c r="AV81" s="300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">
        <v>897</v>
      </c>
      <c r="B82" t="s">
        <v>234</v>
      </c>
      <c r="C82" s="52" t="s">
        <v>892</v>
      </c>
      <c r="D82" s="52" t="s">
        <v>892</v>
      </c>
      <c r="E82">
        <v>80</v>
      </c>
      <c r="F82">
        <v>80</v>
      </c>
      <c r="G82" s="64">
        <v>44980</v>
      </c>
      <c r="H82">
        <v>300</v>
      </c>
      <c r="I82">
        <v>300</v>
      </c>
      <c r="J82">
        <v>4</v>
      </c>
      <c r="K82">
        <v>8</v>
      </c>
      <c r="L82">
        <v>0</v>
      </c>
      <c r="M82">
        <v>9</v>
      </c>
      <c r="N82">
        <v>5</v>
      </c>
      <c r="O82"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300"/>
      <c r="AU82" s="93"/>
      <c r="AV82" s="300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">
        <v>898</v>
      </c>
      <c r="B83" t="s">
        <v>232</v>
      </c>
      <c r="C83" s="52" t="s">
        <v>892</v>
      </c>
      <c r="D83" s="52" t="s">
        <v>892</v>
      </c>
      <c r="E83">
        <v>40</v>
      </c>
      <c r="F83">
        <v>40</v>
      </c>
      <c r="G83" s="64">
        <v>44980</v>
      </c>
      <c r="H83">
        <v>300</v>
      </c>
      <c r="I83">
        <v>300</v>
      </c>
      <c r="J83">
        <v>4</v>
      </c>
      <c r="K83">
        <v>10</v>
      </c>
      <c r="L83">
        <v>0</v>
      </c>
      <c r="M83">
        <v>19</v>
      </c>
      <c r="N83">
        <v>10</v>
      </c>
      <c r="O83"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300"/>
      <c r="AU83" s="93"/>
      <c r="AV83" s="300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">
        <v>899</v>
      </c>
      <c r="B84" t="s">
        <v>232</v>
      </c>
      <c r="C84" s="52" t="s">
        <v>892</v>
      </c>
      <c r="D84" s="52" t="s">
        <v>892</v>
      </c>
      <c r="E84">
        <v>40</v>
      </c>
      <c r="F84">
        <v>0</v>
      </c>
      <c r="G84" s="64">
        <v>44980</v>
      </c>
      <c r="H84">
        <v>300</v>
      </c>
      <c r="I84">
        <v>300</v>
      </c>
      <c r="J84">
        <v>3</v>
      </c>
      <c r="K84">
        <v>4</v>
      </c>
      <c r="L84">
        <v>0</v>
      </c>
      <c r="M84">
        <v>10</v>
      </c>
      <c r="N84">
        <v>12</v>
      </c>
      <c r="O84"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300"/>
      <c r="AU84" s="93"/>
      <c r="AV84" s="300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">
        <v>900</v>
      </c>
      <c r="B85" t="s">
        <v>234</v>
      </c>
      <c r="C85" s="52" t="s">
        <v>892</v>
      </c>
      <c r="D85" s="52" t="s">
        <v>892</v>
      </c>
      <c r="E85">
        <v>210</v>
      </c>
      <c r="F85">
        <v>210</v>
      </c>
      <c r="G85" s="64">
        <v>44980</v>
      </c>
      <c r="H85">
        <v>300</v>
      </c>
      <c r="I85">
        <v>300</v>
      </c>
      <c r="J85">
        <v>2</v>
      </c>
      <c r="K85">
        <v>0</v>
      </c>
      <c r="L85">
        <v>0</v>
      </c>
      <c r="M85">
        <v>2</v>
      </c>
      <c r="N85">
        <v>10</v>
      </c>
      <c r="O85"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300"/>
      <c r="AU85" s="93"/>
      <c r="AV85" s="300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">
        <v>901</v>
      </c>
      <c r="B86" t="s">
        <v>232</v>
      </c>
      <c r="C86" s="52" t="s">
        <v>892</v>
      </c>
      <c r="D86" s="52" t="s">
        <v>892</v>
      </c>
      <c r="E86">
        <v>60</v>
      </c>
      <c r="F86">
        <v>60</v>
      </c>
      <c r="G86" s="64">
        <v>44980</v>
      </c>
      <c r="H86">
        <v>300</v>
      </c>
      <c r="I86">
        <v>300</v>
      </c>
      <c r="J86">
        <v>6</v>
      </c>
      <c r="K86">
        <v>4</v>
      </c>
      <c r="L86">
        <v>6</v>
      </c>
      <c r="M86">
        <v>22</v>
      </c>
      <c r="N86">
        <v>2</v>
      </c>
      <c r="O86"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300"/>
      <c r="AU86" s="93"/>
      <c r="AV86" s="300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">
        <v>902</v>
      </c>
      <c r="B87" t="s">
        <v>903</v>
      </c>
      <c r="C87" s="52" t="s">
        <v>904</v>
      </c>
      <c r="D87" s="52" t="s">
        <v>904</v>
      </c>
      <c r="E87">
        <v>236.29999999999995</v>
      </c>
      <c r="F87">
        <v>249.59999999999997</v>
      </c>
      <c r="G87" s="64">
        <v>45335</v>
      </c>
      <c r="H87">
        <v>600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69">
        <f t="shared" si="15"/>
        <v>450</v>
      </c>
      <c r="Q87" s="81" t="s">
        <v>712</v>
      </c>
      <c r="R87" s="82">
        <v>2.5</v>
      </c>
      <c r="S87" s="81" t="s">
        <v>713</v>
      </c>
      <c r="T87" s="82">
        <v>0.9</v>
      </c>
      <c r="U87" s="81" t="s">
        <v>714</v>
      </c>
      <c r="V87" s="82">
        <v>3.3</v>
      </c>
      <c r="W87" s="81" t="s">
        <v>716</v>
      </c>
      <c r="X87" s="82">
        <v>2.5</v>
      </c>
      <c r="Y87" s="81" t="s">
        <v>717</v>
      </c>
      <c r="Z87" s="82">
        <v>1.9</v>
      </c>
      <c r="AA87" s="89" t="s">
        <v>718</v>
      </c>
      <c r="AB87" s="90">
        <v>1.3</v>
      </c>
      <c r="AC87" s="92" t="s">
        <v>721</v>
      </c>
      <c r="AD87" s="80">
        <v>3.2</v>
      </c>
      <c r="AE87" s="305" t="s">
        <v>719</v>
      </c>
      <c r="AF87" s="307">
        <v>4</v>
      </c>
      <c r="AG87" s="106" t="s">
        <v>905</v>
      </c>
      <c r="AH87" s="270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300"/>
      <c r="AU87" s="93"/>
      <c r="AV87" s="300"/>
      <c r="AW87" s="93"/>
      <c r="AX87" s="66">
        <f>SUM(R87+T87+V87+X87+Z87+AB87+AD87+AF87+AH87+AJ87+AL87+AN87+AP87+AR87)</f>
        <v>21.6</v>
      </c>
      <c r="AY87" s="78">
        <f t="shared" si="12"/>
        <v>450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461.29999999999995</v>
      </c>
      <c r="BC87" s="53">
        <f t="shared" si="14"/>
        <v>474.59999999999997</v>
      </c>
    </row>
    <row r="88" spans="1:55" ht="13.15">
      <c r="A88" t="s">
        <v>906</v>
      </c>
      <c r="B88" t="s">
        <v>907</v>
      </c>
      <c r="C88" s="52" t="s">
        <v>904</v>
      </c>
      <c r="D88" s="52" t="s">
        <v>904</v>
      </c>
      <c r="E88">
        <v>284</v>
      </c>
      <c r="F88">
        <v>275</v>
      </c>
      <c r="G88" s="64">
        <v>45078</v>
      </c>
      <c r="H88">
        <v>300</v>
      </c>
      <c r="I88">
        <v>300</v>
      </c>
      <c r="J88">
        <v>0</v>
      </c>
      <c r="K88">
        <v>1</v>
      </c>
      <c r="L88">
        <v>1</v>
      </c>
      <c r="M88">
        <v>1</v>
      </c>
      <c r="N88">
        <v>0</v>
      </c>
      <c r="O88"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300"/>
      <c r="AU88" s="93"/>
      <c r="AV88" s="300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">
        <v>908</v>
      </c>
      <c r="B89" t="s">
        <v>903</v>
      </c>
      <c r="C89" s="52" t="s">
        <v>904</v>
      </c>
      <c r="D89" s="52" t="s">
        <v>904</v>
      </c>
      <c r="E89">
        <v>70</v>
      </c>
      <c r="F89">
        <v>100</v>
      </c>
      <c r="G89" s="64">
        <v>45034</v>
      </c>
      <c r="H89">
        <v>300</v>
      </c>
      <c r="I89">
        <v>300</v>
      </c>
      <c r="J89">
        <v>6</v>
      </c>
      <c r="K89">
        <v>2</v>
      </c>
      <c r="L89">
        <v>0</v>
      </c>
      <c r="M89">
        <v>19</v>
      </c>
      <c r="N89">
        <v>11</v>
      </c>
      <c r="O89"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300"/>
      <c r="AU89" s="93"/>
      <c r="AV89" s="300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">
        <v>909</v>
      </c>
      <c r="B90" t="s">
        <v>903</v>
      </c>
      <c r="C90" s="52" t="s">
        <v>904</v>
      </c>
      <c r="D90" s="52" t="s">
        <v>904</v>
      </c>
      <c r="E90">
        <v>145</v>
      </c>
      <c r="F90">
        <v>165</v>
      </c>
      <c r="G90" s="64">
        <v>45034</v>
      </c>
      <c r="H90">
        <v>300</v>
      </c>
      <c r="I90">
        <v>300</v>
      </c>
      <c r="J90">
        <v>6</v>
      </c>
      <c r="K90">
        <v>0</v>
      </c>
      <c r="L90">
        <v>0</v>
      </c>
      <c r="M90">
        <v>19</v>
      </c>
      <c r="N90">
        <v>11</v>
      </c>
      <c r="O90"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300"/>
      <c r="AU90" s="93"/>
      <c r="AV90" s="300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">
        <v>910</v>
      </c>
      <c r="B91" t="s">
        <v>903</v>
      </c>
      <c r="C91" s="52" t="s">
        <v>904</v>
      </c>
      <c r="D91" s="52" t="s">
        <v>904</v>
      </c>
      <c r="E91">
        <v>90</v>
      </c>
      <c r="F91">
        <v>90</v>
      </c>
      <c r="G91" s="64">
        <v>45034</v>
      </c>
      <c r="H91">
        <v>300</v>
      </c>
      <c r="I91">
        <v>300</v>
      </c>
      <c r="J91">
        <v>6</v>
      </c>
      <c r="K91">
        <v>5</v>
      </c>
      <c r="L91">
        <v>0</v>
      </c>
      <c r="M91">
        <v>17</v>
      </c>
      <c r="N91">
        <v>11</v>
      </c>
      <c r="O91"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300"/>
      <c r="AU91" s="93"/>
      <c r="AV91" s="300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">
        <v>911</v>
      </c>
      <c r="B92" t="s">
        <v>903</v>
      </c>
      <c r="C92" s="52" t="s">
        <v>904</v>
      </c>
      <c r="D92" s="52" t="s">
        <v>904</v>
      </c>
      <c r="E92">
        <v>130</v>
      </c>
      <c r="F92">
        <v>140</v>
      </c>
      <c r="G92" s="64">
        <v>45034</v>
      </c>
      <c r="H92">
        <v>300</v>
      </c>
      <c r="I92">
        <v>300</v>
      </c>
      <c r="J92">
        <v>0</v>
      </c>
      <c r="K92">
        <v>6</v>
      </c>
      <c r="L92">
        <v>0</v>
      </c>
      <c r="M92">
        <v>16</v>
      </c>
      <c r="N92">
        <v>0</v>
      </c>
      <c r="O92">
        <v>0</v>
      </c>
      <c r="P92" s="69">
        <f t="shared" si="15"/>
        <v>0</v>
      </c>
      <c r="Q92" s="92"/>
      <c r="R92" s="80"/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300"/>
      <c r="AU92" s="93"/>
      <c r="AV92" s="300"/>
      <c r="AW92" s="93"/>
      <c r="AX92" s="66">
        <f t="shared" si="11"/>
        <v>0</v>
      </c>
      <c r="AY92" s="78">
        <f t="shared" si="12"/>
        <v>0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130</v>
      </c>
      <c r="BC92" s="53">
        <f t="shared" si="14"/>
        <v>140</v>
      </c>
    </row>
    <row r="93" spans="1:55" ht="13.15">
      <c r="A93" t="s">
        <v>912</v>
      </c>
      <c r="B93" t="s">
        <v>913</v>
      </c>
      <c r="C93" s="52" t="s">
        <v>904</v>
      </c>
      <c r="D93" s="52" t="s">
        <v>904</v>
      </c>
      <c r="E93">
        <v>260</v>
      </c>
      <c r="F93">
        <v>290</v>
      </c>
      <c r="G93" s="64">
        <v>45034</v>
      </c>
      <c r="H93">
        <v>300</v>
      </c>
      <c r="I93">
        <v>300</v>
      </c>
      <c r="J93">
        <v>4</v>
      </c>
      <c r="K93">
        <v>4</v>
      </c>
      <c r="L93">
        <v>0</v>
      </c>
      <c r="M93">
        <v>8</v>
      </c>
      <c r="N93">
        <v>8</v>
      </c>
      <c r="O93"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300"/>
      <c r="AU93" s="93"/>
      <c r="AV93" s="300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">
        <v>914</v>
      </c>
      <c r="B94" t="s">
        <v>913</v>
      </c>
      <c r="C94" s="52" t="s">
        <v>904</v>
      </c>
      <c r="D94" s="52" t="s">
        <v>904</v>
      </c>
      <c r="E94">
        <v>180</v>
      </c>
      <c r="F94">
        <v>60</v>
      </c>
      <c r="G94" s="64">
        <v>45034</v>
      </c>
      <c r="H94">
        <v>300</v>
      </c>
      <c r="I94">
        <v>300</v>
      </c>
      <c r="J94">
        <v>2</v>
      </c>
      <c r="K94">
        <v>0</v>
      </c>
      <c r="L94">
        <v>0</v>
      </c>
      <c r="M94">
        <v>23</v>
      </c>
      <c r="N94">
        <v>8</v>
      </c>
      <c r="O94">
        <v>0</v>
      </c>
      <c r="P94" s="69">
        <f t="shared" si="15"/>
        <v>20.833333333333332</v>
      </c>
      <c r="Q94" s="101" t="s">
        <v>722</v>
      </c>
      <c r="R94" s="100">
        <v>1</v>
      </c>
      <c r="S94" s="93"/>
      <c r="T94" s="80"/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300"/>
      <c r="AU94" s="93"/>
      <c r="AV94" s="300"/>
      <c r="AW94" s="93"/>
      <c r="AX94" s="66">
        <f t="shared" si="11"/>
        <v>1</v>
      </c>
      <c r="AY94" s="78">
        <f t="shared" si="12"/>
        <v>20.833333333333332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190.41666666666666</v>
      </c>
      <c r="BC94" s="53">
        <f t="shared" si="14"/>
        <v>70.416666666666671</v>
      </c>
    </row>
    <row r="95" spans="1:55" ht="13.15">
      <c r="A95" t="s">
        <v>915</v>
      </c>
      <c r="B95" t="s">
        <v>913</v>
      </c>
      <c r="C95" s="52" t="s">
        <v>904</v>
      </c>
      <c r="D95" s="52" t="s">
        <v>904</v>
      </c>
      <c r="E95">
        <v>190</v>
      </c>
      <c r="F95">
        <v>200</v>
      </c>
      <c r="G95" s="64">
        <v>45034</v>
      </c>
      <c r="H95">
        <v>300</v>
      </c>
      <c r="I95">
        <v>300</v>
      </c>
      <c r="J95">
        <v>1</v>
      </c>
      <c r="K95">
        <v>0</v>
      </c>
      <c r="L95">
        <v>0</v>
      </c>
      <c r="M95">
        <v>20</v>
      </c>
      <c r="N95">
        <v>10</v>
      </c>
      <c r="O95">
        <v>0</v>
      </c>
      <c r="P95" s="69">
        <f t="shared" si="15"/>
        <v>0</v>
      </c>
      <c r="Q95" s="92"/>
      <c r="R95" s="8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300"/>
      <c r="AU95" s="93"/>
      <c r="AV95" s="300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">
        <v>916</v>
      </c>
      <c r="B96" t="s">
        <v>247</v>
      </c>
      <c r="C96" s="52" t="s">
        <v>917</v>
      </c>
      <c r="D96" s="52" t="s">
        <v>917</v>
      </c>
      <c r="E96">
        <v>100</v>
      </c>
      <c r="F96">
        <v>0</v>
      </c>
      <c r="G96" s="64">
        <v>44271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300"/>
      <c r="AU96" s="93"/>
      <c r="AV96" s="300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">
        <v>918</v>
      </c>
      <c r="B97" t="s">
        <v>247</v>
      </c>
      <c r="C97" s="52" t="s">
        <v>917</v>
      </c>
      <c r="D97" s="52" t="s">
        <v>917</v>
      </c>
      <c r="E97">
        <v>100</v>
      </c>
      <c r="F97">
        <v>0</v>
      </c>
      <c r="G97" s="64">
        <v>44271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300"/>
      <c r="AU97" s="93"/>
      <c r="AV97" s="300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">
        <v>919</v>
      </c>
      <c r="B98" t="s">
        <v>243</v>
      </c>
      <c r="C98" s="52" t="s">
        <v>920</v>
      </c>
      <c r="D98" s="52" t="s">
        <v>920</v>
      </c>
      <c r="E98">
        <v>140</v>
      </c>
      <c r="F98">
        <v>89</v>
      </c>
      <c r="G98" s="64">
        <v>45040</v>
      </c>
      <c r="H98">
        <v>200</v>
      </c>
      <c r="I98">
        <v>200</v>
      </c>
      <c r="J98">
        <v>0</v>
      </c>
      <c r="K98">
        <v>0</v>
      </c>
      <c r="L98">
        <v>0</v>
      </c>
      <c r="M98">
        <v>1</v>
      </c>
      <c r="N98">
        <v>9</v>
      </c>
      <c r="O98"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300"/>
      <c r="AU98" s="93"/>
      <c r="AV98" s="300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">
        <v>921</v>
      </c>
      <c r="B99" t="s">
        <v>243</v>
      </c>
      <c r="C99" s="52" t="s">
        <v>920</v>
      </c>
      <c r="D99" s="52" t="s">
        <v>920</v>
      </c>
      <c r="E99" t="s">
        <v>922</v>
      </c>
      <c r="F99" t="s">
        <v>922</v>
      </c>
      <c r="G99" s="64">
        <v>44267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300"/>
      <c r="AU99" s="93"/>
      <c r="AV99" s="300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">
        <v>923</v>
      </c>
      <c r="B100" t="s">
        <v>243</v>
      </c>
      <c r="C100" s="52" t="s">
        <v>920</v>
      </c>
      <c r="D100" s="52" t="s">
        <v>920</v>
      </c>
      <c r="E100">
        <v>55</v>
      </c>
      <c r="F100">
        <v>40</v>
      </c>
      <c r="G100" s="64">
        <v>45040</v>
      </c>
      <c r="H100">
        <v>200</v>
      </c>
      <c r="I100">
        <v>200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21</v>
      </c>
      <c r="P100" s="69">
        <f t="shared" si="15"/>
        <v>0</v>
      </c>
      <c r="Q100" s="83"/>
      <c r="R100" s="286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300"/>
      <c r="AU100" s="93"/>
      <c r="AV100" s="300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">
        <v>924</v>
      </c>
      <c r="B101" t="s">
        <v>254</v>
      </c>
      <c r="C101" s="52" t="s">
        <v>925</v>
      </c>
      <c r="D101" s="52" t="s">
        <v>925</v>
      </c>
      <c r="E101">
        <v>140</v>
      </c>
      <c r="F101">
        <v>135</v>
      </c>
      <c r="G101" s="64">
        <v>45033</v>
      </c>
      <c r="H101">
        <v>300</v>
      </c>
      <c r="I101">
        <v>300</v>
      </c>
      <c r="J101">
        <v>4</v>
      </c>
      <c r="K101">
        <v>2</v>
      </c>
      <c r="L101">
        <v>5</v>
      </c>
      <c r="M101">
        <v>0</v>
      </c>
      <c r="N101">
        <v>7</v>
      </c>
      <c r="O101">
        <v>0</v>
      </c>
      <c r="P101" s="69">
        <f t="shared" si="15"/>
        <v>62.5</v>
      </c>
      <c r="Q101" s="101" t="s">
        <v>741</v>
      </c>
      <c r="R101" s="100">
        <v>2</v>
      </c>
      <c r="S101" s="99" t="s">
        <v>743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300"/>
      <c r="AU101" s="93"/>
      <c r="AV101" s="300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">
        <v>926</v>
      </c>
      <c r="B102" t="s">
        <v>254</v>
      </c>
      <c r="C102" s="52" t="s">
        <v>925</v>
      </c>
      <c r="D102" s="52" t="s">
        <v>925</v>
      </c>
      <c r="E102">
        <v>50</v>
      </c>
      <c r="F102">
        <v>60</v>
      </c>
      <c r="G102" s="64">
        <v>45033</v>
      </c>
      <c r="H102">
        <v>300</v>
      </c>
      <c r="I102">
        <v>300</v>
      </c>
      <c r="J102">
        <v>6</v>
      </c>
      <c r="K102">
        <v>6</v>
      </c>
      <c r="L102">
        <v>5</v>
      </c>
      <c r="M102">
        <v>13</v>
      </c>
      <c r="N102">
        <v>12</v>
      </c>
      <c r="O102"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300"/>
      <c r="AU102" s="93"/>
      <c r="AV102" s="300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">
        <v>927</v>
      </c>
      <c r="B103" t="s">
        <v>254</v>
      </c>
      <c r="C103" s="52" t="s">
        <v>928</v>
      </c>
      <c r="D103" s="52" t="s">
        <v>928</v>
      </c>
      <c r="E103">
        <v>160</v>
      </c>
      <c r="F103">
        <v>160</v>
      </c>
      <c r="G103" s="64">
        <v>45033</v>
      </c>
      <c r="H103">
        <v>300</v>
      </c>
      <c r="I103">
        <v>300</v>
      </c>
      <c r="J103">
        <v>0</v>
      </c>
      <c r="K103">
        <v>0</v>
      </c>
      <c r="L103">
        <v>1</v>
      </c>
      <c r="M103">
        <v>0</v>
      </c>
      <c r="N103">
        <v>5</v>
      </c>
      <c r="O103">
        <v>24</v>
      </c>
      <c r="P103" s="69">
        <f t="shared" si="15"/>
        <v>145.83333333333334</v>
      </c>
      <c r="Q103" s="81" t="s">
        <v>740</v>
      </c>
      <c r="R103" s="82">
        <v>5</v>
      </c>
      <c r="S103" s="305" t="s">
        <v>742</v>
      </c>
      <c r="T103" s="304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300"/>
      <c r="AU103" s="93"/>
      <c r="AV103" s="300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">
        <v>929</v>
      </c>
      <c r="B104" t="s">
        <v>258</v>
      </c>
      <c r="C104" s="52" t="s">
        <v>930</v>
      </c>
      <c r="D104" s="52" t="s">
        <v>930</v>
      </c>
      <c r="E104">
        <v>0</v>
      </c>
      <c r="F104">
        <v>0</v>
      </c>
      <c r="G104" s="64">
        <v>0</v>
      </c>
      <c r="H104">
        <v>300</v>
      </c>
      <c r="I104">
        <v>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300"/>
      <c r="AU104" s="93"/>
      <c r="AV104" s="300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">
        <v>931</v>
      </c>
      <c r="B105" t="s">
        <v>258</v>
      </c>
      <c r="C105" s="52" t="s">
        <v>930</v>
      </c>
      <c r="D105" s="52" t="s">
        <v>930</v>
      </c>
      <c r="E105">
        <v>0</v>
      </c>
      <c r="F105">
        <v>0</v>
      </c>
      <c r="G105" s="64">
        <v>0</v>
      </c>
      <c r="H105">
        <v>300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300"/>
      <c r="AU105" s="93"/>
      <c r="AV105" s="300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">
        <v>932</v>
      </c>
      <c r="B106" t="s">
        <v>258</v>
      </c>
      <c r="C106" s="52" t="s">
        <v>930</v>
      </c>
      <c r="D106" s="52" t="s">
        <v>930</v>
      </c>
      <c r="E106">
        <v>0</v>
      </c>
      <c r="F106">
        <v>0</v>
      </c>
      <c r="G106" s="64">
        <v>0</v>
      </c>
      <c r="H106">
        <v>300</v>
      </c>
      <c r="I106">
        <v>300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300"/>
      <c r="AU106" s="93"/>
      <c r="AV106" s="300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">
        <v>933</v>
      </c>
      <c r="B107" t="s">
        <v>258</v>
      </c>
      <c r="C107" s="52" t="s">
        <v>930</v>
      </c>
      <c r="D107" s="52" t="s">
        <v>930</v>
      </c>
      <c r="E107">
        <v>0</v>
      </c>
      <c r="F107">
        <v>0</v>
      </c>
      <c r="G107" s="64">
        <v>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300"/>
      <c r="AU107" s="93"/>
      <c r="AV107" s="300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">
        <v>934</v>
      </c>
      <c r="B108" t="s">
        <v>258</v>
      </c>
      <c r="C108" s="52" t="s">
        <v>930</v>
      </c>
      <c r="D108" s="52" t="s">
        <v>930</v>
      </c>
      <c r="E108">
        <v>24</v>
      </c>
      <c r="F108">
        <v>35</v>
      </c>
      <c r="G108" s="64">
        <v>42829</v>
      </c>
      <c r="H108">
        <v>300</v>
      </c>
      <c r="I108">
        <v>300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300"/>
      <c r="AU108" s="93"/>
      <c r="AV108" s="300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">
        <v>935</v>
      </c>
      <c r="B109" t="s">
        <v>258</v>
      </c>
      <c r="C109" s="52" t="s">
        <v>930</v>
      </c>
      <c r="D109" s="52" t="s">
        <v>930</v>
      </c>
      <c r="E109">
        <v>0</v>
      </c>
      <c r="F109">
        <v>0</v>
      </c>
      <c r="G109" s="64">
        <v>0</v>
      </c>
      <c r="H109">
        <v>300</v>
      </c>
      <c r="I109">
        <v>300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69">
        <f t="shared" si="15"/>
        <v>352.70833333333331</v>
      </c>
      <c r="Q109" s="101" t="s">
        <v>754</v>
      </c>
      <c r="R109" s="100">
        <v>2</v>
      </c>
      <c r="S109" s="101" t="s">
        <v>755</v>
      </c>
      <c r="T109" s="100">
        <v>2</v>
      </c>
      <c r="U109" s="303" t="s">
        <v>756</v>
      </c>
      <c r="V109" s="304">
        <v>2.73</v>
      </c>
      <c r="W109" s="99" t="s">
        <v>757</v>
      </c>
      <c r="X109" s="100">
        <v>6</v>
      </c>
      <c r="Y109" s="89" t="s">
        <v>936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300"/>
      <c r="AU109" s="93"/>
      <c r="AV109" s="300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">
        <v>937</v>
      </c>
      <c r="B110" t="s">
        <v>258</v>
      </c>
      <c r="C110" s="52" t="s">
        <v>930</v>
      </c>
      <c r="D110" s="52" t="s">
        <v>930</v>
      </c>
      <c r="E110">
        <v>0</v>
      </c>
      <c r="F110">
        <v>0</v>
      </c>
      <c r="G110" s="64">
        <v>0</v>
      </c>
      <c r="H110">
        <v>300</v>
      </c>
      <c r="I110">
        <v>300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300"/>
      <c r="AU110" s="93"/>
      <c r="AV110" s="300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">
        <v>938</v>
      </c>
      <c r="B111" t="s">
        <v>258</v>
      </c>
      <c r="C111" s="52" t="s">
        <v>930</v>
      </c>
      <c r="D111" s="52" t="s">
        <v>930</v>
      </c>
      <c r="E111">
        <v>0</v>
      </c>
      <c r="F111">
        <v>0</v>
      </c>
      <c r="G111" s="64">
        <v>0</v>
      </c>
      <c r="H111">
        <v>300</v>
      </c>
      <c r="I111">
        <v>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300"/>
      <c r="AU111" s="93"/>
      <c r="AV111" s="300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">
        <v>939</v>
      </c>
      <c r="B112" t="s">
        <v>258</v>
      </c>
      <c r="C112" s="52" t="s">
        <v>930</v>
      </c>
      <c r="D112" s="52" t="s">
        <v>930</v>
      </c>
      <c r="E112">
        <v>0</v>
      </c>
      <c r="F112">
        <v>0</v>
      </c>
      <c r="G112" s="64">
        <v>0</v>
      </c>
      <c r="H112">
        <v>300</v>
      </c>
      <c r="I112">
        <v>300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300"/>
      <c r="AU112" s="93"/>
      <c r="AV112" s="300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">
        <v>940</v>
      </c>
      <c r="B113" t="s">
        <v>258</v>
      </c>
      <c r="C113" s="52" t="s">
        <v>930</v>
      </c>
      <c r="D113" s="52" t="s">
        <v>930</v>
      </c>
      <c r="E113">
        <v>0</v>
      </c>
      <c r="F113">
        <v>0</v>
      </c>
      <c r="G113" s="64">
        <v>0</v>
      </c>
      <c r="H113">
        <v>300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300"/>
      <c r="AU113" s="93"/>
      <c r="AV113" s="300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">
        <v>941</v>
      </c>
      <c r="B114" t="s">
        <v>256</v>
      </c>
      <c r="C114" s="52" t="s">
        <v>942</v>
      </c>
      <c r="D114" s="52" t="s">
        <v>942</v>
      </c>
      <c r="E114">
        <v>183</v>
      </c>
      <c r="F114">
        <v>175</v>
      </c>
      <c r="G114" s="64">
        <v>44420</v>
      </c>
      <c r="H114">
        <v>300</v>
      </c>
      <c r="I114">
        <v>300</v>
      </c>
      <c r="J114">
        <v>0</v>
      </c>
      <c r="K114">
        <v>0</v>
      </c>
      <c r="L114">
        <v>11</v>
      </c>
      <c r="M114">
        <v>3</v>
      </c>
      <c r="N114">
        <v>4</v>
      </c>
      <c r="O114">
        <v>0</v>
      </c>
      <c r="P114" s="69">
        <f t="shared" si="15"/>
        <v>125</v>
      </c>
      <c r="Q114" s="89" t="s">
        <v>749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300"/>
      <c r="AU114" s="93"/>
      <c r="AV114" s="300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">
        <v>943</v>
      </c>
      <c r="B115" t="s">
        <v>256</v>
      </c>
      <c r="C115" s="52" t="s">
        <v>942</v>
      </c>
      <c r="D115" s="52" t="s">
        <v>942</v>
      </c>
      <c r="E115">
        <v>275</v>
      </c>
      <c r="F115">
        <v>275</v>
      </c>
      <c r="G115" s="64">
        <v>44420</v>
      </c>
      <c r="H115">
        <v>300</v>
      </c>
      <c r="I115">
        <v>300</v>
      </c>
      <c r="J115">
        <v>2</v>
      </c>
      <c r="K115">
        <v>0</v>
      </c>
      <c r="L115">
        <v>6</v>
      </c>
      <c r="M115">
        <v>3</v>
      </c>
      <c r="N115">
        <v>3</v>
      </c>
      <c r="O115"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300"/>
      <c r="AU115" s="93"/>
      <c r="AV115" s="300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">
        <v>944</v>
      </c>
      <c r="B116" t="s">
        <v>256</v>
      </c>
      <c r="C116" s="52" t="s">
        <v>942</v>
      </c>
      <c r="D116" s="52" t="s">
        <v>942</v>
      </c>
      <c r="E116">
        <v>177.7</v>
      </c>
      <c r="F116">
        <v>162.89999999999998</v>
      </c>
      <c r="G116" s="64">
        <v>45335</v>
      </c>
      <c r="H116">
        <v>360</v>
      </c>
      <c r="I116">
        <v>360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69">
        <f t="shared" si="15"/>
        <v>312.5</v>
      </c>
      <c r="Q116" s="81" t="s">
        <v>744</v>
      </c>
      <c r="R116" s="82">
        <v>2.4</v>
      </c>
      <c r="S116" s="81" t="s">
        <v>945</v>
      </c>
      <c r="T116" s="82">
        <v>7.3</v>
      </c>
      <c r="U116" s="81" t="s">
        <v>946</v>
      </c>
      <c r="V116" s="82">
        <v>2.6</v>
      </c>
      <c r="W116" s="81" t="s">
        <v>748</v>
      </c>
      <c r="X116" s="82">
        <v>0.8</v>
      </c>
      <c r="Y116" s="81" t="s">
        <v>747</v>
      </c>
      <c r="Z116" s="281">
        <v>1.9</v>
      </c>
      <c r="AA116" s="81"/>
      <c r="AB116" s="82"/>
      <c r="AC116" s="81"/>
      <c r="AD116" s="281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300"/>
      <c r="AU116" s="93"/>
      <c r="AV116" s="300"/>
      <c r="AW116" s="93"/>
      <c r="AX116" s="66">
        <f t="shared" si="11"/>
        <v>15</v>
      </c>
      <c r="AY116" s="78">
        <f t="shared" si="12"/>
        <v>312.5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333.95</v>
      </c>
      <c r="BC116" s="53">
        <f t="shared" si="14"/>
        <v>319.14999999999998</v>
      </c>
    </row>
    <row r="117" spans="1:55" ht="13.15">
      <c r="A117" t="s">
        <v>947</v>
      </c>
      <c r="B117" t="s">
        <v>256</v>
      </c>
      <c r="C117" s="52" t="s">
        <v>942</v>
      </c>
      <c r="D117" s="52" t="s">
        <v>942</v>
      </c>
      <c r="E117">
        <v>328</v>
      </c>
      <c r="F117">
        <v>252</v>
      </c>
      <c r="G117" s="64">
        <v>44599</v>
      </c>
      <c r="H117">
        <v>300</v>
      </c>
      <c r="I117">
        <v>300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19</v>
      </c>
      <c r="P117" s="69">
        <f t="shared" si="15"/>
        <v>115.83333333333333</v>
      </c>
      <c r="Q117" s="106" t="s">
        <v>750</v>
      </c>
      <c r="R117" s="80">
        <v>3</v>
      </c>
      <c r="S117" s="85" t="s">
        <v>745</v>
      </c>
      <c r="T117" s="82">
        <v>2.5</v>
      </c>
      <c r="U117" s="83" t="s">
        <v>753</v>
      </c>
      <c r="V117" s="84">
        <v>0.06</v>
      </c>
      <c r="W117" s="93"/>
      <c r="X117" s="80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300"/>
      <c r="AU117" s="93"/>
      <c r="AV117" s="300"/>
      <c r="AW117" s="93"/>
      <c r="AX117" s="66">
        <f t="shared" si="11"/>
        <v>5.56</v>
      </c>
      <c r="AY117" s="78">
        <f t="shared" si="12"/>
        <v>115.83333333333333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385.91666666666669</v>
      </c>
      <c r="BC117" s="53">
        <f t="shared" si="14"/>
        <v>309.91666666666669</v>
      </c>
    </row>
    <row r="118" spans="1:55" ht="13.15">
      <c r="A118" t="s">
        <v>948</v>
      </c>
      <c r="B118" t="s">
        <v>260</v>
      </c>
      <c r="C118" s="52" t="s">
        <v>949</v>
      </c>
      <c r="D118" s="52" t="s">
        <v>949</v>
      </c>
      <c r="E118">
        <v>0</v>
      </c>
      <c r="F118">
        <v>0</v>
      </c>
      <c r="G118" s="64">
        <v>44125</v>
      </c>
      <c r="H118">
        <v>300</v>
      </c>
      <c r="I118">
        <v>300</v>
      </c>
      <c r="J118">
        <v>4</v>
      </c>
      <c r="K118">
        <v>0</v>
      </c>
      <c r="L118">
        <v>0</v>
      </c>
      <c r="M118">
        <v>2</v>
      </c>
      <c r="N118">
        <v>4</v>
      </c>
      <c r="O118"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300"/>
      <c r="AU118" s="93"/>
      <c r="AV118" s="300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">
        <v>950</v>
      </c>
      <c r="B119" t="s">
        <v>75</v>
      </c>
      <c r="C119" s="52" t="s">
        <v>951</v>
      </c>
      <c r="D119" s="52" t="s">
        <v>951</v>
      </c>
      <c r="E119">
        <v>40</v>
      </c>
      <c r="F119">
        <v>30</v>
      </c>
      <c r="G119" s="64">
        <v>44161</v>
      </c>
      <c r="H119">
        <v>300</v>
      </c>
      <c r="I119">
        <v>300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300"/>
      <c r="AU119" s="93"/>
      <c r="AV119" s="300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">
        <v>952</v>
      </c>
      <c r="B120" t="s">
        <v>75</v>
      </c>
      <c r="C120" s="52" t="s">
        <v>951</v>
      </c>
      <c r="D120" s="52" t="s">
        <v>953</v>
      </c>
      <c r="E120">
        <v>40</v>
      </c>
      <c r="F120">
        <v>30</v>
      </c>
      <c r="G120" s="64">
        <v>44161</v>
      </c>
      <c r="H120">
        <v>300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300"/>
      <c r="AU120" s="93"/>
      <c r="AV120" s="300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">
        <v>954</v>
      </c>
      <c r="B121" t="s">
        <v>35</v>
      </c>
      <c r="C121" s="52" t="s">
        <v>955</v>
      </c>
      <c r="D121" s="52" t="s">
        <v>955</v>
      </c>
      <c r="E121">
        <v>30</v>
      </c>
      <c r="F121">
        <v>29</v>
      </c>
      <c r="G121" s="64">
        <v>45082</v>
      </c>
      <c r="H121">
        <v>300</v>
      </c>
      <c r="I121">
        <v>300</v>
      </c>
      <c r="J121">
        <v>5</v>
      </c>
      <c r="K121">
        <v>0</v>
      </c>
      <c r="L121">
        <v>3</v>
      </c>
      <c r="M121">
        <v>0</v>
      </c>
      <c r="N121">
        <v>0</v>
      </c>
      <c r="O121">
        <v>41</v>
      </c>
      <c r="P121" s="69">
        <f t="shared" si="15"/>
        <v>62.5</v>
      </c>
      <c r="Q121" s="101" t="s">
        <v>956</v>
      </c>
      <c r="R121" s="100">
        <v>1</v>
      </c>
      <c r="S121" s="257" t="s">
        <v>335</v>
      </c>
      <c r="T121" s="256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300"/>
      <c r="AU121" s="93"/>
      <c r="AV121" s="300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">
        <v>957</v>
      </c>
      <c r="B122" t="s">
        <v>35</v>
      </c>
      <c r="C122" s="52" t="s">
        <v>955</v>
      </c>
      <c r="D122" s="52" t="s">
        <v>955</v>
      </c>
      <c r="E122">
        <v>0</v>
      </c>
      <c r="F122">
        <v>0</v>
      </c>
      <c r="G122" s="64">
        <v>45082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300"/>
      <c r="AU122" s="93"/>
      <c r="AV122" s="300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">
        <v>958</v>
      </c>
      <c r="B123" t="s">
        <v>35</v>
      </c>
      <c r="C123" s="52" t="s">
        <v>955</v>
      </c>
      <c r="D123" s="52" t="s">
        <v>955</v>
      </c>
      <c r="E123">
        <v>0</v>
      </c>
      <c r="F123">
        <v>0</v>
      </c>
      <c r="G123" s="64">
        <v>0</v>
      </c>
      <c r="H123">
        <v>300</v>
      </c>
      <c r="I123">
        <v>300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300"/>
      <c r="AU123" s="93"/>
      <c r="AV123" s="300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">
        <v>959</v>
      </c>
      <c r="B124" t="s">
        <v>48</v>
      </c>
      <c r="C124" s="52" t="s">
        <v>960</v>
      </c>
      <c r="D124" s="52" t="s">
        <v>960</v>
      </c>
      <c r="E124">
        <v>163</v>
      </c>
      <c r="F124" t="s">
        <v>840</v>
      </c>
      <c r="G124" s="64">
        <v>44965</v>
      </c>
      <c r="H124">
        <v>300</v>
      </c>
      <c r="I124" t="s">
        <v>840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 s="69">
        <f t="shared" si="15"/>
        <v>104.16666666666667</v>
      </c>
      <c r="Q124" s="81" t="s">
        <v>369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300"/>
      <c r="AU124" s="93"/>
      <c r="AV124" s="300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">
        <v>961</v>
      </c>
      <c r="B125" t="s">
        <v>49</v>
      </c>
      <c r="C125" s="52" t="s">
        <v>960</v>
      </c>
      <c r="D125" s="52" t="s">
        <v>960</v>
      </c>
      <c r="E125" t="s">
        <v>840</v>
      </c>
      <c r="F125">
        <v>164</v>
      </c>
      <c r="G125" s="64">
        <v>44965</v>
      </c>
      <c r="H125" t="s">
        <v>840</v>
      </c>
      <c r="I125">
        <v>300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300"/>
      <c r="AU125" s="93"/>
      <c r="AV125" s="300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">
        <v>962</v>
      </c>
      <c r="B126">
        <v>0</v>
      </c>
      <c r="C126" s="52" t="s">
        <v>963</v>
      </c>
      <c r="D126" s="52" t="s">
        <v>963</v>
      </c>
      <c r="E126">
        <v>0</v>
      </c>
      <c r="F126">
        <v>0</v>
      </c>
      <c r="G126" s="64">
        <v>0</v>
      </c>
      <c r="H126">
        <v>300</v>
      </c>
      <c r="I126">
        <v>300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300"/>
      <c r="AU126" s="93"/>
      <c r="AV126" s="300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">
        <v>964</v>
      </c>
      <c r="B127">
        <v>0</v>
      </c>
      <c r="C127" s="52" t="s">
        <v>963</v>
      </c>
      <c r="D127" s="52" t="s">
        <v>963</v>
      </c>
      <c r="E127">
        <v>0</v>
      </c>
      <c r="F127">
        <v>0</v>
      </c>
      <c r="G127" s="64">
        <v>0</v>
      </c>
      <c r="H127">
        <v>300</v>
      </c>
      <c r="I127">
        <v>300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300"/>
      <c r="AU127" s="93"/>
      <c r="AV127" s="300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">
        <v>965</v>
      </c>
      <c r="B128">
        <v>0</v>
      </c>
      <c r="C128" s="52" t="s">
        <v>963</v>
      </c>
      <c r="D128" s="52" t="s">
        <v>963</v>
      </c>
      <c r="E128">
        <v>0</v>
      </c>
      <c r="F128">
        <v>0</v>
      </c>
      <c r="G128" s="64">
        <v>0</v>
      </c>
      <c r="H128">
        <v>300</v>
      </c>
      <c r="I128">
        <v>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300"/>
      <c r="AU128" s="93"/>
      <c r="AV128" s="300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">
        <v>966</v>
      </c>
      <c r="B129">
        <v>0</v>
      </c>
      <c r="C129" s="52" t="s">
        <v>963</v>
      </c>
      <c r="D129" s="52" t="s">
        <v>963</v>
      </c>
      <c r="E129">
        <v>0</v>
      </c>
      <c r="F129">
        <v>0</v>
      </c>
      <c r="G129" s="64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300"/>
      <c r="AU129" s="93"/>
      <c r="AV129" s="300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">
        <v>967</v>
      </c>
      <c r="B130">
        <v>0</v>
      </c>
      <c r="C130" s="52" t="s">
        <v>963</v>
      </c>
      <c r="D130" s="52" t="s">
        <v>963</v>
      </c>
      <c r="E130">
        <v>0</v>
      </c>
      <c r="F130">
        <v>0</v>
      </c>
      <c r="G130" s="64">
        <v>0</v>
      </c>
      <c r="H130">
        <v>300</v>
      </c>
      <c r="I130">
        <v>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300"/>
      <c r="AU130" s="93"/>
      <c r="AV130" s="300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">
        <v>968</v>
      </c>
      <c r="B131">
        <v>0</v>
      </c>
      <c r="C131" s="52" t="s">
        <v>963</v>
      </c>
      <c r="D131" s="52" t="s">
        <v>963</v>
      </c>
      <c r="E131">
        <v>0</v>
      </c>
      <c r="F131">
        <v>0</v>
      </c>
      <c r="G131" s="64">
        <v>0</v>
      </c>
      <c r="H131">
        <v>300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300"/>
      <c r="AU131" s="93"/>
      <c r="AV131" s="300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">
        <v>969</v>
      </c>
      <c r="B132">
        <v>0</v>
      </c>
      <c r="C132" s="52" t="s">
        <v>963</v>
      </c>
      <c r="D132" s="52" t="s">
        <v>963</v>
      </c>
      <c r="E132">
        <v>0</v>
      </c>
      <c r="F132">
        <v>0</v>
      </c>
      <c r="G132" s="64">
        <v>0</v>
      </c>
      <c r="H132">
        <v>300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300"/>
      <c r="AU132" s="93"/>
      <c r="AV132" s="300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">
        <v>970</v>
      </c>
      <c r="B133" t="s">
        <v>57</v>
      </c>
      <c r="C133" s="52" t="s">
        <v>971</v>
      </c>
      <c r="D133" s="52" t="s">
        <v>971</v>
      </c>
      <c r="E133" t="s">
        <v>972</v>
      </c>
      <c r="F133" t="s">
        <v>972</v>
      </c>
      <c r="G133" s="64" t="s">
        <v>973</v>
      </c>
      <c r="H133">
        <v>300</v>
      </c>
      <c r="I133">
        <v>300</v>
      </c>
      <c r="J133">
        <v>0</v>
      </c>
      <c r="K133">
        <v>1</v>
      </c>
      <c r="L133">
        <v>2</v>
      </c>
      <c r="M133">
        <v>0</v>
      </c>
      <c r="N133">
        <v>22</v>
      </c>
      <c r="O133"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300"/>
      <c r="AU133" s="93"/>
      <c r="AV133" s="300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">
        <v>974</v>
      </c>
      <c r="B134" t="s">
        <v>57</v>
      </c>
      <c r="C134" s="52" t="s">
        <v>971</v>
      </c>
      <c r="D134" s="52" t="s">
        <v>971</v>
      </c>
      <c r="E134" t="s">
        <v>972</v>
      </c>
      <c r="F134" t="s">
        <v>972</v>
      </c>
      <c r="G134" s="64" t="s">
        <v>973</v>
      </c>
      <c r="H134">
        <v>300</v>
      </c>
      <c r="I134">
        <v>300</v>
      </c>
      <c r="J134">
        <v>0</v>
      </c>
      <c r="K134">
        <v>1</v>
      </c>
      <c r="L134">
        <v>0</v>
      </c>
      <c r="M134">
        <v>0</v>
      </c>
      <c r="N134">
        <v>35</v>
      </c>
      <c r="O134"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300"/>
      <c r="AU134" s="93"/>
      <c r="AV134" s="300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">
        <v>975</v>
      </c>
      <c r="B135" t="s">
        <v>57</v>
      </c>
      <c r="C135" s="52" t="s">
        <v>971</v>
      </c>
      <c r="D135" s="52" t="s">
        <v>971</v>
      </c>
      <c r="E135" t="s">
        <v>972</v>
      </c>
      <c r="F135" t="s">
        <v>972</v>
      </c>
      <c r="G135" s="64" t="s">
        <v>973</v>
      </c>
      <c r="H135">
        <v>300</v>
      </c>
      <c r="I135">
        <v>300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300"/>
      <c r="AU135" s="93"/>
      <c r="AV135" s="300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">
        <v>976</v>
      </c>
      <c r="B136" t="s">
        <v>57</v>
      </c>
      <c r="C136" s="52" t="s">
        <v>971</v>
      </c>
      <c r="D136" s="52" t="s">
        <v>971</v>
      </c>
      <c r="E136" t="s">
        <v>972</v>
      </c>
      <c r="F136" t="s">
        <v>972</v>
      </c>
      <c r="G136" s="64" t="s">
        <v>973</v>
      </c>
      <c r="H136">
        <v>300</v>
      </c>
      <c r="I136">
        <v>300</v>
      </c>
      <c r="J136">
        <v>0</v>
      </c>
      <c r="K136">
        <v>0</v>
      </c>
      <c r="L136">
        <v>1</v>
      </c>
      <c r="M136">
        <v>5</v>
      </c>
      <c r="N136">
        <v>19</v>
      </c>
      <c r="O136"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300"/>
      <c r="AU136" s="93"/>
      <c r="AV136" s="300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">
        <v>977</v>
      </c>
      <c r="B137" t="s">
        <v>57</v>
      </c>
      <c r="C137" s="52" t="s">
        <v>971</v>
      </c>
      <c r="D137" s="52" t="s">
        <v>971</v>
      </c>
      <c r="E137" t="s">
        <v>972</v>
      </c>
      <c r="F137" t="s">
        <v>972</v>
      </c>
      <c r="G137" s="64" t="s">
        <v>973</v>
      </c>
      <c r="H137">
        <v>300</v>
      </c>
      <c r="I137">
        <v>300</v>
      </c>
      <c r="J137">
        <v>0</v>
      </c>
      <c r="K137">
        <v>0</v>
      </c>
      <c r="L137">
        <v>0</v>
      </c>
      <c r="M137">
        <v>2</v>
      </c>
      <c r="N137">
        <v>15</v>
      </c>
      <c r="O137"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300"/>
      <c r="AU137" s="93"/>
      <c r="AV137" s="300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">
        <v>978</v>
      </c>
      <c r="B138" t="s">
        <v>44</v>
      </c>
      <c r="C138" s="52" t="s">
        <v>979</v>
      </c>
      <c r="D138" s="52" t="s">
        <v>979</v>
      </c>
      <c r="E138">
        <v>260</v>
      </c>
      <c r="F138">
        <v>280</v>
      </c>
      <c r="G138" s="64">
        <v>44958</v>
      </c>
      <c r="H138">
        <v>300</v>
      </c>
      <c r="I138">
        <v>300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300"/>
      <c r="AU138" s="93"/>
      <c r="AV138" s="300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">
        <v>980</v>
      </c>
      <c r="B139" t="s">
        <v>44</v>
      </c>
      <c r="C139" s="52" t="s">
        <v>979</v>
      </c>
      <c r="D139" s="52" t="s">
        <v>979</v>
      </c>
      <c r="E139">
        <v>120</v>
      </c>
      <c r="F139">
        <v>120</v>
      </c>
      <c r="G139" s="64">
        <v>44958</v>
      </c>
      <c r="H139">
        <v>200</v>
      </c>
      <c r="I139">
        <v>200</v>
      </c>
      <c r="J139">
        <v>4</v>
      </c>
      <c r="K139">
        <v>1</v>
      </c>
      <c r="L139">
        <v>1</v>
      </c>
      <c r="M139">
        <v>0</v>
      </c>
      <c r="N139">
        <v>3</v>
      </c>
      <c r="O139"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300"/>
      <c r="AU139" s="93"/>
      <c r="AV139" s="300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">
        <v>981</v>
      </c>
      <c r="B140" t="s">
        <v>44</v>
      </c>
      <c r="C140" s="52" t="s">
        <v>979</v>
      </c>
      <c r="D140" s="52" t="s">
        <v>979</v>
      </c>
      <c r="E140">
        <v>95</v>
      </c>
      <c r="F140">
        <v>95</v>
      </c>
      <c r="G140" s="64">
        <v>44958</v>
      </c>
      <c r="H140">
        <v>200</v>
      </c>
      <c r="I140">
        <v>200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300"/>
      <c r="AU140" s="93"/>
      <c r="AV140" s="300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">
        <v>982</v>
      </c>
      <c r="B141" t="s">
        <v>44</v>
      </c>
      <c r="C141" s="52" t="s">
        <v>979</v>
      </c>
      <c r="D141" s="52" t="s">
        <v>979</v>
      </c>
      <c r="E141">
        <v>90</v>
      </c>
      <c r="F141">
        <v>105</v>
      </c>
      <c r="G141" s="64">
        <v>44958</v>
      </c>
      <c r="H141">
        <v>200</v>
      </c>
      <c r="I141">
        <v>200</v>
      </c>
      <c r="J141">
        <v>6</v>
      </c>
      <c r="K141">
        <v>1</v>
      </c>
      <c r="L141">
        <v>0</v>
      </c>
      <c r="M141">
        <v>1</v>
      </c>
      <c r="N141">
        <v>2</v>
      </c>
      <c r="O141">
        <v>0</v>
      </c>
      <c r="P141" s="69">
        <f t="shared" si="30"/>
        <v>41.666666666666664</v>
      </c>
      <c r="Q141" s="85" t="s">
        <v>361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300"/>
      <c r="AU141" s="93"/>
      <c r="AV141" s="300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">
        <v>983</v>
      </c>
      <c r="B142" t="s">
        <v>44</v>
      </c>
      <c r="C142" s="52" t="s">
        <v>979</v>
      </c>
      <c r="D142" s="52" t="s">
        <v>979</v>
      </c>
      <c r="E142">
        <v>100</v>
      </c>
      <c r="F142">
        <v>120</v>
      </c>
      <c r="G142" s="64">
        <v>44958</v>
      </c>
      <c r="H142">
        <v>200</v>
      </c>
      <c r="I142">
        <v>200</v>
      </c>
      <c r="J142">
        <v>0</v>
      </c>
      <c r="K142">
        <v>1</v>
      </c>
      <c r="L142">
        <v>0</v>
      </c>
      <c r="M142">
        <v>0</v>
      </c>
      <c r="N142">
        <v>9</v>
      </c>
      <c r="O142"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300"/>
      <c r="AU142" s="93"/>
      <c r="AV142" s="300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">
        <v>984</v>
      </c>
      <c r="B143" t="s">
        <v>47</v>
      </c>
      <c r="C143" s="52" t="s">
        <v>985</v>
      </c>
      <c r="D143" s="52" t="s">
        <v>985</v>
      </c>
      <c r="E143">
        <v>123.5</v>
      </c>
      <c r="F143">
        <v>151.80000000000001</v>
      </c>
      <c r="G143" s="64">
        <v>45335</v>
      </c>
      <c r="H143">
        <v>360</v>
      </c>
      <c r="I143">
        <v>360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69">
        <f t="shared" si="30"/>
        <v>347.91666666666669</v>
      </c>
      <c r="Q143" s="85" t="s">
        <v>362</v>
      </c>
      <c r="R143" s="86">
        <v>0.9</v>
      </c>
      <c r="S143" s="81" t="s">
        <v>363</v>
      </c>
      <c r="T143" s="82">
        <v>2.7</v>
      </c>
      <c r="U143" s="81" t="s">
        <v>364</v>
      </c>
      <c r="V143" s="82">
        <v>1.8</v>
      </c>
      <c r="W143" s="81" t="s">
        <v>365</v>
      </c>
      <c r="X143" s="82">
        <v>3.2</v>
      </c>
      <c r="Y143" s="81" t="s">
        <v>366</v>
      </c>
      <c r="Z143" s="82">
        <v>1.6</v>
      </c>
      <c r="AA143" s="81" t="s">
        <v>367</v>
      </c>
      <c r="AB143" s="82">
        <v>2.8</v>
      </c>
      <c r="AC143" s="81" t="s">
        <v>986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300"/>
      <c r="AU143" s="93"/>
      <c r="AV143" s="300"/>
      <c r="AW143" s="93"/>
      <c r="AX143" s="66">
        <f t="shared" si="26"/>
        <v>16.7</v>
      </c>
      <c r="AY143" s="78">
        <f t="shared" si="27"/>
        <v>347.91666666666669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297.45833333333337</v>
      </c>
      <c r="BC143" s="53">
        <f t="shared" si="29"/>
        <v>325.75833333333333</v>
      </c>
    </row>
    <row r="144" spans="1:55" ht="13.15">
      <c r="A144" t="s">
        <v>987</v>
      </c>
      <c r="B144" t="s">
        <v>182</v>
      </c>
      <c r="C144" s="52" t="s">
        <v>988</v>
      </c>
      <c r="D144" s="52" t="s">
        <v>988</v>
      </c>
      <c r="E144" t="s">
        <v>989</v>
      </c>
      <c r="F144" t="s">
        <v>989</v>
      </c>
      <c r="G144" s="64" t="s">
        <v>990</v>
      </c>
      <c r="H144">
        <v>200</v>
      </c>
      <c r="I144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300"/>
      <c r="AU144" s="93"/>
      <c r="AV144" s="300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">
        <v>991</v>
      </c>
      <c r="B145" t="s">
        <v>182</v>
      </c>
      <c r="C145" s="52" t="s">
        <v>988</v>
      </c>
      <c r="D145" s="52" t="s">
        <v>988</v>
      </c>
      <c r="E145" t="s">
        <v>989</v>
      </c>
      <c r="F145" t="s">
        <v>989</v>
      </c>
      <c r="G145" s="64" t="s">
        <v>990</v>
      </c>
      <c r="H145">
        <v>200</v>
      </c>
      <c r="I145">
        <v>200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300"/>
      <c r="AU145" s="93"/>
      <c r="AV145" s="300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">
        <v>992</v>
      </c>
      <c r="B146" t="s">
        <v>82</v>
      </c>
      <c r="C146" s="52" t="s">
        <v>993</v>
      </c>
      <c r="D146" s="52" t="s">
        <v>993</v>
      </c>
      <c r="E146">
        <v>20</v>
      </c>
      <c r="F146">
        <v>20</v>
      </c>
      <c r="G146" s="64" t="s">
        <v>994</v>
      </c>
      <c r="H146">
        <v>300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300"/>
      <c r="AU146" s="93"/>
      <c r="AV146" s="300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">
        <v>995</v>
      </c>
      <c r="B147" t="s">
        <v>82</v>
      </c>
      <c r="C147" s="52" t="s">
        <v>993</v>
      </c>
      <c r="D147" s="52" t="s">
        <v>996</v>
      </c>
      <c r="E147">
        <v>20</v>
      </c>
      <c r="F147">
        <v>20</v>
      </c>
      <c r="G147" s="64" t="s">
        <v>994</v>
      </c>
      <c r="H147">
        <v>300</v>
      </c>
      <c r="I147">
        <v>300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300"/>
      <c r="AU147" s="93"/>
      <c r="AV147" s="300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">
        <v>997</v>
      </c>
      <c r="B148" s="35" t="s">
        <v>92</v>
      </c>
      <c r="C148" s="52" t="s">
        <v>998</v>
      </c>
      <c r="D148" s="52" t="s">
        <v>998</v>
      </c>
      <c r="E148">
        <v>100</v>
      </c>
      <c r="F148">
        <v>100</v>
      </c>
      <c r="G148" s="64">
        <v>44998</v>
      </c>
      <c r="H148">
        <v>300</v>
      </c>
      <c r="I148">
        <v>300</v>
      </c>
      <c r="J148">
        <v>2</v>
      </c>
      <c r="K148">
        <v>9</v>
      </c>
      <c r="L148">
        <v>0</v>
      </c>
      <c r="M148">
        <v>7</v>
      </c>
      <c r="N148">
        <v>12</v>
      </c>
      <c r="O148">
        <v>0</v>
      </c>
      <c r="P148" s="69">
        <f t="shared" si="30"/>
        <v>281.25</v>
      </c>
      <c r="Q148" s="81" t="s">
        <v>483</v>
      </c>
      <c r="R148" s="82">
        <v>4.5</v>
      </c>
      <c r="S148" s="81" t="s">
        <v>484</v>
      </c>
      <c r="T148" s="82">
        <v>4.5</v>
      </c>
      <c r="U148" s="81" t="s">
        <v>485</v>
      </c>
      <c r="V148" s="82">
        <v>4.5</v>
      </c>
      <c r="W148" s="93"/>
      <c r="X148" s="80"/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300"/>
      <c r="AU148" s="93"/>
      <c r="AV148" s="300"/>
      <c r="AW148" s="93"/>
      <c r="AX148" s="66">
        <f t="shared" si="26"/>
        <v>13.5</v>
      </c>
      <c r="AY148" s="78">
        <f t="shared" si="27"/>
        <v>281.25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240.625</v>
      </c>
      <c r="BC148" s="53">
        <f t="shared" si="29"/>
        <v>240.625</v>
      </c>
    </row>
    <row r="149" spans="1:55" ht="13.15">
      <c r="A149" t="s">
        <v>999</v>
      </c>
      <c r="B149" s="35" t="s">
        <v>92</v>
      </c>
      <c r="C149" s="52" t="s">
        <v>998</v>
      </c>
      <c r="D149" s="52" t="s">
        <v>998</v>
      </c>
      <c r="E149">
        <v>100</v>
      </c>
      <c r="F149">
        <v>100</v>
      </c>
      <c r="G149" s="64" t="s">
        <v>1000</v>
      </c>
      <c r="H149">
        <v>300</v>
      </c>
      <c r="I149">
        <v>300</v>
      </c>
      <c r="J149">
        <v>2</v>
      </c>
      <c r="K149">
        <v>1</v>
      </c>
      <c r="L149">
        <v>0</v>
      </c>
      <c r="M149">
        <v>12</v>
      </c>
      <c r="N149">
        <v>9</v>
      </c>
      <c r="O149">
        <v>0</v>
      </c>
      <c r="P149" s="69">
        <f t="shared" si="30"/>
        <v>20.833333333333332</v>
      </c>
      <c r="Q149" s="101" t="s">
        <v>487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300"/>
      <c r="AU149" s="93"/>
      <c r="AV149" s="300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">
        <v>1001</v>
      </c>
      <c r="B150" s="35" t="s">
        <v>92</v>
      </c>
      <c r="C150" s="52" t="s">
        <v>998</v>
      </c>
      <c r="D150" s="52" t="s">
        <v>998</v>
      </c>
      <c r="E150">
        <v>200</v>
      </c>
      <c r="F150">
        <v>200</v>
      </c>
      <c r="G150" s="64" t="s">
        <v>1000</v>
      </c>
      <c r="H150">
        <v>300</v>
      </c>
      <c r="I150">
        <v>300</v>
      </c>
      <c r="J150">
        <v>6</v>
      </c>
      <c r="K150">
        <v>4</v>
      </c>
      <c r="L150">
        <v>0</v>
      </c>
      <c r="M150">
        <v>20</v>
      </c>
      <c r="N150">
        <v>6</v>
      </c>
      <c r="O150">
        <v>0</v>
      </c>
      <c r="P150" s="69">
        <f t="shared" si="30"/>
        <v>41.666666666666664</v>
      </c>
      <c r="Q150" s="101" t="s">
        <v>486</v>
      </c>
      <c r="R150" s="100">
        <v>1</v>
      </c>
      <c r="S150" s="101" t="s">
        <v>486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300"/>
      <c r="AU150" s="93"/>
      <c r="AV150" s="300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">
        <v>1002</v>
      </c>
      <c r="B151" t="s">
        <v>101</v>
      </c>
      <c r="C151" s="52" t="s">
        <v>1003</v>
      </c>
      <c r="D151" s="52" t="s">
        <v>1003</v>
      </c>
      <c r="E151">
        <v>100</v>
      </c>
      <c r="F151">
        <v>100</v>
      </c>
      <c r="G151" s="64">
        <v>45105</v>
      </c>
      <c r="H151">
        <v>300</v>
      </c>
      <c r="I151">
        <v>300</v>
      </c>
      <c r="J151">
        <v>5</v>
      </c>
      <c r="K151">
        <v>3</v>
      </c>
      <c r="L151">
        <v>0</v>
      </c>
      <c r="M151">
        <v>11</v>
      </c>
      <c r="N151">
        <v>6</v>
      </c>
      <c r="O151">
        <v>0</v>
      </c>
      <c r="P151" s="69">
        <f t="shared" si="30"/>
        <v>20.833333333333332</v>
      </c>
      <c r="Q151" s="81" t="s">
        <v>495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300"/>
      <c r="AU151" s="93"/>
      <c r="AV151" s="300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">
        <v>1004</v>
      </c>
      <c r="B152" t="s">
        <v>123</v>
      </c>
      <c r="C152" s="52" t="s">
        <v>1005</v>
      </c>
      <c r="D152" s="52" t="s">
        <v>1005</v>
      </c>
      <c r="E152">
        <v>0</v>
      </c>
      <c r="F152">
        <v>0</v>
      </c>
      <c r="G152" s="64" t="s">
        <v>1006</v>
      </c>
      <c r="H152">
        <v>300</v>
      </c>
      <c r="I152">
        <v>300</v>
      </c>
      <c r="J152">
        <v>10</v>
      </c>
      <c r="K152">
        <v>10</v>
      </c>
      <c r="L152">
        <v>6</v>
      </c>
      <c r="M152">
        <v>0</v>
      </c>
      <c r="N152">
        <v>0</v>
      </c>
      <c r="O152">
        <v>15</v>
      </c>
      <c r="P152" s="69">
        <f t="shared" si="30"/>
        <v>20.833333333333332</v>
      </c>
      <c r="Q152" s="101" t="s">
        <v>1007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300"/>
      <c r="AU152" s="93"/>
      <c r="AV152" s="300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">
        <v>1008</v>
      </c>
      <c r="B153" t="s">
        <v>123</v>
      </c>
      <c r="C153" s="52" t="s">
        <v>1005</v>
      </c>
      <c r="D153" s="52" t="s">
        <v>1005</v>
      </c>
      <c r="E153">
        <v>15</v>
      </c>
      <c r="F153">
        <v>15</v>
      </c>
      <c r="G153" s="64">
        <v>42720</v>
      </c>
      <c r="H153">
        <v>300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300"/>
      <c r="AU153" s="93"/>
      <c r="AV153" s="300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">
        <v>1009</v>
      </c>
      <c r="B154" t="s">
        <v>165</v>
      </c>
      <c r="C154" s="52" t="s">
        <v>1010</v>
      </c>
      <c r="D154" s="52" t="s">
        <v>1010</v>
      </c>
      <c r="E154">
        <v>5</v>
      </c>
      <c r="F154" t="s">
        <v>989</v>
      </c>
      <c r="G154" s="64">
        <v>44119</v>
      </c>
      <c r="H154">
        <v>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300"/>
      <c r="AU154" s="93"/>
      <c r="AV154" s="300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">
        <v>1011</v>
      </c>
      <c r="B155" t="s">
        <v>165</v>
      </c>
      <c r="C155" s="52" t="s">
        <v>1010</v>
      </c>
      <c r="D155" s="52" t="s">
        <v>1010</v>
      </c>
      <c r="E155" t="s">
        <v>1012</v>
      </c>
      <c r="F155" t="s">
        <v>1012</v>
      </c>
      <c r="G155" s="64">
        <v>44119</v>
      </c>
      <c r="H155">
        <v>63</v>
      </c>
      <c r="I155">
        <v>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300"/>
      <c r="AU155" s="93"/>
      <c r="AV155" s="300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">
        <v>1013</v>
      </c>
      <c r="B156" t="s">
        <v>156</v>
      </c>
      <c r="C156" s="52" t="s">
        <v>1014</v>
      </c>
      <c r="D156" s="52" t="s">
        <v>1014</v>
      </c>
      <c r="E156">
        <v>32.6</v>
      </c>
      <c r="F156">
        <v>32.6</v>
      </c>
      <c r="G156" s="64">
        <v>45335</v>
      </c>
      <c r="H156">
        <v>360</v>
      </c>
      <c r="I156">
        <v>360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69">
        <f t="shared" si="30"/>
        <v>229.16666666666666</v>
      </c>
      <c r="Q156" s="81" t="s">
        <v>510</v>
      </c>
      <c r="R156" s="281">
        <v>1.5</v>
      </c>
      <c r="S156" s="81" t="s">
        <v>584</v>
      </c>
      <c r="T156" s="82">
        <v>4</v>
      </c>
      <c r="U156" s="101" t="s">
        <v>587</v>
      </c>
      <c r="V156" s="100">
        <v>5.5</v>
      </c>
      <c r="W156" s="93"/>
      <c r="X156" s="80"/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300"/>
      <c r="AU156" s="93"/>
      <c r="AV156" s="300"/>
      <c r="AW156" s="93"/>
      <c r="AX156" s="66">
        <f t="shared" si="26"/>
        <v>11</v>
      </c>
      <c r="AY156" s="78">
        <f t="shared" si="27"/>
        <v>229.16666666666666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147.18333333333334</v>
      </c>
      <c r="BC156" s="53">
        <f t="shared" si="29"/>
        <v>147.18333333333334</v>
      </c>
    </row>
    <row r="157" spans="1:55" ht="13.15">
      <c r="A157" t="s">
        <v>1015</v>
      </c>
      <c r="B157" t="s">
        <v>156</v>
      </c>
      <c r="C157" s="52" t="s">
        <v>1014</v>
      </c>
      <c r="D157" s="52" t="s">
        <v>1014</v>
      </c>
      <c r="E157">
        <v>100</v>
      </c>
      <c r="F157">
        <v>100</v>
      </c>
      <c r="G157" s="64">
        <v>45014</v>
      </c>
      <c r="H157">
        <v>300</v>
      </c>
      <c r="I157">
        <v>300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42</v>
      </c>
      <c r="P157" s="69">
        <f t="shared" si="30"/>
        <v>20.833333333333332</v>
      </c>
      <c r="Q157" s="101" t="s">
        <v>586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300"/>
      <c r="AU157" s="93"/>
      <c r="AV157" s="300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">
        <v>1016</v>
      </c>
      <c r="B158" t="s">
        <v>156</v>
      </c>
      <c r="C158" s="52" t="s">
        <v>1014</v>
      </c>
      <c r="D158" s="52" t="s">
        <v>1014</v>
      </c>
      <c r="E158">
        <v>265</v>
      </c>
      <c r="F158">
        <v>245</v>
      </c>
      <c r="G158" s="64">
        <v>45014</v>
      </c>
      <c r="H158">
        <v>300</v>
      </c>
      <c r="I158">
        <v>300</v>
      </c>
      <c r="J158">
        <v>1</v>
      </c>
      <c r="K158">
        <v>3</v>
      </c>
      <c r="L158">
        <v>0</v>
      </c>
      <c r="M158">
        <v>1</v>
      </c>
      <c r="N158">
        <v>7</v>
      </c>
      <c r="O158">
        <v>0</v>
      </c>
      <c r="P158" s="69">
        <f t="shared" si="30"/>
        <v>20.833333333333332</v>
      </c>
      <c r="Q158" s="101" t="s">
        <v>585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300"/>
      <c r="AU158" s="93"/>
      <c r="AV158" s="300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">
        <v>1017</v>
      </c>
      <c r="B159" t="s">
        <v>183</v>
      </c>
      <c r="C159" s="52" t="s">
        <v>1018</v>
      </c>
      <c r="D159" s="52" t="s">
        <v>1018</v>
      </c>
      <c r="E159">
        <v>140</v>
      </c>
      <c r="F159">
        <v>140</v>
      </c>
      <c r="G159" s="64">
        <v>45005</v>
      </c>
      <c r="H159">
        <v>300</v>
      </c>
      <c r="I159">
        <v>300</v>
      </c>
      <c r="J159">
        <v>5</v>
      </c>
      <c r="K159">
        <v>0</v>
      </c>
      <c r="L159">
        <v>3</v>
      </c>
      <c r="M159">
        <v>8</v>
      </c>
      <c r="N159">
        <v>6</v>
      </c>
      <c r="O159">
        <v>0</v>
      </c>
      <c r="P159" s="69">
        <f t="shared" si="30"/>
        <v>20.833333333333332</v>
      </c>
      <c r="Q159" s="261" t="s">
        <v>651</v>
      </c>
      <c r="R159" s="262">
        <v>1</v>
      </c>
      <c r="S159" s="93" t="s">
        <v>1019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300"/>
      <c r="AU159" s="93"/>
      <c r="AV159" s="300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">
        <v>1020</v>
      </c>
      <c r="B160" t="s">
        <v>183</v>
      </c>
      <c r="C160" s="52" t="s">
        <v>1018</v>
      </c>
      <c r="D160" s="52" t="s">
        <v>1018</v>
      </c>
      <c r="E160">
        <v>120</v>
      </c>
      <c r="F160">
        <v>120</v>
      </c>
      <c r="G160" s="64">
        <v>45005</v>
      </c>
      <c r="H160">
        <v>300</v>
      </c>
      <c r="I160">
        <v>300</v>
      </c>
      <c r="J160">
        <v>6</v>
      </c>
      <c r="K160">
        <v>0</v>
      </c>
      <c r="L160">
        <v>1</v>
      </c>
      <c r="M160">
        <v>8</v>
      </c>
      <c r="N160">
        <v>6</v>
      </c>
      <c r="O160"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300"/>
      <c r="AU160" s="93"/>
      <c r="AV160" s="300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">
        <v>1021</v>
      </c>
      <c r="B161" t="s">
        <v>184</v>
      </c>
      <c r="C161" s="52" t="s">
        <v>1022</v>
      </c>
      <c r="D161" s="52" t="s">
        <v>1022</v>
      </c>
      <c r="E161">
        <v>25</v>
      </c>
      <c r="F161">
        <v>25</v>
      </c>
      <c r="G161" s="64" t="s">
        <v>1023</v>
      </c>
      <c r="H161">
        <v>300</v>
      </c>
      <c r="I161">
        <v>300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300"/>
      <c r="AU161" s="93"/>
      <c r="AV161" s="300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">
        <v>1024</v>
      </c>
      <c r="B162" t="s">
        <v>67</v>
      </c>
      <c r="C162" s="52" t="s">
        <v>1025</v>
      </c>
      <c r="D162" s="52" t="s">
        <v>1025</v>
      </c>
      <c r="E162">
        <v>100</v>
      </c>
      <c r="F162">
        <v>110</v>
      </c>
      <c r="G162" s="64">
        <v>44959</v>
      </c>
      <c r="H162">
        <v>300</v>
      </c>
      <c r="I162">
        <v>300</v>
      </c>
      <c r="J162">
        <v>0</v>
      </c>
      <c r="K162">
        <v>2</v>
      </c>
      <c r="L162">
        <v>10</v>
      </c>
      <c r="M162">
        <v>5</v>
      </c>
      <c r="N162">
        <v>0</v>
      </c>
      <c r="O162">
        <v>25</v>
      </c>
      <c r="P162" s="69">
        <f t="shared" si="30"/>
        <v>41.666666666666664</v>
      </c>
      <c r="Q162" s="85" t="s">
        <v>422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300"/>
      <c r="AU162" s="93"/>
      <c r="AV162" s="300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">
        <v>1026</v>
      </c>
      <c r="B163" t="s">
        <v>67</v>
      </c>
      <c r="C163" s="52" t="s">
        <v>1025</v>
      </c>
      <c r="D163" s="52" t="s">
        <v>1025</v>
      </c>
      <c r="E163">
        <v>170</v>
      </c>
      <c r="F163">
        <v>180</v>
      </c>
      <c r="G163" s="64">
        <v>44959</v>
      </c>
      <c r="H163">
        <v>300</v>
      </c>
      <c r="I163">
        <v>300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300"/>
      <c r="AU163" s="93"/>
      <c r="AV163" s="300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">
        <v>1027</v>
      </c>
      <c r="B164" t="s">
        <v>67</v>
      </c>
      <c r="C164" s="52" t="s">
        <v>1025</v>
      </c>
      <c r="D164" s="52" t="s">
        <v>1025</v>
      </c>
      <c r="E164">
        <v>42</v>
      </c>
      <c r="F164">
        <v>43</v>
      </c>
      <c r="G164" s="64">
        <v>45296</v>
      </c>
      <c r="H164">
        <v>300</v>
      </c>
      <c r="I164">
        <v>300</v>
      </c>
      <c r="J164">
        <v>3</v>
      </c>
      <c r="K164">
        <v>0</v>
      </c>
      <c r="L164">
        <v>12</v>
      </c>
      <c r="M164">
        <v>11</v>
      </c>
      <c r="N164">
        <v>11</v>
      </c>
      <c r="O164"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300"/>
      <c r="AU164" s="93"/>
      <c r="AV164" s="300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">
        <v>1028</v>
      </c>
      <c r="B165" t="s">
        <v>67</v>
      </c>
      <c r="C165" s="52" t="s">
        <v>1025</v>
      </c>
      <c r="D165" s="52" t="s">
        <v>1025</v>
      </c>
      <c r="E165">
        <v>160</v>
      </c>
      <c r="F165">
        <v>180</v>
      </c>
      <c r="G165" s="64">
        <v>44959</v>
      </c>
      <c r="H165">
        <v>300</v>
      </c>
      <c r="I165">
        <v>300</v>
      </c>
      <c r="J165">
        <v>0</v>
      </c>
      <c r="K165">
        <v>0</v>
      </c>
      <c r="L165">
        <v>2</v>
      </c>
      <c r="M165">
        <v>8</v>
      </c>
      <c r="N165">
        <v>12</v>
      </c>
      <c r="O165"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300"/>
      <c r="AU165" s="93"/>
      <c r="AV165" s="300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">
        <v>1029</v>
      </c>
      <c r="B166" t="s">
        <v>67</v>
      </c>
      <c r="C166" s="52" t="s">
        <v>1025</v>
      </c>
      <c r="D166" s="52" t="s">
        <v>1025</v>
      </c>
      <c r="E166">
        <v>110</v>
      </c>
      <c r="F166">
        <v>130</v>
      </c>
      <c r="G166" s="64">
        <v>44959</v>
      </c>
      <c r="H166">
        <v>300</v>
      </c>
      <c r="I166">
        <v>300</v>
      </c>
      <c r="J166">
        <v>0</v>
      </c>
      <c r="K166">
        <v>0</v>
      </c>
      <c r="L166">
        <v>3</v>
      </c>
      <c r="M166">
        <v>20</v>
      </c>
      <c r="N166">
        <v>10</v>
      </c>
      <c r="O166"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300"/>
      <c r="AU166" s="93"/>
      <c r="AV166" s="300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">
        <v>1030</v>
      </c>
      <c r="B167" t="s">
        <v>67</v>
      </c>
      <c r="C167" s="52" t="s">
        <v>1025</v>
      </c>
      <c r="D167" s="52" t="s">
        <v>1025</v>
      </c>
      <c r="E167">
        <v>20</v>
      </c>
      <c r="F167">
        <v>20</v>
      </c>
      <c r="G167" s="64">
        <v>44959</v>
      </c>
      <c r="H167">
        <v>300</v>
      </c>
      <c r="I167">
        <v>300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300"/>
      <c r="AU167" s="93"/>
      <c r="AV167" s="300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">
        <v>1031</v>
      </c>
      <c r="B168" t="s">
        <v>67</v>
      </c>
      <c r="C168" s="52" t="s">
        <v>1025</v>
      </c>
      <c r="D168" s="52" t="s">
        <v>1025</v>
      </c>
      <c r="E168">
        <v>20</v>
      </c>
      <c r="F168">
        <v>20</v>
      </c>
      <c r="G168" s="64">
        <v>44959</v>
      </c>
      <c r="H168">
        <v>300</v>
      </c>
      <c r="I168">
        <v>300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300"/>
      <c r="AU168" s="93"/>
      <c r="AV168" s="300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">
        <v>1032</v>
      </c>
      <c r="B169" t="s">
        <v>67</v>
      </c>
      <c r="C169" s="52" t="s">
        <v>1025</v>
      </c>
      <c r="D169" s="52" t="s">
        <v>1025</v>
      </c>
      <c r="E169">
        <v>10</v>
      </c>
      <c r="F169">
        <v>20</v>
      </c>
      <c r="G169" s="64">
        <v>44959</v>
      </c>
      <c r="H169">
        <v>300</v>
      </c>
      <c r="I169">
        <v>300</v>
      </c>
      <c r="J169">
        <v>6</v>
      </c>
      <c r="K169">
        <v>4</v>
      </c>
      <c r="L169">
        <v>6</v>
      </c>
      <c r="M169">
        <v>21</v>
      </c>
      <c r="N169">
        <v>12</v>
      </c>
      <c r="O169"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300"/>
      <c r="AU169" s="93"/>
      <c r="AV169" s="300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">
        <v>1033</v>
      </c>
      <c r="B170" t="s">
        <v>67</v>
      </c>
      <c r="C170" s="52" t="s">
        <v>1025</v>
      </c>
      <c r="D170" s="52" t="s">
        <v>1025</v>
      </c>
      <c r="E170">
        <v>85</v>
      </c>
      <c r="F170">
        <v>80</v>
      </c>
      <c r="G170" s="64">
        <v>44959</v>
      </c>
      <c r="H170">
        <v>300</v>
      </c>
      <c r="I170">
        <v>300</v>
      </c>
      <c r="J170">
        <v>3</v>
      </c>
      <c r="K170">
        <v>1</v>
      </c>
      <c r="L170">
        <v>6</v>
      </c>
      <c r="M170">
        <v>11</v>
      </c>
      <c r="N170">
        <v>11</v>
      </c>
      <c r="O170">
        <v>0</v>
      </c>
      <c r="P170" s="69">
        <f t="shared" si="30"/>
        <v>45.833333333333336</v>
      </c>
      <c r="Q170" s="83" t="s">
        <v>425</v>
      </c>
      <c r="R170" s="286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300"/>
      <c r="AU170" s="93"/>
      <c r="AV170" s="300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">
        <v>1034</v>
      </c>
      <c r="B171" t="s">
        <v>67</v>
      </c>
      <c r="C171" s="52" t="s">
        <v>1025</v>
      </c>
      <c r="D171" s="52" t="s">
        <v>1025</v>
      </c>
      <c r="E171">
        <v>15</v>
      </c>
      <c r="F171">
        <v>40</v>
      </c>
      <c r="G171" s="64">
        <v>44959</v>
      </c>
      <c r="H171">
        <v>300</v>
      </c>
      <c r="I171">
        <v>300</v>
      </c>
      <c r="J171">
        <v>0</v>
      </c>
      <c r="K171">
        <v>6</v>
      </c>
      <c r="L171">
        <v>4</v>
      </c>
      <c r="M171">
        <v>24</v>
      </c>
      <c r="N171">
        <v>18</v>
      </c>
      <c r="O171">
        <v>0</v>
      </c>
      <c r="P171" s="69">
        <f t="shared" si="30"/>
        <v>83.333333333333329</v>
      </c>
      <c r="Q171" s="83" t="s">
        <v>423</v>
      </c>
      <c r="R171" s="286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300"/>
      <c r="AU171" s="93"/>
      <c r="AV171" s="300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">
        <v>1035</v>
      </c>
      <c r="B172" t="s">
        <v>67</v>
      </c>
      <c r="C172" s="52" t="s">
        <v>1025</v>
      </c>
      <c r="D172" s="52" t="s">
        <v>1025</v>
      </c>
      <c r="E172">
        <v>100</v>
      </c>
      <c r="F172">
        <v>120</v>
      </c>
      <c r="G172" s="64">
        <v>44959</v>
      </c>
      <c r="H172">
        <v>300</v>
      </c>
      <c r="I172">
        <v>300</v>
      </c>
      <c r="J172">
        <v>0</v>
      </c>
      <c r="K172">
        <v>3</v>
      </c>
      <c r="L172">
        <v>0</v>
      </c>
      <c r="M172">
        <v>25</v>
      </c>
      <c r="N172">
        <v>12</v>
      </c>
      <c r="O172"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300"/>
      <c r="AU172" s="93"/>
      <c r="AV172" s="300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">
        <v>1036</v>
      </c>
      <c r="B173" t="s">
        <v>67</v>
      </c>
      <c r="C173" s="52" t="s">
        <v>1025</v>
      </c>
      <c r="D173" s="52" t="s">
        <v>1025</v>
      </c>
      <c r="E173">
        <v>80</v>
      </c>
      <c r="F173">
        <v>90</v>
      </c>
      <c r="G173" s="64">
        <v>44959</v>
      </c>
      <c r="H173">
        <v>300</v>
      </c>
      <c r="I173">
        <v>300</v>
      </c>
      <c r="J173">
        <v>3</v>
      </c>
      <c r="K173">
        <v>0</v>
      </c>
      <c r="L173">
        <v>0</v>
      </c>
      <c r="M173">
        <v>9</v>
      </c>
      <c r="N173">
        <v>10</v>
      </c>
      <c r="O173">
        <v>0</v>
      </c>
      <c r="P173" s="69">
        <f t="shared" si="30"/>
        <v>0</v>
      </c>
      <c r="Q173" s="92"/>
      <c r="R173" s="80"/>
      <c r="S173" s="93"/>
      <c r="T173" s="80"/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300"/>
      <c r="AU173" s="93"/>
      <c r="AV173" s="300"/>
      <c r="AW173" s="93"/>
      <c r="AX173" s="66">
        <f t="shared" si="26"/>
        <v>0</v>
      </c>
      <c r="AY173" s="78">
        <f t="shared" si="27"/>
        <v>0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80</v>
      </c>
      <c r="BC173" s="53">
        <f t="shared" si="29"/>
        <v>90</v>
      </c>
    </row>
    <row r="174" spans="1:55" ht="13.15">
      <c r="A174" t="s">
        <v>1037</v>
      </c>
      <c r="B174" t="s">
        <v>66</v>
      </c>
      <c r="C174" s="52" t="s">
        <v>1038</v>
      </c>
      <c r="D174" s="52" t="s">
        <v>1038</v>
      </c>
      <c r="E174">
        <v>166</v>
      </c>
      <c r="F174">
        <v>147</v>
      </c>
      <c r="G174" s="64">
        <v>44964</v>
      </c>
      <c r="H174">
        <v>227</v>
      </c>
      <c r="I174">
        <v>202</v>
      </c>
      <c r="J174">
        <v>0</v>
      </c>
      <c r="K174">
        <v>4</v>
      </c>
      <c r="L174">
        <v>1</v>
      </c>
      <c r="M174">
        <v>1</v>
      </c>
      <c r="N174">
        <v>0</v>
      </c>
      <c r="O174">
        <v>37</v>
      </c>
      <c r="P174" s="69">
        <f t="shared" si="30"/>
        <v>79.166666666666671</v>
      </c>
      <c r="Q174" s="83" t="s">
        <v>1039</v>
      </c>
      <c r="R174" s="84">
        <v>2</v>
      </c>
      <c r="S174" s="83" t="s">
        <v>421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300"/>
      <c r="AU174" s="93"/>
      <c r="AV174" s="300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">
        <v>1040</v>
      </c>
      <c r="B175" t="s">
        <v>66</v>
      </c>
      <c r="C175" s="52" t="s">
        <v>1038</v>
      </c>
      <c r="D175" s="52" t="s">
        <v>1038</v>
      </c>
      <c r="E175">
        <v>250</v>
      </c>
      <c r="F175">
        <v>275</v>
      </c>
      <c r="G175" s="64">
        <v>44964</v>
      </c>
      <c r="H175">
        <v>300</v>
      </c>
      <c r="I175">
        <v>300</v>
      </c>
      <c r="J175">
        <v>4</v>
      </c>
      <c r="K175">
        <v>0</v>
      </c>
      <c r="L175">
        <v>0</v>
      </c>
      <c r="M175">
        <v>2</v>
      </c>
      <c r="N175">
        <v>12</v>
      </c>
      <c r="O175"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300"/>
      <c r="AU175" s="93"/>
      <c r="AV175" s="300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">
        <v>1041</v>
      </c>
      <c r="B176" t="s">
        <v>64</v>
      </c>
      <c r="C176" s="52" t="s">
        <v>1042</v>
      </c>
      <c r="D176" s="52" t="s">
        <v>1042</v>
      </c>
      <c r="E176">
        <v>151.70000000000002</v>
      </c>
      <c r="F176">
        <v>172</v>
      </c>
      <c r="G176" s="64">
        <v>45337</v>
      </c>
      <c r="H176">
        <v>360</v>
      </c>
      <c r="I176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69">
        <f t="shared" si="30"/>
        <v>441.66666666666669</v>
      </c>
      <c r="Q176" s="81" t="s">
        <v>403</v>
      </c>
      <c r="R176" s="82">
        <v>2.2000000000000002</v>
      </c>
      <c r="S176" s="87" t="s">
        <v>404</v>
      </c>
      <c r="T176" s="88">
        <v>0.8</v>
      </c>
      <c r="U176" s="87" t="s">
        <v>405</v>
      </c>
      <c r="V176" s="88">
        <v>3</v>
      </c>
      <c r="W176" s="87" t="s">
        <v>406</v>
      </c>
      <c r="X176" s="88">
        <v>2.7</v>
      </c>
      <c r="Y176" s="87" t="s">
        <v>407</v>
      </c>
      <c r="Z176" s="88">
        <v>2.6</v>
      </c>
      <c r="AA176" s="87" t="s">
        <v>408</v>
      </c>
      <c r="AB176" s="88">
        <v>2.9</v>
      </c>
      <c r="AC176" s="87" t="s">
        <v>1043</v>
      </c>
      <c r="AD176" s="88">
        <v>2</v>
      </c>
      <c r="AE176" s="93" t="s">
        <v>1044</v>
      </c>
      <c r="AF176" s="253">
        <v>3</v>
      </c>
      <c r="AG176" s="81" t="s">
        <v>417</v>
      </c>
      <c r="AH176" s="82">
        <v>0.8</v>
      </c>
      <c r="AI176" s="89" t="s">
        <v>416</v>
      </c>
      <c r="AJ176" s="284">
        <v>1.2</v>
      </c>
      <c r="AK176" s="92"/>
      <c r="AL176" s="80"/>
      <c r="AM176" s="93"/>
      <c r="AN176" s="80"/>
      <c r="AO176" s="92"/>
      <c r="AP176" s="80"/>
      <c r="AQ176" s="93"/>
      <c r="AR176" s="80"/>
      <c r="AS176" s="93"/>
      <c r="AT176" s="300"/>
      <c r="AU176" s="93"/>
      <c r="AV176" s="300"/>
      <c r="AW176" s="93"/>
      <c r="AX176" s="66">
        <f t="shared" si="26"/>
        <v>21.2</v>
      </c>
      <c r="AY176" s="78">
        <f t="shared" si="27"/>
        <v>441.66666666666669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372.53333333333336</v>
      </c>
      <c r="BC176" s="53">
        <f t="shared" si="29"/>
        <v>392.83333333333337</v>
      </c>
    </row>
    <row r="177" spans="1:55" ht="13.15">
      <c r="A177" t="s">
        <v>1045</v>
      </c>
      <c r="B177" t="s">
        <v>229</v>
      </c>
      <c r="C177" s="52" t="s">
        <v>1046</v>
      </c>
      <c r="D177" s="52" t="s">
        <v>1046</v>
      </c>
      <c r="E177">
        <v>60</v>
      </c>
      <c r="F177">
        <v>60</v>
      </c>
      <c r="G177" s="64">
        <v>44117</v>
      </c>
      <c r="H177">
        <v>300</v>
      </c>
      <c r="I177">
        <v>300</v>
      </c>
      <c r="J177">
        <v>5</v>
      </c>
      <c r="K177">
        <v>6</v>
      </c>
      <c r="L177">
        <v>6</v>
      </c>
      <c r="M177">
        <v>11</v>
      </c>
      <c r="N177">
        <v>12</v>
      </c>
      <c r="O177"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300"/>
      <c r="AU177" s="93"/>
      <c r="AV177" s="300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">
        <v>1047</v>
      </c>
      <c r="B178" t="s">
        <v>229</v>
      </c>
      <c r="C178" s="52" t="s">
        <v>1046</v>
      </c>
      <c r="D178" s="52" t="s">
        <v>1046</v>
      </c>
      <c r="E178">
        <v>20</v>
      </c>
      <c r="F178">
        <v>30</v>
      </c>
      <c r="G178" s="64">
        <v>0</v>
      </c>
      <c r="H178">
        <v>300</v>
      </c>
      <c r="I178">
        <v>300</v>
      </c>
      <c r="J178">
        <v>6</v>
      </c>
      <c r="K178">
        <v>6</v>
      </c>
      <c r="L178">
        <v>1</v>
      </c>
      <c r="M178">
        <v>23</v>
      </c>
      <c r="N178">
        <v>12</v>
      </c>
      <c r="O178">
        <v>0</v>
      </c>
      <c r="P178" s="69">
        <f t="shared" si="30"/>
        <v>41.666666666666664</v>
      </c>
      <c r="Q178" s="81" t="s">
        <v>1048</v>
      </c>
      <c r="R178" s="82">
        <v>1</v>
      </c>
      <c r="S178" s="264" t="s">
        <v>706</v>
      </c>
      <c r="T178" s="262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300"/>
      <c r="AU178" s="93"/>
      <c r="AV178" s="300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">
        <v>1049</v>
      </c>
      <c r="B179" t="s">
        <v>231</v>
      </c>
      <c r="C179" s="52" t="s">
        <v>1050</v>
      </c>
      <c r="D179" s="52" t="s">
        <v>1050</v>
      </c>
      <c r="E179">
        <v>113</v>
      </c>
      <c r="F179">
        <v>110</v>
      </c>
      <c r="G179" s="64">
        <v>45082</v>
      </c>
      <c r="H179">
        <v>300</v>
      </c>
      <c r="I179">
        <v>300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26</v>
      </c>
      <c r="P179" s="69">
        <f t="shared" si="30"/>
        <v>20.833333333333332</v>
      </c>
      <c r="Q179" s="106" t="s">
        <v>709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300"/>
      <c r="AU179" s="93"/>
      <c r="AV179" s="300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">
        <v>1051</v>
      </c>
      <c r="B180" t="s">
        <v>231</v>
      </c>
      <c r="C180" s="52" t="s">
        <v>1050</v>
      </c>
      <c r="D180" s="52" t="s">
        <v>1050</v>
      </c>
      <c r="E180">
        <v>0</v>
      </c>
      <c r="F180">
        <v>0</v>
      </c>
      <c r="G180" s="64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300"/>
      <c r="AU180" s="93"/>
      <c r="AV180" s="300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">
        <v>1052</v>
      </c>
      <c r="B181" t="s">
        <v>231</v>
      </c>
      <c r="C181" s="52" t="s">
        <v>1050</v>
      </c>
      <c r="D181" s="52" t="s">
        <v>1050</v>
      </c>
      <c r="E181">
        <v>0</v>
      </c>
      <c r="F181">
        <v>0</v>
      </c>
      <c r="G181" s="64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300"/>
      <c r="AU181" s="93"/>
      <c r="AV181" s="300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">
        <v>1053</v>
      </c>
      <c r="B182" t="s">
        <v>231</v>
      </c>
      <c r="C182" s="52" t="s">
        <v>1050</v>
      </c>
      <c r="D182" s="52" t="s">
        <v>1050</v>
      </c>
      <c r="E182">
        <v>0</v>
      </c>
      <c r="F182">
        <v>0</v>
      </c>
      <c r="G182" s="64">
        <v>0</v>
      </c>
      <c r="H182">
        <v>100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300"/>
      <c r="AU182" s="93"/>
      <c r="AV182" s="300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">
        <v>1054</v>
      </c>
      <c r="B183" t="s">
        <v>268</v>
      </c>
      <c r="C183" s="52" t="s">
        <v>1055</v>
      </c>
      <c r="D183" s="52" t="s">
        <v>1055</v>
      </c>
      <c r="E183">
        <v>90</v>
      </c>
      <c r="F183">
        <v>90</v>
      </c>
      <c r="G183" s="64" t="s">
        <v>1056</v>
      </c>
      <c r="H183">
        <v>300</v>
      </c>
      <c r="I183">
        <v>300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24</v>
      </c>
      <c r="P183" s="69">
        <f t="shared" si="30"/>
        <v>104.16666666666667</v>
      </c>
      <c r="Q183" s="81" t="s">
        <v>766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300"/>
      <c r="AU183" s="93"/>
      <c r="AV183" s="300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">
        <v>1057</v>
      </c>
      <c r="B184" t="s">
        <v>84</v>
      </c>
      <c r="C184" s="52" t="s">
        <v>1058</v>
      </c>
      <c r="D184" s="52" t="s">
        <v>1058</v>
      </c>
      <c r="E184">
        <v>40</v>
      </c>
      <c r="F184">
        <v>40</v>
      </c>
      <c r="G184" s="64">
        <v>45105</v>
      </c>
      <c r="H184">
        <v>125</v>
      </c>
      <c r="I184">
        <v>125</v>
      </c>
      <c r="J184">
        <v>0</v>
      </c>
      <c r="K184">
        <v>0</v>
      </c>
      <c r="L184">
        <v>5</v>
      </c>
      <c r="M184">
        <v>0</v>
      </c>
      <c r="N184">
        <v>4</v>
      </c>
      <c r="O184"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300"/>
      <c r="AU184" s="93"/>
      <c r="AV184" s="300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">
        <v>1059</v>
      </c>
      <c r="B185" t="s">
        <v>113</v>
      </c>
      <c r="C185" s="52" t="s">
        <v>1060</v>
      </c>
      <c r="D185" s="52" t="s">
        <v>1060</v>
      </c>
      <c r="E185">
        <v>90</v>
      </c>
      <c r="F185">
        <v>90</v>
      </c>
      <c r="G185" s="64">
        <v>44126</v>
      </c>
      <c r="H185">
        <v>300</v>
      </c>
      <c r="I185">
        <v>300</v>
      </c>
      <c r="J185">
        <v>6</v>
      </c>
      <c r="K185">
        <v>4</v>
      </c>
      <c r="L185">
        <v>0</v>
      </c>
      <c r="M185">
        <v>10</v>
      </c>
      <c r="N185">
        <v>6</v>
      </c>
      <c r="O185"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300"/>
      <c r="AU185" s="93"/>
      <c r="AV185" s="300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">
        <v>1061</v>
      </c>
      <c r="B186" t="s">
        <v>157</v>
      </c>
      <c r="C186" s="52" t="s">
        <v>1062</v>
      </c>
      <c r="D186" s="52" t="s">
        <v>1062</v>
      </c>
      <c r="E186">
        <v>43</v>
      </c>
      <c r="F186">
        <v>58</v>
      </c>
      <c r="G186" s="64">
        <v>44252</v>
      </c>
      <c r="H186">
        <v>300</v>
      </c>
      <c r="I186">
        <v>300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300"/>
      <c r="AU186" s="93"/>
      <c r="AV186" s="300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">
        <v>1063</v>
      </c>
      <c r="B187" t="s">
        <v>1064</v>
      </c>
      <c r="C187" s="52" t="s">
        <v>1065</v>
      </c>
      <c r="D187" s="52" t="s">
        <v>1065</v>
      </c>
      <c r="E187">
        <v>0</v>
      </c>
      <c r="F187">
        <v>0</v>
      </c>
      <c r="G187" s="64">
        <v>0</v>
      </c>
      <c r="H187">
        <v>300</v>
      </c>
      <c r="I187">
        <v>300</v>
      </c>
      <c r="J187">
        <v>4</v>
      </c>
      <c r="K187">
        <v>6</v>
      </c>
      <c r="L187">
        <v>10</v>
      </c>
      <c r="M187">
        <v>14</v>
      </c>
      <c r="N187">
        <v>12</v>
      </c>
      <c r="O187"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300"/>
      <c r="AU187" s="93"/>
      <c r="AV187" s="300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">
        <v>1066</v>
      </c>
      <c r="B188" t="s">
        <v>1064</v>
      </c>
      <c r="C188" s="52" t="s">
        <v>1065</v>
      </c>
      <c r="D188" s="52" t="s">
        <v>1065</v>
      </c>
      <c r="E188">
        <v>0</v>
      </c>
      <c r="F188">
        <v>0</v>
      </c>
      <c r="G188" s="64">
        <v>0</v>
      </c>
      <c r="H188">
        <v>300</v>
      </c>
      <c r="I188">
        <v>300</v>
      </c>
      <c r="J188">
        <v>0</v>
      </c>
      <c r="K188">
        <v>0</v>
      </c>
      <c r="L188">
        <v>0</v>
      </c>
      <c r="M188">
        <v>5</v>
      </c>
      <c r="N188">
        <v>12</v>
      </c>
      <c r="O188"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300"/>
      <c r="AU188" s="93"/>
      <c r="AV188" s="300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">
        <v>1067</v>
      </c>
      <c r="B189" t="s">
        <v>1064</v>
      </c>
      <c r="C189" s="52" t="s">
        <v>1065</v>
      </c>
      <c r="D189" s="52" t="s">
        <v>1065</v>
      </c>
      <c r="E189">
        <v>0</v>
      </c>
      <c r="F189">
        <v>0</v>
      </c>
      <c r="G189" s="64">
        <v>0</v>
      </c>
      <c r="H189">
        <v>300</v>
      </c>
      <c r="I189">
        <v>300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300"/>
      <c r="AU189" s="93"/>
      <c r="AV189" s="300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">
        <v>1068</v>
      </c>
      <c r="B190" t="s">
        <v>1064</v>
      </c>
      <c r="C190" s="52" t="s">
        <v>1065</v>
      </c>
      <c r="D190" s="52" t="s">
        <v>1065</v>
      </c>
      <c r="E190">
        <v>0</v>
      </c>
      <c r="F190">
        <v>0</v>
      </c>
      <c r="G190" s="64">
        <v>0</v>
      </c>
      <c r="H190">
        <v>300</v>
      </c>
      <c r="I190">
        <v>300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300"/>
      <c r="AU190" s="93"/>
      <c r="AV190" s="300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">
        <v>1069</v>
      </c>
      <c r="B191" t="s">
        <v>159</v>
      </c>
      <c r="C191" s="52" t="s">
        <v>1070</v>
      </c>
      <c r="D191" s="52" t="s">
        <v>1070</v>
      </c>
      <c r="E191">
        <v>176.89999999999998</v>
      </c>
      <c r="F191">
        <v>116.69999999999999</v>
      </c>
      <c r="G191" s="64">
        <v>45335</v>
      </c>
      <c r="H191">
        <v>360</v>
      </c>
      <c r="I191">
        <v>360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69">
        <f t="shared" si="30"/>
        <v>189.58333333333334</v>
      </c>
      <c r="Q191" s="81" t="s">
        <v>588</v>
      </c>
      <c r="R191" s="82">
        <v>2.4</v>
      </c>
      <c r="S191" s="81" t="s">
        <v>589</v>
      </c>
      <c r="T191" s="82">
        <v>0.5</v>
      </c>
      <c r="U191" s="81" t="s">
        <v>590</v>
      </c>
      <c r="V191" s="82">
        <v>2.2000000000000002</v>
      </c>
      <c r="W191" s="99" t="s">
        <v>1071</v>
      </c>
      <c r="X191" s="100">
        <v>2</v>
      </c>
      <c r="Y191" s="101" t="s">
        <v>595</v>
      </c>
      <c r="Z191" s="100">
        <v>1</v>
      </c>
      <c r="AA191" s="305" t="s">
        <v>596</v>
      </c>
      <c r="AB191" s="304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300"/>
      <c r="AU191" s="93"/>
      <c r="AV191" s="300"/>
      <c r="AW191" s="93"/>
      <c r="AX191" s="66">
        <f t="shared" si="26"/>
        <v>9.1</v>
      </c>
      <c r="AY191" s="78">
        <f t="shared" si="27"/>
        <v>189.58333333333334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271.69166666666666</v>
      </c>
      <c r="BC191" s="53">
        <f t="shared" si="29"/>
        <v>211.49166666666667</v>
      </c>
    </row>
    <row r="192" spans="1:55" ht="13.15">
      <c r="A192" t="s">
        <v>1072</v>
      </c>
      <c r="B192" t="s">
        <v>159</v>
      </c>
      <c r="C192" s="52" t="s">
        <v>1070</v>
      </c>
      <c r="D192" s="52" t="s">
        <v>1070</v>
      </c>
      <c r="E192">
        <v>100</v>
      </c>
      <c r="F192">
        <v>100</v>
      </c>
      <c r="G192" s="64">
        <v>44116</v>
      </c>
      <c r="H192">
        <v>300</v>
      </c>
      <c r="I192">
        <v>300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300"/>
      <c r="AU192" s="93"/>
      <c r="AV192" s="300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">
        <v>1073</v>
      </c>
      <c r="B193" t="s">
        <v>159</v>
      </c>
      <c r="C193" s="52" t="s">
        <v>1070</v>
      </c>
      <c r="D193" s="52" t="s">
        <v>1070</v>
      </c>
      <c r="E193">
        <v>260</v>
      </c>
      <c r="F193">
        <v>230</v>
      </c>
      <c r="G193" s="64">
        <v>44382</v>
      </c>
      <c r="H193">
        <v>300</v>
      </c>
      <c r="I193">
        <v>300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17</v>
      </c>
      <c r="P193" s="69">
        <f t="shared" si="30"/>
        <v>83.333333333333329</v>
      </c>
      <c r="Q193" s="81" t="s">
        <v>1074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300"/>
      <c r="AU193" s="93"/>
      <c r="AV193" s="300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">
        <v>1075</v>
      </c>
      <c r="B194" t="s">
        <v>159</v>
      </c>
      <c r="C194" s="52" t="s">
        <v>1070</v>
      </c>
      <c r="D194" s="52" t="s">
        <v>1070</v>
      </c>
      <c r="E194">
        <v>250</v>
      </c>
      <c r="F194">
        <v>250</v>
      </c>
      <c r="G194" s="64">
        <v>44116</v>
      </c>
      <c r="H194">
        <v>300</v>
      </c>
      <c r="I194">
        <v>300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300"/>
      <c r="AU194" s="93"/>
      <c r="AV194" s="300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">
        <v>1076</v>
      </c>
      <c r="B195" t="s">
        <v>159</v>
      </c>
      <c r="C195" s="52" t="s">
        <v>1070</v>
      </c>
      <c r="D195" s="52" t="s">
        <v>1070</v>
      </c>
      <c r="E195">
        <v>50</v>
      </c>
      <c r="F195">
        <v>0</v>
      </c>
      <c r="G195" s="64">
        <v>44116</v>
      </c>
      <c r="H195">
        <v>300</v>
      </c>
      <c r="I195">
        <v>300</v>
      </c>
      <c r="J195">
        <v>0</v>
      </c>
      <c r="K195">
        <v>0</v>
      </c>
      <c r="L195">
        <v>0</v>
      </c>
      <c r="M195">
        <v>16</v>
      </c>
      <c r="N195">
        <v>9</v>
      </c>
      <c r="O195">
        <v>18</v>
      </c>
      <c r="P195" s="69">
        <f t="shared" si="30"/>
        <v>87.5</v>
      </c>
      <c r="Q195" s="101" t="s">
        <v>598</v>
      </c>
      <c r="R195" s="100">
        <v>1</v>
      </c>
      <c r="S195" s="93"/>
      <c r="T195" s="80"/>
      <c r="U195" s="101" t="s">
        <v>1077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300"/>
      <c r="AU195" s="93"/>
      <c r="AV195" s="300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">
        <v>1078</v>
      </c>
      <c r="B196" t="s">
        <v>159</v>
      </c>
      <c r="C196" s="52" t="s">
        <v>1070</v>
      </c>
      <c r="D196" s="52" t="s">
        <v>1070</v>
      </c>
      <c r="E196">
        <v>150</v>
      </c>
      <c r="F196">
        <v>150</v>
      </c>
      <c r="G196" s="64">
        <v>44116</v>
      </c>
      <c r="H196">
        <v>300</v>
      </c>
      <c r="I196">
        <v>300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300"/>
      <c r="AU196" s="93"/>
      <c r="AV196" s="300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">
        <v>1079</v>
      </c>
      <c r="B197" t="s">
        <v>159</v>
      </c>
      <c r="C197" s="52" t="s">
        <v>1070</v>
      </c>
      <c r="D197" s="52" t="s">
        <v>1070</v>
      </c>
      <c r="E197">
        <v>241</v>
      </c>
      <c r="F197">
        <v>156</v>
      </c>
      <c r="G197" s="64">
        <v>44482</v>
      </c>
      <c r="H197">
        <v>300</v>
      </c>
      <c r="I197">
        <v>300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14</v>
      </c>
      <c r="P197" s="69">
        <f t="shared" ref="P197:P253" si="42">SUM(AY197+BA197)</f>
        <v>202.08333333333337</v>
      </c>
      <c r="Q197" s="92" t="s">
        <v>1080</v>
      </c>
      <c r="R197" s="80">
        <v>5</v>
      </c>
      <c r="S197" s="89" t="s">
        <v>1081</v>
      </c>
      <c r="T197" s="82">
        <v>2.9</v>
      </c>
      <c r="U197" s="81" t="s">
        <v>592</v>
      </c>
      <c r="V197" s="82">
        <v>1.8</v>
      </c>
      <c r="W197" s="93"/>
      <c r="X197" s="80"/>
      <c r="Y197" s="92"/>
      <c r="Z197" s="80"/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300"/>
      <c r="AU197" s="93"/>
      <c r="AV197" s="300"/>
      <c r="AW197" s="93"/>
      <c r="AX197" s="66">
        <f t="shared" si="38"/>
        <v>9.7000000000000011</v>
      </c>
      <c r="AY197" s="78">
        <f t="shared" si="39"/>
        <v>202.08333333333337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342.04166666666669</v>
      </c>
      <c r="BC197" s="53">
        <f t="shared" si="41"/>
        <v>257.04166666666669</v>
      </c>
    </row>
    <row r="198" spans="1:55" ht="13.15">
      <c r="A198" t="s">
        <v>1082</v>
      </c>
      <c r="B198" t="s">
        <v>159</v>
      </c>
      <c r="C198" s="52" t="s">
        <v>1070</v>
      </c>
      <c r="D198" s="52" t="s">
        <v>1070</v>
      </c>
      <c r="E198">
        <v>0</v>
      </c>
      <c r="F198">
        <v>0</v>
      </c>
      <c r="G198" s="64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69">
        <f t="shared" si="42"/>
        <v>0</v>
      </c>
      <c r="Q198" s="92"/>
      <c r="R198" s="80"/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300"/>
      <c r="AU198" s="93"/>
      <c r="AV198" s="300"/>
      <c r="AW198" s="93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">
        <v>1083</v>
      </c>
      <c r="B199" t="s">
        <v>162</v>
      </c>
      <c r="C199" s="52" t="s">
        <v>1084</v>
      </c>
      <c r="D199" s="52" t="s">
        <v>1084</v>
      </c>
      <c r="E199">
        <v>130</v>
      </c>
      <c r="F199">
        <v>155</v>
      </c>
      <c r="G199" s="64">
        <v>44974</v>
      </c>
      <c r="H199">
        <v>300</v>
      </c>
      <c r="I199">
        <v>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300"/>
      <c r="AU199" s="93"/>
      <c r="AV199" s="300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130</v>
      </c>
      <c r="BC199" s="53">
        <f t="shared" si="41"/>
        <v>155</v>
      </c>
    </row>
    <row r="200" spans="1:55" ht="13.15">
      <c r="A200" t="s">
        <v>1085</v>
      </c>
      <c r="B200" t="s">
        <v>162</v>
      </c>
      <c r="C200" s="52" t="s">
        <v>1084</v>
      </c>
      <c r="D200" s="52" t="s">
        <v>1084</v>
      </c>
      <c r="E200">
        <v>136</v>
      </c>
      <c r="F200">
        <v>122</v>
      </c>
      <c r="G200" s="64">
        <v>44974</v>
      </c>
      <c r="H200">
        <v>300</v>
      </c>
      <c r="I200">
        <v>300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34</v>
      </c>
      <c r="P200" s="69">
        <f t="shared" si="42"/>
        <v>222.91666666666666</v>
      </c>
      <c r="Q200" s="81" t="s">
        <v>602</v>
      </c>
      <c r="R200" s="82">
        <v>5</v>
      </c>
      <c r="S200" s="81" t="s">
        <v>603</v>
      </c>
      <c r="T200" s="82">
        <v>1.5</v>
      </c>
      <c r="U200" s="83" t="s">
        <v>604</v>
      </c>
      <c r="V200" s="286">
        <v>3.2</v>
      </c>
      <c r="W200" s="305" t="s">
        <v>605</v>
      </c>
      <c r="X200" s="304">
        <v>1</v>
      </c>
      <c r="Y200" s="101"/>
      <c r="Z200" s="100"/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300"/>
      <c r="AU200" s="93"/>
      <c r="AV200" s="300"/>
      <c r="AW200" s="93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247.45833333333331</v>
      </c>
      <c r="BC200" s="53">
        <f t="shared" si="41"/>
        <v>233.45833333333331</v>
      </c>
    </row>
    <row r="201" spans="1:55" ht="13.15">
      <c r="A201" t="s">
        <v>1086</v>
      </c>
      <c r="B201" t="s">
        <v>162</v>
      </c>
      <c r="C201" s="52" t="s">
        <v>1084</v>
      </c>
      <c r="D201" s="52" t="s">
        <v>1084</v>
      </c>
      <c r="E201" t="s">
        <v>840</v>
      </c>
      <c r="F201" t="s">
        <v>840</v>
      </c>
      <c r="G201" s="64">
        <v>44974</v>
      </c>
      <c r="H201">
        <v>80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300"/>
      <c r="AU201" s="93"/>
      <c r="AV201" s="300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">
        <v>1087</v>
      </c>
      <c r="B202" t="s">
        <v>162</v>
      </c>
      <c r="C202" s="52" t="s">
        <v>1084</v>
      </c>
      <c r="D202" s="52" t="s">
        <v>1084</v>
      </c>
      <c r="E202" t="s">
        <v>840</v>
      </c>
      <c r="F202" t="s">
        <v>840</v>
      </c>
      <c r="G202" s="64">
        <v>44974</v>
      </c>
      <c r="H202">
        <v>80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300"/>
      <c r="AU202" s="93"/>
      <c r="AV202" s="300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">
        <v>1088</v>
      </c>
      <c r="B203" t="s">
        <v>162</v>
      </c>
      <c r="C203" s="52" t="s">
        <v>1084</v>
      </c>
      <c r="D203" s="52" t="s">
        <v>1084</v>
      </c>
      <c r="E203" t="s">
        <v>840</v>
      </c>
      <c r="F203" t="s">
        <v>840</v>
      </c>
      <c r="G203" s="64">
        <v>44974</v>
      </c>
      <c r="H203">
        <v>80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300"/>
      <c r="AU203" s="93"/>
      <c r="AV203" s="300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">
        <v>1089</v>
      </c>
      <c r="B204" t="s">
        <v>162</v>
      </c>
      <c r="C204" s="52" t="s">
        <v>1084</v>
      </c>
      <c r="D204" s="52" t="s">
        <v>1084</v>
      </c>
      <c r="E204" t="s">
        <v>840</v>
      </c>
      <c r="F204" t="s">
        <v>840</v>
      </c>
      <c r="G204" s="64">
        <v>44974</v>
      </c>
      <c r="H204">
        <v>80</v>
      </c>
      <c r="I204">
        <v>80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300"/>
      <c r="AU204" s="93"/>
      <c r="AV204" s="300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">
        <v>1090</v>
      </c>
      <c r="B205" t="s">
        <v>162</v>
      </c>
      <c r="C205" s="52" t="s">
        <v>1084</v>
      </c>
      <c r="D205" s="52" t="s">
        <v>1084</v>
      </c>
      <c r="E205" t="s">
        <v>840</v>
      </c>
      <c r="F205" t="s">
        <v>840</v>
      </c>
      <c r="G205" s="64">
        <v>44974</v>
      </c>
      <c r="H205">
        <v>80</v>
      </c>
      <c r="I205">
        <v>80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300"/>
      <c r="AU205" s="93"/>
      <c r="AV205" s="300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">
        <v>1091</v>
      </c>
      <c r="B206" t="s">
        <v>162</v>
      </c>
      <c r="C206" s="52" t="s">
        <v>1084</v>
      </c>
      <c r="D206" s="52" t="s">
        <v>1084</v>
      </c>
      <c r="E206" t="s">
        <v>840</v>
      </c>
      <c r="F206" t="s">
        <v>840</v>
      </c>
      <c r="G206" s="64">
        <v>44974</v>
      </c>
      <c r="H206">
        <v>80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300"/>
      <c r="AU206" s="93"/>
      <c r="AV206" s="300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">
        <v>1092</v>
      </c>
      <c r="B207" t="s">
        <v>162</v>
      </c>
      <c r="C207" s="52" t="s">
        <v>1084</v>
      </c>
      <c r="D207" s="52" t="s">
        <v>1084</v>
      </c>
      <c r="E207" t="s">
        <v>840</v>
      </c>
      <c r="F207" t="s">
        <v>840</v>
      </c>
      <c r="G207" s="64">
        <v>44974</v>
      </c>
      <c r="H207">
        <v>80</v>
      </c>
      <c r="I207">
        <v>80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300"/>
      <c r="AU207" s="93"/>
      <c r="AV207" s="300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">
        <v>1093</v>
      </c>
      <c r="B208" t="s">
        <v>162</v>
      </c>
      <c r="C208" s="52" t="s">
        <v>1084</v>
      </c>
      <c r="D208" s="52" t="s">
        <v>1084</v>
      </c>
      <c r="E208" t="s">
        <v>840</v>
      </c>
      <c r="F208" t="s">
        <v>840</v>
      </c>
      <c r="G208" s="64">
        <v>44974</v>
      </c>
      <c r="H208">
        <v>80</v>
      </c>
      <c r="I208">
        <v>80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300"/>
      <c r="AU208" s="93"/>
      <c r="AV208" s="300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">
        <v>1094</v>
      </c>
      <c r="B209" t="s">
        <v>162</v>
      </c>
      <c r="C209" s="52" t="s">
        <v>1084</v>
      </c>
      <c r="D209" s="52" t="s">
        <v>1084</v>
      </c>
      <c r="E209" t="s">
        <v>840</v>
      </c>
      <c r="F209" t="s">
        <v>840</v>
      </c>
      <c r="G209" s="64">
        <v>44974</v>
      </c>
      <c r="H209">
        <v>80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300"/>
      <c r="AU209" s="93"/>
      <c r="AV209" s="300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">
        <v>1095</v>
      </c>
      <c r="B210" t="s">
        <v>162</v>
      </c>
      <c r="C210" s="52" t="s">
        <v>1084</v>
      </c>
      <c r="D210" s="52" t="s">
        <v>1084</v>
      </c>
      <c r="E210" t="s">
        <v>840</v>
      </c>
      <c r="F210" t="s">
        <v>840</v>
      </c>
      <c r="G210" s="64">
        <v>44974</v>
      </c>
      <c r="H210">
        <v>80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300"/>
      <c r="AU210" s="93"/>
      <c r="AV210" s="300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">
        <v>1096</v>
      </c>
      <c r="B211" t="s">
        <v>162</v>
      </c>
      <c r="C211" s="52" t="s">
        <v>1084</v>
      </c>
      <c r="D211" s="52" t="s">
        <v>1084</v>
      </c>
      <c r="E211" t="s">
        <v>840</v>
      </c>
      <c r="F211" t="s">
        <v>840</v>
      </c>
      <c r="G211" s="64">
        <v>44974</v>
      </c>
      <c r="H211">
        <v>80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300"/>
      <c r="AU211" s="93"/>
      <c r="AV211" s="300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">
        <v>1097</v>
      </c>
      <c r="B212" t="s">
        <v>162</v>
      </c>
      <c r="C212" s="52" t="s">
        <v>1084</v>
      </c>
      <c r="D212" s="52" t="s">
        <v>1084</v>
      </c>
      <c r="E212" t="s">
        <v>840</v>
      </c>
      <c r="F212" t="s">
        <v>840</v>
      </c>
      <c r="G212" s="64">
        <v>44974</v>
      </c>
      <c r="H212">
        <v>80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300"/>
      <c r="AU212" s="93"/>
      <c r="AV212" s="300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">
        <v>1098</v>
      </c>
      <c r="B213" t="s">
        <v>162</v>
      </c>
      <c r="C213" s="52" t="s">
        <v>1084</v>
      </c>
      <c r="D213" s="52" t="s">
        <v>1084</v>
      </c>
      <c r="E213">
        <v>0</v>
      </c>
      <c r="F213">
        <v>0</v>
      </c>
      <c r="G213" s="64">
        <v>0</v>
      </c>
      <c r="H213">
        <v>300</v>
      </c>
      <c r="I213">
        <v>300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300"/>
      <c r="AU213" s="93"/>
      <c r="AV213" s="300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">
        <v>1098</v>
      </c>
      <c r="B214" t="s">
        <v>162</v>
      </c>
      <c r="C214" s="52" t="s">
        <v>1084</v>
      </c>
      <c r="D214" s="52" t="s">
        <v>1084</v>
      </c>
      <c r="E214">
        <v>0</v>
      </c>
      <c r="F214">
        <v>0</v>
      </c>
      <c r="G214" s="64">
        <v>0</v>
      </c>
      <c r="H214">
        <v>300</v>
      </c>
      <c r="I214">
        <v>300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300"/>
      <c r="AU214" s="93"/>
      <c r="AV214" s="300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">
        <v>1099</v>
      </c>
      <c r="B215" t="s">
        <v>177</v>
      </c>
      <c r="C215" s="52" t="s">
        <v>1100</v>
      </c>
      <c r="D215" s="52" t="s">
        <v>1100</v>
      </c>
      <c r="E215">
        <v>0.5</v>
      </c>
      <c r="F215">
        <v>0.5</v>
      </c>
      <c r="G215" s="64" t="s">
        <v>1101</v>
      </c>
      <c r="H215">
        <v>300</v>
      </c>
      <c r="I215">
        <v>300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300"/>
      <c r="AU215" s="93"/>
      <c r="AV215" s="300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">
        <v>1102</v>
      </c>
      <c r="B216" t="s">
        <v>187</v>
      </c>
      <c r="C216" s="52" t="s">
        <v>1103</v>
      </c>
      <c r="D216" s="52" t="s">
        <v>1103</v>
      </c>
      <c r="E216">
        <v>40</v>
      </c>
      <c r="F216">
        <v>40</v>
      </c>
      <c r="G216" s="64">
        <v>44235</v>
      </c>
      <c r="H216">
        <v>300</v>
      </c>
      <c r="I216">
        <v>300</v>
      </c>
      <c r="J216">
        <v>0</v>
      </c>
      <c r="K216">
        <v>0</v>
      </c>
      <c r="L216">
        <v>14</v>
      </c>
      <c r="M216">
        <v>1</v>
      </c>
      <c r="N216">
        <v>0</v>
      </c>
      <c r="O216">
        <v>32</v>
      </c>
      <c r="P216" s="69">
        <f t="shared" si="42"/>
        <v>104.16666666666667</v>
      </c>
      <c r="Q216" s="81" t="s">
        <v>654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300"/>
      <c r="AU216" s="93"/>
      <c r="AV216" s="300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">
        <v>1104</v>
      </c>
      <c r="B217" t="s">
        <v>1105</v>
      </c>
      <c r="C217" s="52" t="s">
        <v>1106</v>
      </c>
      <c r="D217" s="52" t="s">
        <v>1106</v>
      </c>
      <c r="E217">
        <v>57.8</v>
      </c>
      <c r="F217">
        <v>39.700000000000003</v>
      </c>
      <c r="G217" s="64">
        <v>45335</v>
      </c>
      <c r="H217">
        <v>360</v>
      </c>
      <c r="I217">
        <v>360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69">
        <f t="shared" si="42"/>
        <v>400</v>
      </c>
      <c r="Q217" s="81" t="s">
        <v>655</v>
      </c>
      <c r="R217" s="82">
        <v>1.7</v>
      </c>
      <c r="S217" s="81" t="s">
        <v>656</v>
      </c>
      <c r="T217" s="281">
        <v>10.3</v>
      </c>
      <c r="U217" s="81" t="s">
        <v>657</v>
      </c>
      <c r="V217" s="293">
        <v>1.7</v>
      </c>
      <c r="W217" s="101" t="s">
        <v>658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300"/>
      <c r="AU217" s="93"/>
      <c r="AV217" s="300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257.8</v>
      </c>
      <c r="BC217" s="53">
        <f t="shared" si="41"/>
        <v>239.7</v>
      </c>
    </row>
    <row r="218" spans="1:55" ht="13.15">
      <c r="A218" t="s">
        <v>1107</v>
      </c>
      <c r="B218" t="s">
        <v>1105</v>
      </c>
      <c r="C218" s="52" t="s">
        <v>1106</v>
      </c>
      <c r="D218" s="52" t="s">
        <v>1106</v>
      </c>
      <c r="E218">
        <v>70</v>
      </c>
      <c r="F218">
        <v>0</v>
      </c>
      <c r="G218" s="64">
        <v>44084</v>
      </c>
      <c r="H218">
        <v>300</v>
      </c>
      <c r="I218">
        <v>300</v>
      </c>
      <c r="J218">
        <v>3</v>
      </c>
      <c r="K218">
        <v>0</v>
      </c>
      <c r="L218">
        <v>4</v>
      </c>
      <c r="M218">
        <v>14</v>
      </c>
      <c r="N218">
        <v>11</v>
      </c>
      <c r="O218"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300"/>
      <c r="AU218" s="93"/>
      <c r="AV218" s="300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">
        <v>1108</v>
      </c>
      <c r="B219" t="s">
        <v>1105</v>
      </c>
      <c r="C219" s="52" t="s">
        <v>1106</v>
      </c>
      <c r="D219" s="52" t="s">
        <v>1106</v>
      </c>
      <c r="E219">
        <v>80</v>
      </c>
      <c r="F219">
        <v>60</v>
      </c>
      <c r="G219" s="64">
        <v>44084</v>
      </c>
      <c r="H219">
        <v>300</v>
      </c>
      <c r="I219">
        <v>300</v>
      </c>
      <c r="J219">
        <v>6</v>
      </c>
      <c r="K219">
        <v>0</v>
      </c>
      <c r="L219">
        <v>4</v>
      </c>
      <c r="M219">
        <v>11</v>
      </c>
      <c r="N219">
        <v>9</v>
      </c>
      <c r="O219">
        <v>0</v>
      </c>
      <c r="P219" s="69">
        <f t="shared" si="42"/>
        <v>20.833333333333332</v>
      </c>
      <c r="Q219" s="314" t="s">
        <v>1109</v>
      </c>
      <c r="R219" s="315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300"/>
      <c r="AU219" s="93"/>
      <c r="AV219" s="300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">
        <v>1110</v>
      </c>
      <c r="B220" t="s">
        <v>223</v>
      </c>
      <c r="C220" s="52" t="s">
        <v>1111</v>
      </c>
      <c r="D220" s="52" t="s">
        <v>1111</v>
      </c>
      <c r="E220">
        <v>100</v>
      </c>
      <c r="F220">
        <v>100</v>
      </c>
      <c r="G220" s="64">
        <v>44971</v>
      </c>
      <c r="H220">
        <v>300</v>
      </c>
      <c r="I220">
        <v>300</v>
      </c>
      <c r="J220">
        <v>2</v>
      </c>
      <c r="K220">
        <v>1</v>
      </c>
      <c r="L220">
        <v>0</v>
      </c>
      <c r="M220">
        <v>10</v>
      </c>
      <c r="N220">
        <v>10</v>
      </c>
      <c r="O220"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300"/>
      <c r="AU220" s="93"/>
      <c r="AV220" s="300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">
        <v>1112</v>
      </c>
      <c r="B221" t="s">
        <v>223</v>
      </c>
      <c r="C221" s="52" t="s">
        <v>1111</v>
      </c>
      <c r="D221" s="52" t="s">
        <v>1111</v>
      </c>
      <c r="E221">
        <v>110</v>
      </c>
      <c r="F221">
        <v>110</v>
      </c>
      <c r="G221" s="64">
        <v>44971</v>
      </c>
      <c r="H221">
        <v>300</v>
      </c>
      <c r="I221">
        <v>300</v>
      </c>
      <c r="J221">
        <v>3</v>
      </c>
      <c r="K221">
        <v>3</v>
      </c>
      <c r="L221">
        <v>0</v>
      </c>
      <c r="M221">
        <v>11</v>
      </c>
      <c r="N221">
        <v>8</v>
      </c>
      <c r="O221">
        <v>0</v>
      </c>
      <c r="P221" s="69">
        <f t="shared" si="42"/>
        <v>5.208333333333333</v>
      </c>
      <c r="Q221" s="106" t="s">
        <v>698</v>
      </c>
      <c r="R221" s="256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300"/>
      <c r="AU221" s="93"/>
      <c r="AV221" s="300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">
        <v>1113</v>
      </c>
      <c r="B222" t="s">
        <v>223</v>
      </c>
      <c r="C222" s="52" t="s">
        <v>1111</v>
      </c>
      <c r="D222" s="52" t="s">
        <v>1111</v>
      </c>
      <c r="E222">
        <v>40</v>
      </c>
      <c r="F222">
        <v>45</v>
      </c>
      <c r="G222" s="64">
        <v>44971</v>
      </c>
      <c r="H222">
        <v>300</v>
      </c>
      <c r="I222">
        <v>300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300"/>
      <c r="AU222" s="93"/>
      <c r="AV222" s="300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">
        <v>1114</v>
      </c>
      <c r="B223" t="s">
        <v>228</v>
      </c>
      <c r="C223" s="52" t="s">
        <v>1115</v>
      </c>
      <c r="D223" s="52" t="s">
        <v>1115</v>
      </c>
      <c r="E223">
        <v>0</v>
      </c>
      <c r="F223">
        <v>0</v>
      </c>
      <c r="G223" s="64">
        <v>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300"/>
      <c r="AU223" s="93"/>
      <c r="AV223" s="300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">
        <v>1116</v>
      </c>
      <c r="B224" t="s">
        <v>228</v>
      </c>
      <c r="C224" s="52" t="s">
        <v>1115</v>
      </c>
      <c r="D224" s="52" t="s">
        <v>1115</v>
      </c>
      <c r="E224">
        <v>0</v>
      </c>
      <c r="F224">
        <v>0</v>
      </c>
      <c r="G224" s="64">
        <v>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300"/>
      <c r="AU224" s="93"/>
      <c r="AV224" s="300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">
        <v>1117</v>
      </c>
      <c r="B225" t="s">
        <v>248</v>
      </c>
      <c r="C225" s="52" t="s">
        <v>1118</v>
      </c>
      <c r="D225" s="52" t="s">
        <v>1118</v>
      </c>
      <c r="E225">
        <v>25</v>
      </c>
      <c r="F225">
        <v>25</v>
      </c>
      <c r="G225" s="64">
        <v>44973</v>
      </c>
      <c r="H225">
        <v>300</v>
      </c>
      <c r="I225">
        <v>300</v>
      </c>
      <c r="J225">
        <v>6</v>
      </c>
      <c r="K225">
        <v>5</v>
      </c>
      <c r="L225">
        <v>6</v>
      </c>
      <c r="M225">
        <v>14</v>
      </c>
      <c r="N225">
        <v>12</v>
      </c>
      <c r="O225"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300"/>
      <c r="AU225" s="93"/>
      <c r="AV225" s="300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">
        <v>1119</v>
      </c>
      <c r="B226" t="s">
        <v>248</v>
      </c>
      <c r="C226" s="52" t="s">
        <v>1118</v>
      </c>
      <c r="D226" s="52" t="s">
        <v>1118</v>
      </c>
      <c r="E226">
        <v>100</v>
      </c>
      <c r="F226">
        <v>100</v>
      </c>
      <c r="G226" s="64">
        <v>44973</v>
      </c>
      <c r="H226">
        <v>300</v>
      </c>
      <c r="I226">
        <v>300</v>
      </c>
      <c r="J226">
        <v>0</v>
      </c>
      <c r="K226">
        <v>3</v>
      </c>
      <c r="L226">
        <v>6</v>
      </c>
      <c r="M226">
        <v>24</v>
      </c>
      <c r="N226">
        <v>10</v>
      </c>
      <c r="O226"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300"/>
      <c r="AU226" s="93"/>
      <c r="AV226" s="300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">
        <v>1120</v>
      </c>
      <c r="B227" t="s">
        <v>248</v>
      </c>
      <c r="C227" s="52" t="s">
        <v>1118</v>
      </c>
      <c r="D227" s="52" t="s">
        <v>1118</v>
      </c>
      <c r="E227">
        <v>0</v>
      </c>
      <c r="F227">
        <v>0</v>
      </c>
      <c r="G227" s="64">
        <v>0</v>
      </c>
      <c r="H227">
        <v>300</v>
      </c>
      <c r="I227">
        <v>300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300"/>
      <c r="AU227" s="93"/>
      <c r="AV227" s="300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">
        <v>1121</v>
      </c>
      <c r="B228" t="s">
        <v>248</v>
      </c>
      <c r="C228" s="52" t="s">
        <v>1118</v>
      </c>
      <c r="D228" s="52" t="s">
        <v>1118</v>
      </c>
      <c r="E228">
        <v>87</v>
      </c>
      <c r="F228">
        <v>87</v>
      </c>
      <c r="G228" s="64">
        <v>44973</v>
      </c>
      <c r="H228">
        <v>300</v>
      </c>
      <c r="I228">
        <v>300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</v>
      </c>
      <c r="P228" s="69">
        <f t="shared" si="42"/>
        <v>447.91666666666669</v>
      </c>
      <c r="Q228" s="81" t="s">
        <v>733</v>
      </c>
      <c r="R228" s="82">
        <v>8</v>
      </c>
      <c r="S228" s="81" t="s">
        <v>734</v>
      </c>
      <c r="T228" s="82">
        <v>4.5</v>
      </c>
      <c r="U228" s="81" t="s">
        <v>735</v>
      </c>
      <c r="V228" s="82">
        <v>4.5</v>
      </c>
      <c r="W228" s="81" t="s">
        <v>736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300"/>
      <c r="AU228" s="93"/>
      <c r="AV228" s="300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">
        <v>1122</v>
      </c>
      <c r="B229" t="s">
        <v>248</v>
      </c>
      <c r="C229" s="52" t="s">
        <v>1118</v>
      </c>
      <c r="D229" s="52" t="s">
        <v>1118</v>
      </c>
      <c r="E229">
        <v>60</v>
      </c>
      <c r="F229">
        <v>65</v>
      </c>
      <c r="G229" s="64">
        <v>44973</v>
      </c>
      <c r="H229">
        <v>300</v>
      </c>
      <c r="I229">
        <v>300</v>
      </c>
      <c r="J229">
        <v>3</v>
      </c>
      <c r="K229">
        <v>6</v>
      </c>
      <c r="L229">
        <v>6</v>
      </c>
      <c r="M229">
        <v>18</v>
      </c>
      <c r="N229">
        <v>12</v>
      </c>
      <c r="O229">
        <v>0</v>
      </c>
      <c r="P229" s="69">
        <f t="shared" si="42"/>
        <v>87.5</v>
      </c>
      <c r="Q229" s="261" t="s">
        <v>737</v>
      </c>
      <c r="R229" s="262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300"/>
      <c r="AU229" s="93"/>
      <c r="AV229" s="300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">
        <v>1123</v>
      </c>
      <c r="B230" t="s">
        <v>248</v>
      </c>
      <c r="C230" s="52" t="s">
        <v>1118</v>
      </c>
      <c r="D230" s="52" t="s">
        <v>1118</v>
      </c>
      <c r="E230">
        <v>40</v>
      </c>
      <c r="F230">
        <v>45</v>
      </c>
      <c r="G230" s="64">
        <v>44973</v>
      </c>
      <c r="H230">
        <v>160</v>
      </c>
      <c r="I230">
        <v>160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300"/>
      <c r="AU230" s="93"/>
      <c r="AV230" s="300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">
        <v>1124</v>
      </c>
      <c r="B231" t="s">
        <v>248</v>
      </c>
      <c r="C231" s="52" t="s">
        <v>1118</v>
      </c>
      <c r="D231" s="52" t="s">
        <v>1118</v>
      </c>
      <c r="E231">
        <v>180</v>
      </c>
      <c r="F231">
        <v>185</v>
      </c>
      <c r="G231" s="64">
        <v>44973</v>
      </c>
      <c r="H231">
        <v>300</v>
      </c>
      <c r="I231">
        <v>300</v>
      </c>
      <c r="J231">
        <v>0</v>
      </c>
      <c r="K231">
        <v>1</v>
      </c>
      <c r="L231">
        <v>0</v>
      </c>
      <c r="M231">
        <v>20</v>
      </c>
      <c r="N231">
        <v>12</v>
      </c>
      <c r="O231"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300"/>
      <c r="AU231" s="93"/>
      <c r="AV231" s="300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">
        <v>1125</v>
      </c>
      <c r="B232" t="s">
        <v>248</v>
      </c>
      <c r="C232" s="52" t="s">
        <v>1118</v>
      </c>
      <c r="D232" s="52" t="s">
        <v>1118</v>
      </c>
      <c r="E232">
        <v>30</v>
      </c>
      <c r="F232">
        <v>30</v>
      </c>
      <c r="G232" s="64">
        <v>41869</v>
      </c>
      <c r="H232">
        <v>300</v>
      </c>
      <c r="I232">
        <v>300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300"/>
      <c r="AU232" s="93"/>
      <c r="AV232" s="300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">
        <v>1126</v>
      </c>
      <c r="B233" t="s">
        <v>269</v>
      </c>
      <c r="C233" s="52" t="s">
        <v>1127</v>
      </c>
      <c r="D233" s="52" t="s">
        <v>1127</v>
      </c>
      <c r="E233">
        <v>100</v>
      </c>
      <c r="F233">
        <v>95</v>
      </c>
      <c r="G233" s="64">
        <v>45049</v>
      </c>
      <c r="H233">
        <v>300</v>
      </c>
      <c r="I233">
        <v>300</v>
      </c>
      <c r="J233">
        <v>3</v>
      </c>
      <c r="K233">
        <v>0</v>
      </c>
      <c r="L233">
        <v>2</v>
      </c>
      <c r="M233">
        <v>10</v>
      </c>
      <c r="N233">
        <v>11</v>
      </c>
      <c r="O233">
        <v>0</v>
      </c>
      <c r="P233" s="69">
        <f t="shared" si="42"/>
        <v>20.833333333333332</v>
      </c>
      <c r="Q233" s="101" t="s">
        <v>767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300"/>
      <c r="AU233" s="93"/>
      <c r="AV233" s="300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">
        <v>1128</v>
      </c>
      <c r="B234" t="s">
        <v>270</v>
      </c>
      <c r="C234" s="52" t="s">
        <v>1129</v>
      </c>
      <c r="D234" s="52" t="s">
        <v>1129</v>
      </c>
      <c r="E234">
        <v>25</v>
      </c>
      <c r="F234">
        <v>25</v>
      </c>
      <c r="G234" s="64">
        <v>45048</v>
      </c>
      <c r="H234">
        <v>300</v>
      </c>
      <c r="I234">
        <v>300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300"/>
      <c r="AU234" s="93"/>
      <c r="AV234" s="300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">
        <v>1130</v>
      </c>
      <c r="B235" t="s">
        <v>51</v>
      </c>
      <c r="C235" s="52" t="s">
        <v>1131</v>
      </c>
      <c r="D235" s="52" t="s">
        <v>1131</v>
      </c>
      <c r="E235">
        <v>0</v>
      </c>
      <c r="F235">
        <v>0</v>
      </c>
      <c r="G235" s="64">
        <v>0</v>
      </c>
      <c r="H235">
        <v>300</v>
      </c>
      <c r="I235">
        <v>300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300"/>
      <c r="AU235" s="93"/>
      <c r="AV235" s="300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">
        <v>1132</v>
      </c>
      <c r="B236" t="s">
        <v>60</v>
      </c>
      <c r="C236" s="52" t="s">
        <v>1133</v>
      </c>
      <c r="D236" s="52" t="s">
        <v>1133</v>
      </c>
      <c r="E236">
        <v>20</v>
      </c>
      <c r="F236">
        <v>15</v>
      </c>
      <c r="G236" s="64">
        <v>45341</v>
      </c>
      <c r="H236">
        <v>300</v>
      </c>
      <c r="I236">
        <v>300</v>
      </c>
      <c r="J236">
        <v>4</v>
      </c>
      <c r="K236">
        <v>0</v>
      </c>
      <c r="L236">
        <v>2</v>
      </c>
      <c r="M236">
        <v>0</v>
      </c>
      <c r="N236">
        <v>0</v>
      </c>
      <c r="O236">
        <v>33</v>
      </c>
      <c r="P236" s="69">
        <f t="shared" si="42"/>
        <v>112.5</v>
      </c>
      <c r="Q236" s="92" t="s">
        <v>397</v>
      </c>
      <c r="R236" s="80">
        <v>1</v>
      </c>
      <c r="S236" s="325" t="s">
        <v>1134</v>
      </c>
      <c r="T236" s="284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300"/>
      <c r="AU236" s="93"/>
      <c r="AV236" s="300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">
        <v>1135</v>
      </c>
      <c r="B237" t="s">
        <v>1136</v>
      </c>
      <c r="C237" s="52" t="s">
        <v>1137</v>
      </c>
      <c r="D237" s="52" t="s">
        <v>1137</v>
      </c>
      <c r="E237">
        <v>0</v>
      </c>
      <c r="F237">
        <v>0</v>
      </c>
      <c r="G237" s="64">
        <v>0</v>
      </c>
      <c r="H237">
        <v>300</v>
      </c>
      <c r="I237">
        <v>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300"/>
      <c r="AU237" s="93"/>
      <c r="AV237" s="300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">
        <v>1138</v>
      </c>
      <c r="B238" t="s">
        <v>1136</v>
      </c>
      <c r="C238" s="52" t="s">
        <v>1137</v>
      </c>
      <c r="D238" s="52" t="s">
        <v>1137</v>
      </c>
      <c r="E238">
        <v>0</v>
      </c>
      <c r="F238">
        <v>0</v>
      </c>
      <c r="G238" s="64">
        <v>0</v>
      </c>
      <c r="H238">
        <v>300</v>
      </c>
      <c r="I238">
        <v>300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300"/>
      <c r="AU238" s="93"/>
      <c r="AV238" s="300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">
        <v>1139</v>
      </c>
      <c r="B239" t="s">
        <v>95</v>
      </c>
      <c r="C239" s="52" t="s">
        <v>1140</v>
      </c>
      <c r="D239" s="52" t="s">
        <v>1140</v>
      </c>
      <c r="E239">
        <v>50</v>
      </c>
      <c r="F239">
        <v>50</v>
      </c>
      <c r="G239" s="64">
        <v>44300</v>
      </c>
      <c r="H239">
        <v>300</v>
      </c>
      <c r="I239">
        <v>300</v>
      </c>
      <c r="J239">
        <v>13</v>
      </c>
      <c r="K239">
        <v>10</v>
      </c>
      <c r="L239">
        <v>1</v>
      </c>
      <c r="M239">
        <v>0</v>
      </c>
      <c r="N239">
        <v>0</v>
      </c>
      <c r="O239">
        <v>43</v>
      </c>
      <c r="P239" s="69">
        <f t="shared" si="42"/>
        <v>41.666666666666664</v>
      </c>
      <c r="Q239" s="101" t="s">
        <v>488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300"/>
      <c r="AU239" s="93"/>
      <c r="AV239" s="300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">
        <v>1141</v>
      </c>
      <c r="B240" t="s">
        <v>98</v>
      </c>
      <c r="C240" s="52" t="s">
        <v>1142</v>
      </c>
      <c r="D240" s="52" t="s">
        <v>1142</v>
      </c>
      <c r="E240">
        <v>10</v>
      </c>
      <c r="F240">
        <v>10</v>
      </c>
      <c r="G240" s="64">
        <v>44159</v>
      </c>
      <c r="H240">
        <v>300</v>
      </c>
      <c r="I240">
        <v>300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300"/>
      <c r="AU240" s="93"/>
      <c r="AV240" s="300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">
        <v>1143</v>
      </c>
      <c r="B241" t="s">
        <v>99</v>
      </c>
      <c r="C241" s="52" t="s">
        <v>1144</v>
      </c>
      <c r="D241" s="52" t="s">
        <v>1144</v>
      </c>
      <c r="E241">
        <v>60</v>
      </c>
      <c r="F241">
        <v>60</v>
      </c>
      <c r="G241" s="64">
        <v>44106</v>
      </c>
      <c r="H241">
        <v>300</v>
      </c>
      <c r="I241">
        <v>300</v>
      </c>
      <c r="J241">
        <v>8</v>
      </c>
      <c r="K241">
        <v>4</v>
      </c>
      <c r="L241">
        <v>9</v>
      </c>
      <c r="M241">
        <v>4</v>
      </c>
      <c r="N241">
        <v>0</v>
      </c>
      <c r="O241">
        <v>8</v>
      </c>
      <c r="P241" s="69">
        <f t="shared" si="42"/>
        <v>125</v>
      </c>
      <c r="Q241" s="81" t="s">
        <v>491</v>
      </c>
      <c r="R241" s="82">
        <v>5</v>
      </c>
      <c r="S241" s="99" t="s">
        <v>492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300"/>
      <c r="AU241" s="93"/>
      <c r="AV241" s="300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">
        <v>1145</v>
      </c>
      <c r="B242" t="s">
        <v>116</v>
      </c>
      <c r="C242" s="52" t="s">
        <v>1146</v>
      </c>
      <c r="D242" s="52" t="s">
        <v>1146</v>
      </c>
      <c r="E242">
        <v>7.8</v>
      </c>
      <c r="F242">
        <v>7.8</v>
      </c>
      <c r="G242" s="64">
        <v>44879</v>
      </c>
      <c r="H242">
        <v>300</v>
      </c>
      <c r="I242">
        <v>300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69">
        <f t="shared" si="42"/>
        <v>20.833333333333332</v>
      </c>
      <c r="Q242" s="101" t="s">
        <v>1147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300"/>
      <c r="AU242" s="93"/>
      <c r="AV242" s="300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">
        <v>1148</v>
      </c>
      <c r="B243" t="s">
        <v>105</v>
      </c>
      <c r="C243" s="52" t="s">
        <v>1149</v>
      </c>
      <c r="D243" s="52" t="s">
        <v>1149</v>
      </c>
      <c r="E243" t="s">
        <v>1150</v>
      </c>
      <c r="F243">
        <v>0</v>
      </c>
      <c r="G243" s="6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300"/>
      <c r="AU243" s="93"/>
      <c r="AV243" s="300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">
        <v>1151</v>
      </c>
      <c r="B244" t="s">
        <v>105</v>
      </c>
      <c r="C244" s="52" t="s">
        <v>1149</v>
      </c>
      <c r="D244" s="52" t="s">
        <v>1149</v>
      </c>
      <c r="E244" t="s">
        <v>1150</v>
      </c>
      <c r="F244">
        <v>0</v>
      </c>
      <c r="G244" s="6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300"/>
      <c r="AU244" s="93"/>
      <c r="AV244" s="300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">
        <v>1152</v>
      </c>
      <c r="B245" t="s">
        <v>155</v>
      </c>
      <c r="C245" s="52" t="s">
        <v>1153</v>
      </c>
      <c r="D245" s="52" t="s">
        <v>1153</v>
      </c>
      <c r="E245">
        <v>0</v>
      </c>
      <c r="F245">
        <v>0</v>
      </c>
      <c r="G245" s="64">
        <v>0</v>
      </c>
      <c r="H245">
        <v>300</v>
      </c>
      <c r="I245">
        <v>300</v>
      </c>
      <c r="J245">
        <v>9</v>
      </c>
      <c r="K245">
        <v>2</v>
      </c>
      <c r="L245">
        <v>0</v>
      </c>
      <c r="M245">
        <v>0</v>
      </c>
      <c r="N245">
        <v>0</v>
      </c>
      <c r="O245">
        <v>0</v>
      </c>
      <c r="P245" s="69">
        <f t="shared" si="42"/>
        <v>20.833333333333332</v>
      </c>
      <c r="Q245" s="101" t="s">
        <v>583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300"/>
      <c r="AU245" s="93"/>
      <c r="AV245" s="300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">
        <v>1154</v>
      </c>
      <c r="B246" t="s">
        <v>155</v>
      </c>
      <c r="C246" s="52" t="s">
        <v>1153</v>
      </c>
      <c r="D246" s="52" t="s">
        <v>1153</v>
      </c>
      <c r="E246">
        <v>0</v>
      </c>
      <c r="F246">
        <v>0</v>
      </c>
      <c r="G246" s="64">
        <v>0</v>
      </c>
      <c r="H246">
        <v>300</v>
      </c>
      <c r="I246">
        <v>300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300"/>
      <c r="AU246" s="93"/>
      <c r="AV246" s="300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">
        <v>1155</v>
      </c>
      <c r="B247" t="s">
        <v>155</v>
      </c>
      <c r="C247" s="52" t="s">
        <v>1153</v>
      </c>
      <c r="D247" s="52" t="s">
        <v>1153</v>
      </c>
      <c r="E247">
        <v>0</v>
      </c>
      <c r="F247">
        <v>0</v>
      </c>
      <c r="G247" s="64">
        <v>0</v>
      </c>
      <c r="H247">
        <v>300</v>
      </c>
      <c r="I247">
        <v>300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300"/>
      <c r="AU247" s="93"/>
      <c r="AV247" s="300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">
        <v>1156</v>
      </c>
      <c r="B248" t="s">
        <v>164</v>
      </c>
      <c r="C248" s="52" t="s">
        <v>1157</v>
      </c>
      <c r="D248" s="52" t="s">
        <v>1157</v>
      </c>
      <c r="E248">
        <v>0</v>
      </c>
      <c r="F248">
        <v>0</v>
      </c>
      <c r="G248" s="64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</v>
      </c>
      <c r="P248" s="69">
        <f t="shared" si="42"/>
        <v>177.08333333333334</v>
      </c>
      <c r="Q248" s="81" t="s">
        <v>607</v>
      </c>
      <c r="R248" s="82">
        <v>5</v>
      </c>
      <c r="S248" s="81" t="s">
        <v>608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300"/>
      <c r="AU248" s="93"/>
      <c r="AV248" s="300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">
        <v>1158</v>
      </c>
      <c r="B249" t="s">
        <v>166</v>
      </c>
      <c r="C249" s="52" t="s">
        <v>1159</v>
      </c>
      <c r="D249" s="52" t="s">
        <v>1159</v>
      </c>
      <c r="E249">
        <v>0</v>
      </c>
      <c r="F249">
        <v>0</v>
      </c>
      <c r="G249" s="64">
        <v>0</v>
      </c>
      <c r="H249">
        <v>300</v>
      </c>
      <c r="I249">
        <v>300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300"/>
      <c r="AU249" s="93"/>
      <c r="AV249" s="300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">
        <v>1160</v>
      </c>
      <c r="B250" t="s">
        <v>173</v>
      </c>
      <c r="C250" s="52" t="s">
        <v>1161</v>
      </c>
      <c r="D250" s="52" t="s">
        <v>1161</v>
      </c>
      <c r="E250">
        <v>250</v>
      </c>
      <c r="F250">
        <v>250</v>
      </c>
      <c r="G250" s="64" t="s">
        <v>1162</v>
      </c>
      <c r="H250">
        <v>300</v>
      </c>
      <c r="I250">
        <v>300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300"/>
      <c r="AU250" s="93"/>
      <c r="AV250" s="300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">
        <v>1163</v>
      </c>
      <c r="B251" t="s">
        <v>173</v>
      </c>
      <c r="C251" s="52" t="s">
        <v>1161</v>
      </c>
      <c r="D251" s="52" t="s">
        <v>1161</v>
      </c>
      <c r="E251">
        <v>150</v>
      </c>
      <c r="F251">
        <v>150</v>
      </c>
      <c r="G251" s="64">
        <v>41950</v>
      </c>
      <c r="H251">
        <v>300</v>
      </c>
      <c r="I251">
        <v>300</v>
      </c>
      <c r="J251">
        <v>2</v>
      </c>
      <c r="K251">
        <v>0</v>
      </c>
      <c r="L251">
        <v>0</v>
      </c>
      <c r="M251">
        <v>3</v>
      </c>
      <c r="N251">
        <v>11</v>
      </c>
      <c r="O251"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300"/>
      <c r="AU251" s="93"/>
      <c r="AV251" s="300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">
        <v>1164</v>
      </c>
      <c r="B252" t="s">
        <v>173</v>
      </c>
      <c r="C252" s="52" t="s">
        <v>1161</v>
      </c>
      <c r="D252" s="52" t="s">
        <v>1161</v>
      </c>
      <c r="E252">
        <v>155</v>
      </c>
      <c r="F252">
        <v>155</v>
      </c>
      <c r="G252" s="64">
        <v>42948</v>
      </c>
      <c r="H252">
        <v>300</v>
      </c>
      <c r="I252">
        <v>300</v>
      </c>
      <c r="J252">
        <v>2</v>
      </c>
      <c r="K252">
        <v>0</v>
      </c>
      <c r="L252">
        <v>0</v>
      </c>
      <c r="M252">
        <v>15</v>
      </c>
      <c r="N252">
        <v>6</v>
      </c>
      <c r="O252"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300"/>
      <c r="AU252" s="93"/>
      <c r="AV252" s="300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">
        <v>1165</v>
      </c>
      <c r="B253" t="s">
        <v>173</v>
      </c>
      <c r="C253" s="52" t="s">
        <v>1161</v>
      </c>
      <c r="D253" s="52" t="s">
        <v>1161</v>
      </c>
      <c r="E253">
        <v>165</v>
      </c>
      <c r="F253">
        <v>145</v>
      </c>
      <c r="G253" s="64">
        <v>42948</v>
      </c>
      <c r="H253">
        <v>300</v>
      </c>
      <c r="I253">
        <v>300</v>
      </c>
      <c r="J253">
        <v>2</v>
      </c>
      <c r="K253">
        <v>5</v>
      </c>
      <c r="L253">
        <v>0</v>
      </c>
      <c r="M253">
        <v>7</v>
      </c>
      <c r="N253">
        <v>10</v>
      </c>
      <c r="O253">
        <v>0</v>
      </c>
      <c r="P253" s="69">
        <f t="shared" si="42"/>
        <v>83.333333333333329</v>
      </c>
      <c r="Q253" s="106" t="s">
        <v>626</v>
      </c>
      <c r="R253" s="256">
        <v>2</v>
      </c>
      <c r="S253" s="106" t="s">
        <v>627</v>
      </c>
      <c r="T253" s="256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300"/>
      <c r="AU253" s="93"/>
      <c r="AV253" s="300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">
        <v>1166</v>
      </c>
      <c r="B254" t="s">
        <v>173</v>
      </c>
      <c r="C254" s="52" t="s">
        <v>1161</v>
      </c>
      <c r="D254" s="52" t="s">
        <v>1161</v>
      </c>
      <c r="E254">
        <v>95</v>
      </c>
      <c r="F254">
        <v>95</v>
      </c>
      <c r="G254" s="64" t="s">
        <v>1167</v>
      </c>
      <c r="H254">
        <v>300</v>
      </c>
      <c r="I254">
        <v>300</v>
      </c>
      <c r="J254">
        <v>0</v>
      </c>
      <c r="K254">
        <v>0</v>
      </c>
      <c r="L254">
        <v>0</v>
      </c>
      <c r="M254">
        <v>12</v>
      </c>
      <c r="N254">
        <v>9</v>
      </c>
      <c r="O254"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300"/>
      <c r="AU254" s="93"/>
      <c r="AV254" s="300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">
        <v>1168</v>
      </c>
      <c r="B255" t="s">
        <v>175</v>
      </c>
      <c r="C255" s="52" t="s">
        <v>1169</v>
      </c>
      <c r="D255" s="52" t="s">
        <v>1169</v>
      </c>
      <c r="E255">
        <v>220.59999999999997</v>
      </c>
      <c r="F255">
        <v>241</v>
      </c>
      <c r="G255" s="64">
        <v>45335</v>
      </c>
      <c r="H255">
        <v>360</v>
      </c>
      <c r="I255">
        <v>360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69">
        <f t="shared" si="48"/>
        <v>260.41666666666663</v>
      </c>
      <c r="Q255" s="85" t="s">
        <v>1170</v>
      </c>
      <c r="R255" s="86">
        <v>5.0999999999999996</v>
      </c>
      <c r="S255" s="81" t="s">
        <v>629</v>
      </c>
      <c r="T255" s="82">
        <v>1.8</v>
      </c>
      <c r="U255" s="81"/>
      <c r="V255" s="82"/>
      <c r="W255" s="89" t="s">
        <v>1171</v>
      </c>
      <c r="X255" s="90">
        <v>0.8</v>
      </c>
      <c r="Y255" s="92" t="s">
        <v>641</v>
      </c>
      <c r="Z255" s="80">
        <v>1.6</v>
      </c>
      <c r="AA255" s="92" t="s">
        <v>642</v>
      </c>
      <c r="AB255" s="80">
        <v>1.6</v>
      </c>
      <c r="AC255" s="92" t="s">
        <v>643</v>
      </c>
      <c r="AD255" s="80">
        <v>1.6</v>
      </c>
      <c r="AE255" s="87"/>
      <c r="AF255" s="283"/>
      <c r="AG255" s="89"/>
      <c r="AH255" s="284"/>
      <c r="AI255" s="89"/>
      <c r="AJ255" s="284"/>
      <c r="AK255" s="89"/>
      <c r="AL255" s="284"/>
      <c r="AM255" s="89"/>
      <c r="AN255" s="284"/>
      <c r="AO255" s="89"/>
      <c r="AP255" s="284"/>
      <c r="AQ255" s="89"/>
      <c r="AR255" s="281"/>
      <c r="AS255" s="81"/>
      <c r="AT255" s="281"/>
      <c r="AU255" s="89"/>
      <c r="AV255" s="284"/>
      <c r="AW255" s="93"/>
      <c r="AX255" s="66">
        <f t="shared" si="44"/>
        <v>12.499999999999998</v>
      </c>
      <c r="AY255" s="78">
        <f t="shared" si="45"/>
        <v>260.41666666666663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350.80833333333328</v>
      </c>
      <c r="BC255" s="53">
        <f t="shared" si="47"/>
        <v>371.20833333333331</v>
      </c>
    </row>
    <row r="256" spans="1:55" ht="13.15">
      <c r="A256" t="s">
        <v>1172</v>
      </c>
      <c r="B256" t="s">
        <v>175</v>
      </c>
      <c r="C256" s="52" t="s">
        <v>1169</v>
      </c>
      <c r="D256" s="52" t="s">
        <v>1169</v>
      </c>
      <c r="E256">
        <v>55</v>
      </c>
      <c r="F256">
        <v>55</v>
      </c>
      <c r="G256" s="64">
        <v>44330</v>
      </c>
      <c r="H256">
        <v>300</v>
      </c>
      <c r="I256">
        <v>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300"/>
      <c r="AU256" s="93"/>
      <c r="AV256" s="300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">
        <v>1173</v>
      </c>
      <c r="B257" t="s">
        <v>175</v>
      </c>
      <c r="C257" s="52" t="s">
        <v>1169</v>
      </c>
      <c r="D257" s="52" t="s">
        <v>1169</v>
      </c>
      <c r="E257">
        <v>55</v>
      </c>
      <c r="F257">
        <v>55</v>
      </c>
      <c r="G257" s="64">
        <v>44331</v>
      </c>
      <c r="H257">
        <v>300</v>
      </c>
      <c r="I257">
        <v>300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300"/>
      <c r="AU257" s="93"/>
      <c r="AV257" s="300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">
        <v>1174</v>
      </c>
      <c r="B258" t="s">
        <v>175</v>
      </c>
      <c r="C258" s="52" t="s">
        <v>1169</v>
      </c>
      <c r="D258" s="52" t="s">
        <v>1169</v>
      </c>
      <c r="E258">
        <v>245</v>
      </c>
      <c r="F258">
        <v>245</v>
      </c>
      <c r="G258" s="64">
        <v>44330</v>
      </c>
      <c r="H258">
        <v>300</v>
      </c>
      <c r="I258">
        <v>300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300"/>
      <c r="AU258" s="93"/>
      <c r="AV258" s="300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">
        <v>1175</v>
      </c>
      <c r="B259" t="s">
        <v>175</v>
      </c>
      <c r="C259" s="52" t="s">
        <v>1169</v>
      </c>
      <c r="D259" s="52" t="s">
        <v>1169</v>
      </c>
      <c r="E259">
        <v>135</v>
      </c>
      <c r="F259">
        <v>145</v>
      </c>
      <c r="G259" s="64">
        <v>44330</v>
      </c>
      <c r="H259">
        <v>300</v>
      </c>
      <c r="I259">
        <v>300</v>
      </c>
      <c r="J259">
        <v>4</v>
      </c>
      <c r="K259">
        <v>0</v>
      </c>
      <c r="L259">
        <v>0</v>
      </c>
      <c r="M259">
        <v>3</v>
      </c>
      <c r="N259">
        <v>12</v>
      </c>
      <c r="O259"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300"/>
      <c r="AU259" s="93"/>
      <c r="AV259" s="300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">
        <v>1176</v>
      </c>
      <c r="B260" t="s">
        <v>175</v>
      </c>
      <c r="C260" s="52" t="s">
        <v>1169</v>
      </c>
      <c r="D260" s="52" t="s">
        <v>1169</v>
      </c>
      <c r="E260">
        <v>140</v>
      </c>
      <c r="F260">
        <v>140</v>
      </c>
      <c r="G260" s="64">
        <v>44330</v>
      </c>
      <c r="H260">
        <v>300</v>
      </c>
      <c r="I260">
        <v>300</v>
      </c>
      <c r="J260">
        <v>1</v>
      </c>
      <c r="K260">
        <v>0</v>
      </c>
      <c r="L260">
        <v>0</v>
      </c>
      <c r="M260">
        <v>13</v>
      </c>
      <c r="N260">
        <v>12</v>
      </c>
      <c r="O260"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300"/>
      <c r="AU260" s="93"/>
      <c r="AV260" s="300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">
        <v>1177</v>
      </c>
      <c r="B261" t="s">
        <v>175</v>
      </c>
      <c r="C261" s="52" t="s">
        <v>1169</v>
      </c>
      <c r="D261" s="52" t="s">
        <v>1169</v>
      </c>
      <c r="E261">
        <v>142</v>
      </c>
      <c r="F261">
        <v>121</v>
      </c>
      <c r="G261" s="64">
        <v>44937</v>
      </c>
      <c r="H261">
        <v>300</v>
      </c>
      <c r="I261">
        <v>300</v>
      </c>
      <c r="J261">
        <v>6</v>
      </c>
      <c r="K261">
        <v>6</v>
      </c>
      <c r="L261">
        <v>1</v>
      </c>
      <c r="M261">
        <v>1</v>
      </c>
      <c r="N261">
        <v>7</v>
      </c>
      <c r="O261"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300"/>
      <c r="AU261" s="93"/>
      <c r="AV261" s="300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">
        <v>1178</v>
      </c>
      <c r="B262" t="s">
        <v>175</v>
      </c>
      <c r="C262" s="52" t="s">
        <v>1169</v>
      </c>
      <c r="D262" s="52" t="s">
        <v>1169</v>
      </c>
      <c r="E262">
        <v>95</v>
      </c>
      <c r="F262">
        <v>85</v>
      </c>
      <c r="G262" s="64">
        <v>44330</v>
      </c>
      <c r="H262">
        <v>300</v>
      </c>
      <c r="I262">
        <v>300</v>
      </c>
      <c r="J262">
        <v>6</v>
      </c>
      <c r="K262">
        <v>1</v>
      </c>
      <c r="L262">
        <v>6</v>
      </c>
      <c r="M262">
        <v>13</v>
      </c>
      <c r="N262">
        <v>10</v>
      </c>
      <c r="O262"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300"/>
      <c r="AU262" s="93"/>
      <c r="AV262" s="300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">
        <v>1179</v>
      </c>
      <c r="B263" t="s">
        <v>175</v>
      </c>
      <c r="C263" s="52" t="s">
        <v>1169</v>
      </c>
      <c r="D263" s="52" t="s">
        <v>1169</v>
      </c>
      <c r="E263">
        <v>105</v>
      </c>
      <c r="F263">
        <v>95</v>
      </c>
      <c r="G263" s="64">
        <v>44330</v>
      </c>
      <c r="H263">
        <v>300</v>
      </c>
      <c r="I263">
        <v>300</v>
      </c>
      <c r="J263">
        <v>5</v>
      </c>
      <c r="K263">
        <v>0</v>
      </c>
      <c r="L263">
        <v>0</v>
      </c>
      <c r="M263">
        <v>16</v>
      </c>
      <c r="N263">
        <v>5</v>
      </c>
      <c r="O263"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300"/>
      <c r="AU263" s="93"/>
      <c r="AV263" s="300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">
        <v>1180</v>
      </c>
      <c r="B264" t="s">
        <v>175</v>
      </c>
      <c r="C264" s="52" t="s">
        <v>1169</v>
      </c>
      <c r="D264" s="52" t="s">
        <v>1169</v>
      </c>
      <c r="E264">
        <v>90</v>
      </c>
      <c r="F264">
        <v>90</v>
      </c>
      <c r="G264" s="64">
        <v>44330</v>
      </c>
      <c r="H264">
        <v>300</v>
      </c>
      <c r="I264">
        <v>300</v>
      </c>
      <c r="J264">
        <v>2</v>
      </c>
      <c r="K264">
        <v>0</v>
      </c>
      <c r="L264">
        <v>4</v>
      </c>
      <c r="M264">
        <v>17</v>
      </c>
      <c r="N264">
        <v>11</v>
      </c>
      <c r="O264">
        <v>0</v>
      </c>
      <c r="P264" s="69">
        <f t="shared" si="48"/>
        <v>0</v>
      </c>
      <c r="Q264" s="101"/>
      <c r="R264" s="100"/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300"/>
      <c r="AU264" s="93"/>
      <c r="AV264" s="300"/>
      <c r="AW264" s="93"/>
      <c r="AX264" s="66">
        <f t="shared" si="44"/>
        <v>0</v>
      </c>
      <c r="AY264" s="78">
        <f t="shared" si="45"/>
        <v>0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90</v>
      </c>
      <c r="BC264" s="53">
        <f t="shared" si="47"/>
        <v>90</v>
      </c>
    </row>
    <row r="265" spans="1:55" ht="13.15">
      <c r="A265" t="s">
        <v>1181</v>
      </c>
      <c r="B265" t="s">
        <v>175</v>
      </c>
      <c r="C265" s="52" t="s">
        <v>1169</v>
      </c>
      <c r="D265" s="52" t="s">
        <v>1169</v>
      </c>
      <c r="E265">
        <v>250</v>
      </c>
      <c r="F265" t="s">
        <v>1182</v>
      </c>
      <c r="G265" s="64">
        <v>44330</v>
      </c>
      <c r="H265">
        <v>300</v>
      </c>
      <c r="I265">
        <v>300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15</v>
      </c>
      <c r="P265" s="69">
        <f t="shared" si="48"/>
        <v>93.75</v>
      </c>
      <c r="Q265" s="101" t="s">
        <v>1183</v>
      </c>
      <c r="R265" s="117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300"/>
      <c r="AU265" s="93"/>
      <c r="AV265" s="300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">
        <v>1184</v>
      </c>
      <c r="B266" t="s">
        <v>175</v>
      </c>
      <c r="C266" s="52" t="s">
        <v>1169</v>
      </c>
      <c r="D266" s="52" t="s">
        <v>1169</v>
      </c>
      <c r="E266" t="s">
        <v>1182</v>
      </c>
      <c r="F266">
        <v>255</v>
      </c>
      <c r="G266" s="64">
        <v>43980</v>
      </c>
      <c r="H266">
        <v>300</v>
      </c>
      <c r="I266">
        <v>300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17</v>
      </c>
      <c r="P266" s="69">
        <f t="shared" si="48"/>
        <v>93.75</v>
      </c>
      <c r="Q266" s="101" t="s">
        <v>1183</v>
      </c>
      <c r="R266" s="117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300"/>
      <c r="AU266" s="93"/>
      <c r="AV266" s="300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">
        <v>1185</v>
      </c>
      <c r="B267" t="s">
        <v>175</v>
      </c>
      <c r="C267" s="52" t="s">
        <v>1169</v>
      </c>
      <c r="D267" s="52" t="s">
        <v>1169</v>
      </c>
      <c r="E267">
        <v>190.6</v>
      </c>
      <c r="F267">
        <v>188.7</v>
      </c>
      <c r="G267" s="64">
        <v>45335</v>
      </c>
      <c r="H267">
        <v>360</v>
      </c>
      <c r="I267">
        <v>360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69">
        <f t="shared" si="48"/>
        <v>520.83333333333337</v>
      </c>
      <c r="Q267" s="89" t="s">
        <v>631</v>
      </c>
      <c r="R267" s="284">
        <v>1.2</v>
      </c>
      <c r="S267" s="89" t="s">
        <v>632</v>
      </c>
      <c r="T267" s="284">
        <v>1.7</v>
      </c>
      <c r="U267" s="89" t="s">
        <v>633</v>
      </c>
      <c r="V267" s="284">
        <v>1.7</v>
      </c>
      <c r="W267" s="89" t="s">
        <v>634</v>
      </c>
      <c r="X267" s="284">
        <v>1.8</v>
      </c>
      <c r="Y267" s="89" t="s">
        <v>635</v>
      </c>
      <c r="Z267" s="284">
        <v>0.9</v>
      </c>
      <c r="AA267" s="89" t="s">
        <v>637</v>
      </c>
      <c r="AB267" s="284">
        <v>2.8</v>
      </c>
      <c r="AC267" s="89" t="s">
        <v>1186</v>
      </c>
      <c r="AD267" s="90">
        <v>3.6</v>
      </c>
      <c r="AE267" s="87" t="s">
        <v>646</v>
      </c>
      <c r="AF267" s="283">
        <v>2.2999999999999998</v>
      </c>
      <c r="AG267" s="81" t="s">
        <v>644</v>
      </c>
      <c r="AH267" s="281">
        <v>3</v>
      </c>
      <c r="AI267" s="89" t="s">
        <v>645</v>
      </c>
      <c r="AJ267" s="281">
        <v>1.8</v>
      </c>
      <c r="AK267" s="89" t="s">
        <v>639</v>
      </c>
      <c r="AL267" s="253">
        <v>4.2</v>
      </c>
      <c r="AM267" s="93"/>
      <c r="AN267" s="80"/>
      <c r="AO267" s="92"/>
      <c r="AP267" s="80"/>
      <c r="AQ267" s="93"/>
      <c r="AR267" s="80"/>
      <c r="AS267" s="93"/>
      <c r="AT267" s="300"/>
      <c r="AU267" s="93"/>
      <c r="AV267" s="300"/>
      <c r="AW267" s="93"/>
      <c r="AX267" s="66">
        <f t="shared" si="44"/>
        <v>25</v>
      </c>
      <c r="AY267" s="78">
        <f t="shared" si="45"/>
        <v>520.83333333333337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451.01666666666665</v>
      </c>
      <c r="BC267" s="53">
        <f t="shared" si="47"/>
        <v>449.11666666666667</v>
      </c>
    </row>
    <row r="268" spans="1:55" ht="13.15">
      <c r="A268" t="s">
        <v>1187</v>
      </c>
      <c r="B268" t="s">
        <v>171</v>
      </c>
      <c r="C268" s="52" t="s">
        <v>1188</v>
      </c>
      <c r="D268" s="52" t="s">
        <v>1188</v>
      </c>
      <c r="E268">
        <v>174.4</v>
      </c>
      <c r="F268">
        <v>172.29999999999998</v>
      </c>
      <c r="G268" s="64">
        <v>45335</v>
      </c>
      <c r="H268">
        <v>360</v>
      </c>
      <c r="I268">
        <v>360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69">
        <f t="shared" si="48"/>
        <v>245.83333333333334</v>
      </c>
      <c r="Q268" s="81" t="s">
        <v>619</v>
      </c>
      <c r="R268" s="281">
        <v>1.9</v>
      </c>
      <c r="S268" s="81"/>
      <c r="T268" s="281"/>
      <c r="U268" s="81" t="s">
        <v>620</v>
      </c>
      <c r="V268" s="82">
        <v>2.2999999999999998</v>
      </c>
      <c r="W268" s="81" t="s">
        <v>621</v>
      </c>
      <c r="X268" s="82">
        <v>2.1</v>
      </c>
      <c r="Y268" s="81" t="s">
        <v>622</v>
      </c>
      <c r="Z268" s="82">
        <v>2.4</v>
      </c>
      <c r="AA268" s="81" t="s">
        <v>624</v>
      </c>
      <c r="AB268" s="281">
        <v>0.8</v>
      </c>
      <c r="AC268" s="81" t="s">
        <v>623</v>
      </c>
      <c r="AD268" s="281">
        <v>2.2999999999999998</v>
      </c>
      <c r="AE268" s="83"/>
      <c r="AF268" s="286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300"/>
      <c r="AU268" s="93"/>
      <c r="AV268" s="300"/>
      <c r="AW268" s="93"/>
      <c r="AX268" s="66">
        <f t="shared" si="44"/>
        <v>11.8</v>
      </c>
      <c r="AY268" s="78">
        <f t="shared" si="45"/>
        <v>245.83333333333334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297.31666666666666</v>
      </c>
      <c r="BC268" s="53">
        <f t="shared" si="47"/>
        <v>295.21666666666664</v>
      </c>
    </row>
    <row r="269" spans="1:55" ht="13.15">
      <c r="A269" t="s">
        <v>1189</v>
      </c>
      <c r="B269" t="s">
        <v>242</v>
      </c>
      <c r="C269" s="52" t="s">
        <v>1190</v>
      </c>
      <c r="D269" s="52" t="s">
        <v>1190</v>
      </c>
      <c r="E269">
        <v>25</v>
      </c>
      <c r="F269">
        <v>25</v>
      </c>
      <c r="G269" s="64">
        <v>45082</v>
      </c>
      <c r="H269">
        <v>300</v>
      </c>
      <c r="I269">
        <v>300</v>
      </c>
      <c r="J269">
        <v>0</v>
      </c>
      <c r="K269">
        <v>9</v>
      </c>
      <c r="L269">
        <v>0</v>
      </c>
      <c r="M269">
        <v>0</v>
      </c>
      <c r="N269">
        <v>11</v>
      </c>
      <c r="O269"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300"/>
      <c r="AU269" s="93"/>
      <c r="AV269" s="300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">
        <v>1191</v>
      </c>
      <c r="B270" t="s">
        <v>242</v>
      </c>
      <c r="C270" s="52" t="s">
        <v>1190</v>
      </c>
      <c r="D270" s="52" t="s">
        <v>1190</v>
      </c>
      <c r="E270">
        <v>25</v>
      </c>
      <c r="F270">
        <v>25</v>
      </c>
      <c r="G270" s="64">
        <v>45082</v>
      </c>
      <c r="H270">
        <v>300</v>
      </c>
      <c r="I270">
        <v>300</v>
      </c>
      <c r="J270">
        <v>0</v>
      </c>
      <c r="K270">
        <v>9</v>
      </c>
      <c r="L270">
        <v>0</v>
      </c>
      <c r="M270">
        <v>0</v>
      </c>
      <c r="N270">
        <v>11</v>
      </c>
      <c r="O270"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300"/>
      <c r="AU270" s="93"/>
      <c r="AV270" s="300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">
        <v>1192</v>
      </c>
      <c r="B271" t="s">
        <v>242</v>
      </c>
      <c r="C271" s="52" t="s">
        <v>1190</v>
      </c>
      <c r="D271" s="52" t="s">
        <v>1190</v>
      </c>
      <c r="E271">
        <v>60</v>
      </c>
      <c r="F271">
        <v>60</v>
      </c>
      <c r="G271" s="64">
        <v>45082</v>
      </c>
      <c r="H271">
        <v>300</v>
      </c>
      <c r="I271">
        <v>300</v>
      </c>
      <c r="J271">
        <v>4</v>
      </c>
      <c r="K271">
        <v>7</v>
      </c>
      <c r="L271">
        <v>0</v>
      </c>
      <c r="M271">
        <v>11</v>
      </c>
      <c r="N271">
        <v>10</v>
      </c>
      <c r="O271"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300"/>
      <c r="AU271" s="93"/>
      <c r="AV271" s="300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">
        <v>1193</v>
      </c>
      <c r="B272" t="s">
        <v>242</v>
      </c>
      <c r="C272" s="52" t="s">
        <v>1190</v>
      </c>
      <c r="D272" s="52" t="s">
        <v>1190</v>
      </c>
      <c r="E272">
        <v>15</v>
      </c>
      <c r="F272">
        <v>15</v>
      </c>
      <c r="G272" s="64">
        <v>45082</v>
      </c>
      <c r="H272">
        <v>300</v>
      </c>
      <c r="I272">
        <v>300</v>
      </c>
      <c r="J272">
        <v>6</v>
      </c>
      <c r="K272">
        <v>10</v>
      </c>
      <c r="L272">
        <v>0</v>
      </c>
      <c r="M272">
        <v>22</v>
      </c>
      <c r="N272">
        <v>7</v>
      </c>
      <c r="O272"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300"/>
      <c r="AU272" s="93"/>
      <c r="AV272" s="300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">
        <v>1194</v>
      </c>
      <c r="B273" t="s">
        <v>242</v>
      </c>
      <c r="C273" s="52" t="s">
        <v>1190</v>
      </c>
      <c r="D273" s="52" t="s">
        <v>1190</v>
      </c>
      <c r="E273">
        <v>50</v>
      </c>
      <c r="F273">
        <v>45</v>
      </c>
      <c r="G273" s="64">
        <v>45082</v>
      </c>
      <c r="H273">
        <v>300</v>
      </c>
      <c r="I273">
        <v>300</v>
      </c>
      <c r="J273">
        <v>0</v>
      </c>
      <c r="K273">
        <v>1</v>
      </c>
      <c r="L273">
        <v>0</v>
      </c>
      <c r="M273">
        <v>14</v>
      </c>
      <c r="N273">
        <v>0</v>
      </c>
      <c r="O273">
        <v>0</v>
      </c>
      <c r="P273" s="69">
        <f t="shared" si="48"/>
        <v>20.833333333333332</v>
      </c>
      <c r="Q273" s="101" t="s">
        <v>730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300"/>
      <c r="AU273" s="93"/>
      <c r="AV273" s="300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">
        <v>1195</v>
      </c>
      <c r="B274" t="s">
        <v>266</v>
      </c>
      <c r="C274" s="52" t="s">
        <v>1196</v>
      </c>
      <c r="D274" s="52" t="s">
        <v>1196</v>
      </c>
      <c r="E274">
        <v>100</v>
      </c>
      <c r="F274">
        <v>100</v>
      </c>
      <c r="G274" s="64">
        <v>44984</v>
      </c>
      <c r="H274">
        <v>300</v>
      </c>
      <c r="I274">
        <v>300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37</v>
      </c>
      <c r="P274" s="69">
        <f t="shared" si="48"/>
        <v>125</v>
      </c>
      <c r="Q274" s="81" t="s">
        <v>763</v>
      </c>
      <c r="R274" s="82">
        <v>5</v>
      </c>
      <c r="S274" s="305" t="s">
        <v>764</v>
      </c>
      <c r="T274" s="304">
        <v>1</v>
      </c>
      <c r="U274" s="92"/>
      <c r="V274" s="80"/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300"/>
      <c r="AU274" s="93"/>
      <c r="AV274" s="300"/>
      <c r="AW274" s="93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">
        <v>1197</v>
      </c>
      <c r="B275" t="s">
        <v>1198</v>
      </c>
      <c r="C275" s="52" t="s">
        <v>1199</v>
      </c>
      <c r="D275" s="52" t="s">
        <v>1199</v>
      </c>
      <c r="E275">
        <v>150.69999999999999</v>
      </c>
      <c r="F275">
        <v>161.4</v>
      </c>
      <c r="G275" s="64">
        <v>45335</v>
      </c>
      <c r="H275">
        <v>360</v>
      </c>
      <c r="I275">
        <v>360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69">
        <f t="shared" si="48"/>
        <v>418.74999999999994</v>
      </c>
      <c r="Q275" s="81" t="s">
        <v>1200</v>
      </c>
      <c r="R275" s="82">
        <v>1.7</v>
      </c>
      <c r="S275" s="81" t="s">
        <v>341</v>
      </c>
      <c r="T275" s="82">
        <v>1.6</v>
      </c>
      <c r="U275" s="81" t="s">
        <v>1201</v>
      </c>
      <c r="V275" s="82">
        <v>2.8</v>
      </c>
      <c r="W275" s="81" t="s">
        <v>1202</v>
      </c>
      <c r="X275" s="82">
        <v>2.1</v>
      </c>
      <c r="Y275" s="81" t="s">
        <v>1203</v>
      </c>
      <c r="Z275" s="82">
        <v>3.5</v>
      </c>
      <c r="AA275" s="81" t="s">
        <v>1204</v>
      </c>
      <c r="AB275" s="82">
        <v>4.5</v>
      </c>
      <c r="AC275" s="92" t="s">
        <v>347</v>
      </c>
      <c r="AD275" s="82">
        <v>3.2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300"/>
      <c r="AU275" s="93"/>
      <c r="AV275" s="300"/>
      <c r="AW275" s="93"/>
      <c r="AX275" s="66">
        <f t="shared" si="44"/>
        <v>20.099999999999998</v>
      </c>
      <c r="AY275" s="78">
        <f t="shared" si="45"/>
        <v>418.74999999999994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360.07499999999993</v>
      </c>
      <c r="BC275" s="53">
        <f t="shared" si="47"/>
        <v>370.77499999999998</v>
      </c>
    </row>
    <row r="276" spans="1:55" ht="13.15">
      <c r="A276" t="s">
        <v>1205</v>
      </c>
      <c r="B276" t="s">
        <v>1198</v>
      </c>
      <c r="C276" s="52" t="s">
        <v>1199</v>
      </c>
      <c r="D276" s="52" t="s">
        <v>1199</v>
      </c>
      <c r="E276">
        <v>100</v>
      </c>
      <c r="F276">
        <v>100</v>
      </c>
      <c r="G276" s="64">
        <v>44679</v>
      </c>
      <c r="H276">
        <v>300</v>
      </c>
      <c r="I276">
        <v>300</v>
      </c>
      <c r="J276">
        <v>12</v>
      </c>
      <c r="K276">
        <v>0</v>
      </c>
      <c r="L276">
        <v>4</v>
      </c>
      <c r="M276">
        <v>1</v>
      </c>
      <c r="N276">
        <v>0</v>
      </c>
      <c r="O276">
        <v>4</v>
      </c>
      <c r="P276" s="69">
        <f t="shared" si="48"/>
        <v>62.5</v>
      </c>
      <c r="Q276" s="115" t="s">
        <v>1206</v>
      </c>
      <c r="R276" s="116">
        <v>1</v>
      </c>
      <c r="S276" s="115" t="s">
        <v>1206</v>
      </c>
      <c r="T276" s="116">
        <v>1</v>
      </c>
      <c r="U276" s="115" t="s">
        <v>345</v>
      </c>
      <c r="V276" s="116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300"/>
      <c r="AU276" s="93"/>
      <c r="AV276" s="300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">
        <v>1207</v>
      </c>
      <c r="B277" t="s">
        <v>1198</v>
      </c>
      <c r="C277" s="52" t="s">
        <v>1199</v>
      </c>
      <c r="D277" s="52" t="s">
        <v>1199</v>
      </c>
      <c r="E277">
        <v>325</v>
      </c>
      <c r="F277">
        <v>300</v>
      </c>
      <c r="G277" s="64">
        <v>44679</v>
      </c>
      <c r="H277">
        <v>300</v>
      </c>
      <c r="I277">
        <v>300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300"/>
      <c r="AU277" s="93"/>
      <c r="AV277" s="300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">
        <v>1208</v>
      </c>
      <c r="B278" t="s">
        <v>1198</v>
      </c>
      <c r="C278" s="52" t="s">
        <v>1199</v>
      </c>
      <c r="D278" s="52" t="s">
        <v>1199</v>
      </c>
      <c r="E278">
        <v>100</v>
      </c>
      <c r="F278">
        <v>140</v>
      </c>
      <c r="G278" s="64">
        <v>44685</v>
      </c>
      <c r="H278">
        <v>300</v>
      </c>
      <c r="I278">
        <v>300</v>
      </c>
      <c r="J278">
        <v>4</v>
      </c>
      <c r="K278">
        <v>2</v>
      </c>
      <c r="L278">
        <v>0</v>
      </c>
      <c r="M278">
        <v>11</v>
      </c>
      <c r="N278">
        <v>11</v>
      </c>
      <c r="O278"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300"/>
      <c r="AU278" s="93"/>
      <c r="AV278" s="300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">
        <v>1209</v>
      </c>
      <c r="B279" t="s">
        <v>1198</v>
      </c>
      <c r="C279" s="52" t="s">
        <v>1199</v>
      </c>
      <c r="D279" s="52" t="s">
        <v>1199</v>
      </c>
      <c r="E279">
        <v>120</v>
      </c>
      <c r="F279">
        <v>170</v>
      </c>
      <c r="G279" s="64">
        <v>44679</v>
      </c>
      <c r="H279">
        <v>300</v>
      </c>
      <c r="I279">
        <v>300</v>
      </c>
      <c r="J279">
        <v>1</v>
      </c>
      <c r="K279">
        <v>4</v>
      </c>
      <c r="L279">
        <v>0</v>
      </c>
      <c r="M279">
        <v>3</v>
      </c>
      <c r="N279">
        <v>7</v>
      </c>
      <c r="O279"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300"/>
      <c r="AU279" s="93"/>
      <c r="AV279" s="300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">
        <v>1210</v>
      </c>
      <c r="B280" t="s">
        <v>180</v>
      </c>
      <c r="C280" s="52" t="s">
        <v>1211</v>
      </c>
      <c r="D280" s="52" t="s">
        <v>1211</v>
      </c>
      <c r="E280">
        <v>65</v>
      </c>
      <c r="F280">
        <v>65</v>
      </c>
      <c r="G280" s="64">
        <v>44998</v>
      </c>
      <c r="H280">
        <v>300</v>
      </c>
      <c r="I280">
        <v>300</v>
      </c>
      <c r="J280">
        <v>5</v>
      </c>
      <c r="K280">
        <v>5</v>
      </c>
      <c r="L280">
        <v>0</v>
      </c>
      <c r="M280">
        <v>22</v>
      </c>
      <c r="N280">
        <v>9</v>
      </c>
      <c r="O280">
        <v>0</v>
      </c>
      <c r="P280" s="69">
        <f t="shared" si="48"/>
        <v>20.833333333333332</v>
      </c>
      <c r="Q280" s="101" t="s">
        <v>649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300"/>
      <c r="AU280" s="93"/>
      <c r="AV280" s="300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">
        <v>1212</v>
      </c>
      <c r="B281" t="s">
        <v>180</v>
      </c>
      <c r="C281" s="52" t="s">
        <v>1211</v>
      </c>
      <c r="D281" s="52" t="s">
        <v>1211</v>
      </c>
      <c r="E281">
        <v>125</v>
      </c>
      <c r="F281">
        <v>125</v>
      </c>
      <c r="G281" s="64">
        <v>44998</v>
      </c>
      <c r="H281">
        <v>300</v>
      </c>
      <c r="I281">
        <v>300</v>
      </c>
      <c r="J281">
        <v>5</v>
      </c>
      <c r="K281">
        <v>3</v>
      </c>
      <c r="L281">
        <v>0</v>
      </c>
      <c r="M281">
        <v>0</v>
      </c>
      <c r="N281">
        <v>11</v>
      </c>
      <c r="O281"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300"/>
      <c r="AU281" s="93"/>
      <c r="AV281" s="300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">
        <v>1213</v>
      </c>
      <c r="B282" t="s">
        <v>239</v>
      </c>
      <c r="C282" s="52" t="s">
        <v>1214</v>
      </c>
      <c r="D282" s="52" t="s">
        <v>1214</v>
      </c>
      <c r="E282">
        <v>120</v>
      </c>
      <c r="F282">
        <v>0</v>
      </c>
      <c r="G282" s="64">
        <v>44239</v>
      </c>
      <c r="H282">
        <v>300</v>
      </c>
      <c r="I282">
        <v>300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300"/>
      <c r="AU282" s="93"/>
      <c r="AV282" s="300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">
        <v>1215</v>
      </c>
      <c r="B283" t="s">
        <v>41</v>
      </c>
      <c r="C283" s="52" t="s">
        <v>1216</v>
      </c>
      <c r="D283" s="52" t="s">
        <v>1216</v>
      </c>
      <c r="E283">
        <v>50</v>
      </c>
      <c r="F283">
        <v>0</v>
      </c>
      <c r="G283" s="64">
        <v>42422</v>
      </c>
      <c r="H283">
        <v>300</v>
      </c>
      <c r="I283">
        <v>0</v>
      </c>
      <c r="J283">
        <v>0</v>
      </c>
      <c r="K283">
        <v>0</v>
      </c>
      <c r="L283">
        <v>38</v>
      </c>
      <c r="M283">
        <v>0</v>
      </c>
      <c r="N283">
        <v>0</v>
      </c>
      <c r="O283"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300"/>
      <c r="AU283" s="93"/>
      <c r="AV283" s="300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">
        <v>1217</v>
      </c>
      <c r="B284" t="s">
        <v>41</v>
      </c>
      <c r="C284" s="52" t="s">
        <v>1216</v>
      </c>
      <c r="D284" s="52" t="s">
        <v>1216</v>
      </c>
      <c r="E284">
        <v>50</v>
      </c>
      <c r="F284">
        <v>50</v>
      </c>
      <c r="G284" s="64">
        <v>42422</v>
      </c>
      <c r="H284">
        <v>300</v>
      </c>
      <c r="I284">
        <v>300</v>
      </c>
      <c r="J284">
        <v>0</v>
      </c>
      <c r="K284">
        <v>0</v>
      </c>
      <c r="L284">
        <v>42</v>
      </c>
      <c r="M284">
        <v>1</v>
      </c>
      <c r="N284">
        <v>3</v>
      </c>
      <c r="O284">
        <v>0</v>
      </c>
      <c r="P284" s="69">
        <f t="shared" si="48"/>
        <v>0</v>
      </c>
      <c r="Q284" s="81"/>
      <c r="R284" s="82"/>
      <c r="S284" s="106"/>
      <c r="T284" s="270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300"/>
      <c r="AU284" s="93"/>
      <c r="AV284" s="300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">
        <v>1218</v>
      </c>
      <c r="B285" t="s">
        <v>41</v>
      </c>
      <c r="C285" s="52" t="s">
        <v>1216</v>
      </c>
      <c r="D285" s="52" t="s">
        <v>1216</v>
      </c>
      <c r="E285">
        <v>70</v>
      </c>
      <c r="F285">
        <v>75</v>
      </c>
      <c r="G285" s="64">
        <v>45302</v>
      </c>
      <c r="H285">
        <v>300</v>
      </c>
      <c r="I285">
        <v>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69">
        <f t="shared" si="48"/>
        <v>437.5</v>
      </c>
      <c r="Q285" s="81" t="s">
        <v>349</v>
      </c>
      <c r="R285" s="82">
        <v>5</v>
      </c>
      <c r="S285" s="106" t="s">
        <v>350</v>
      </c>
      <c r="T285" s="270">
        <v>1</v>
      </c>
      <c r="U285" s="106" t="s">
        <v>351</v>
      </c>
      <c r="V285" s="256">
        <v>5</v>
      </c>
      <c r="W285" s="327" t="s">
        <v>352</v>
      </c>
      <c r="X285" s="329">
        <v>5</v>
      </c>
      <c r="Y285" s="327" t="s">
        <v>353</v>
      </c>
      <c r="Z285" s="329">
        <v>5</v>
      </c>
      <c r="AA285" s="93"/>
      <c r="AB285" s="80"/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300"/>
      <c r="AU285" s="93"/>
      <c r="AV285" s="300"/>
      <c r="AW285" s="93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288.75</v>
      </c>
      <c r="BC285" s="53">
        <f t="shared" si="47"/>
        <v>293.75</v>
      </c>
    </row>
    <row r="286" spans="1:55" ht="13.15">
      <c r="A286" t="s">
        <v>1219</v>
      </c>
      <c r="B286" t="s">
        <v>42</v>
      </c>
      <c r="C286" s="52" t="s">
        <v>808</v>
      </c>
      <c r="D286" s="52" t="s">
        <v>808</v>
      </c>
      <c r="E286">
        <v>90</v>
      </c>
      <c r="F286">
        <v>90</v>
      </c>
      <c r="G286" s="64">
        <v>44160</v>
      </c>
      <c r="H286">
        <v>300</v>
      </c>
      <c r="I286">
        <v>300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0</v>
      </c>
      <c r="P286" s="69">
        <f t="shared" si="48"/>
        <v>197.91666666666666</v>
      </c>
      <c r="Q286" s="81" t="s">
        <v>354</v>
      </c>
      <c r="R286" s="82">
        <v>5</v>
      </c>
      <c r="S286" s="81" t="s">
        <v>810</v>
      </c>
      <c r="T286" s="82">
        <v>3.5</v>
      </c>
      <c r="U286" s="106" t="s">
        <v>357</v>
      </c>
      <c r="V286" s="256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300"/>
      <c r="AU286" s="93"/>
      <c r="AV286" s="300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">
        <v>1220</v>
      </c>
      <c r="B287" t="s">
        <v>42</v>
      </c>
      <c r="C287" s="52" t="s">
        <v>808</v>
      </c>
      <c r="D287" s="52" t="s">
        <v>808</v>
      </c>
      <c r="E287">
        <v>25</v>
      </c>
      <c r="F287">
        <v>25</v>
      </c>
      <c r="G287" s="64">
        <v>44120</v>
      </c>
      <c r="H287">
        <v>300</v>
      </c>
      <c r="I287">
        <v>300</v>
      </c>
      <c r="J287">
        <v>0</v>
      </c>
      <c r="K287">
        <v>7</v>
      </c>
      <c r="L287">
        <v>2</v>
      </c>
      <c r="M287">
        <v>0</v>
      </c>
      <c r="N287">
        <v>0</v>
      </c>
      <c r="O287">
        <v>0</v>
      </c>
      <c r="P287" s="69">
        <f t="shared" si="48"/>
        <v>354.16666666666669</v>
      </c>
      <c r="Q287" s="81" t="s">
        <v>355</v>
      </c>
      <c r="R287" s="82">
        <v>3.5</v>
      </c>
      <c r="S287" s="85" t="s">
        <v>358</v>
      </c>
      <c r="T287" s="256">
        <v>5</v>
      </c>
      <c r="U287" s="85" t="s">
        <v>359</v>
      </c>
      <c r="V287" s="256">
        <v>5</v>
      </c>
      <c r="W287" s="85" t="s">
        <v>360</v>
      </c>
      <c r="X287" s="282">
        <v>3.5</v>
      </c>
      <c r="Y287" s="92"/>
      <c r="Z287" s="80"/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300"/>
      <c r="AU287" s="93"/>
      <c r="AV287" s="300"/>
      <c r="AW287" s="93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202.08333333333334</v>
      </c>
      <c r="BC287" s="53">
        <f t="shared" si="47"/>
        <v>202.08333333333334</v>
      </c>
    </row>
    <row r="288" spans="1:55" ht="13.15">
      <c r="A288" t="s">
        <v>1221</v>
      </c>
      <c r="B288" t="s">
        <v>42</v>
      </c>
      <c r="C288" s="52" t="s">
        <v>808</v>
      </c>
      <c r="D288" s="52" t="s">
        <v>808</v>
      </c>
      <c r="E288" t="s">
        <v>1150</v>
      </c>
      <c r="F288">
        <v>0</v>
      </c>
      <c r="G288" s="6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300"/>
      <c r="AU288" s="93"/>
      <c r="AV288" s="300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">
        <v>1222</v>
      </c>
      <c r="B289" t="s">
        <v>42</v>
      </c>
      <c r="C289" s="52" t="s">
        <v>808</v>
      </c>
      <c r="D289" s="52" t="s">
        <v>808</v>
      </c>
      <c r="E289" t="s">
        <v>1150</v>
      </c>
      <c r="F289">
        <v>0</v>
      </c>
      <c r="G289" s="64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300"/>
      <c r="AU289" s="93"/>
      <c r="AV289" s="300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">
        <v>1223</v>
      </c>
      <c r="B290" t="s">
        <v>25</v>
      </c>
      <c r="C290" s="52" t="s">
        <v>1224</v>
      </c>
      <c r="D290" s="52" t="s">
        <v>1224</v>
      </c>
      <c r="E290">
        <v>30</v>
      </c>
      <c r="F290">
        <v>30</v>
      </c>
      <c r="G290" s="64">
        <v>42422</v>
      </c>
      <c r="H290">
        <v>300</v>
      </c>
      <c r="I290">
        <v>300</v>
      </c>
      <c r="J290">
        <v>6</v>
      </c>
      <c r="K290">
        <v>4</v>
      </c>
      <c r="L290">
        <v>3</v>
      </c>
      <c r="M290">
        <v>12</v>
      </c>
      <c r="N290">
        <v>0</v>
      </c>
      <c r="O290"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1225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300"/>
      <c r="AU290" s="93"/>
      <c r="AV290" s="300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">
        <v>1226</v>
      </c>
      <c r="B291" t="s">
        <v>26</v>
      </c>
      <c r="C291" s="52" t="s">
        <v>1227</v>
      </c>
      <c r="D291" s="52" t="s">
        <v>1227</v>
      </c>
      <c r="E291">
        <v>10</v>
      </c>
      <c r="F291">
        <v>10</v>
      </c>
      <c r="G291" s="64">
        <v>42422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 s="69">
        <f t="shared" si="48"/>
        <v>104.16666666666667</v>
      </c>
      <c r="Q291" s="83" t="s">
        <v>317</v>
      </c>
      <c r="R291" s="84">
        <v>4</v>
      </c>
      <c r="S291" s="306" t="s">
        <v>318</v>
      </c>
      <c r="T291" s="307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300"/>
      <c r="AU291" s="93"/>
      <c r="AV291" s="300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62.083333333333336</v>
      </c>
      <c r="BC291" s="53">
        <f t="shared" si="47"/>
        <v>62.083333333333336</v>
      </c>
    </row>
    <row r="292" spans="1:55" ht="13.15">
      <c r="A292" t="s">
        <v>1228</v>
      </c>
      <c r="B292" t="s">
        <v>26</v>
      </c>
      <c r="C292" s="52" t="s">
        <v>1227</v>
      </c>
      <c r="D292" s="52" t="s">
        <v>1227</v>
      </c>
      <c r="E292">
        <v>0</v>
      </c>
      <c r="F292">
        <v>0</v>
      </c>
      <c r="G292" s="64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300"/>
      <c r="AU292" s="93"/>
      <c r="AV292" s="300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">
        <v>1229</v>
      </c>
      <c r="B293" t="s">
        <v>26</v>
      </c>
      <c r="C293" s="52" t="s">
        <v>1227</v>
      </c>
      <c r="D293" s="52" t="s">
        <v>1227</v>
      </c>
      <c r="E293">
        <v>0</v>
      </c>
      <c r="F293">
        <v>0</v>
      </c>
      <c r="G293" s="64">
        <v>0</v>
      </c>
      <c r="H293">
        <v>300</v>
      </c>
      <c r="I293">
        <v>300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300"/>
      <c r="AU293" s="93"/>
      <c r="AV293" s="300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">
        <v>1230</v>
      </c>
      <c r="B294" t="s">
        <v>26</v>
      </c>
      <c r="C294" s="52" t="s">
        <v>1227</v>
      </c>
      <c r="D294" s="52" t="s">
        <v>1227</v>
      </c>
      <c r="E294">
        <v>0</v>
      </c>
      <c r="F294">
        <v>0</v>
      </c>
      <c r="G294" s="6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300"/>
      <c r="AU294" s="93"/>
      <c r="AV294" s="300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">
        <v>1231</v>
      </c>
      <c r="B295" t="s">
        <v>26</v>
      </c>
      <c r="C295" s="52" t="s">
        <v>1227</v>
      </c>
      <c r="D295" s="52" t="s">
        <v>1227</v>
      </c>
      <c r="E295">
        <v>0</v>
      </c>
      <c r="F295">
        <v>0</v>
      </c>
      <c r="G295" s="64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300"/>
      <c r="AU295" s="93"/>
      <c r="AV295" s="300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">
        <v>1232</v>
      </c>
      <c r="B296" t="s">
        <v>27</v>
      </c>
      <c r="C296" s="52" t="s">
        <v>1233</v>
      </c>
      <c r="D296" s="52" t="s">
        <v>1233</v>
      </c>
      <c r="E296">
        <v>90</v>
      </c>
      <c r="F296">
        <v>83</v>
      </c>
      <c r="G296" s="64">
        <v>44971</v>
      </c>
      <c r="H296">
        <v>300</v>
      </c>
      <c r="I296">
        <v>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32</v>
      </c>
      <c r="P296" s="69">
        <f t="shared" si="48"/>
        <v>104.16666666666667</v>
      </c>
      <c r="Q296" s="92" t="s">
        <v>319</v>
      </c>
      <c r="R296" s="80">
        <v>4</v>
      </c>
      <c r="S296" s="305" t="s">
        <v>320</v>
      </c>
      <c r="T296" s="304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300"/>
      <c r="AU296" s="93"/>
      <c r="AV296" s="300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">
        <v>1234</v>
      </c>
      <c r="B297" t="s">
        <v>33</v>
      </c>
      <c r="C297" s="52" t="s">
        <v>1235</v>
      </c>
      <c r="D297" s="52" t="s">
        <v>1235</v>
      </c>
      <c r="E297">
        <v>16</v>
      </c>
      <c r="F297">
        <v>0</v>
      </c>
      <c r="G297" s="64">
        <v>44264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300"/>
      <c r="AU297" s="93"/>
      <c r="AV297" s="300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">
        <v>1236</v>
      </c>
      <c r="B298" t="s">
        <v>33</v>
      </c>
      <c r="C298" s="52" t="s">
        <v>1235</v>
      </c>
      <c r="D298" s="52" t="s">
        <v>1235</v>
      </c>
      <c r="E298">
        <v>0</v>
      </c>
      <c r="F298">
        <v>16</v>
      </c>
      <c r="G298" s="64">
        <v>44264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300"/>
      <c r="AU298" s="93"/>
      <c r="AV298" s="300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">
        <v>1237</v>
      </c>
      <c r="B299" t="s">
        <v>110</v>
      </c>
      <c r="C299" s="52" t="s">
        <v>1238</v>
      </c>
      <c r="D299" s="52" t="s">
        <v>1238</v>
      </c>
      <c r="E299">
        <v>90</v>
      </c>
      <c r="F299">
        <v>90</v>
      </c>
      <c r="G299" s="64">
        <v>45273</v>
      </c>
      <c r="H299">
        <v>300</v>
      </c>
      <c r="I299">
        <v>300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9</v>
      </c>
      <c r="P299" s="69">
        <f t="shared" si="48"/>
        <v>208.33333333333334</v>
      </c>
      <c r="Q299" s="81" t="s">
        <v>504</v>
      </c>
      <c r="R299" s="82">
        <v>5</v>
      </c>
      <c r="S299" s="81" t="s">
        <v>505</v>
      </c>
      <c r="T299" s="82">
        <v>4</v>
      </c>
      <c r="U299" s="92"/>
      <c r="V299" s="80"/>
      <c r="W299" s="92"/>
      <c r="X299" s="304"/>
      <c r="Y299" s="89" t="s">
        <v>506</v>
      </c>
      <c r="Z299" s="304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300"/>
      <c r="AU299" s="93"/>
      <c r="AV299" s="300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">
        <v>1239</v>
      </c>
      <c r="B300" t="s">
        <v>111</v>
      </c>
      <c r="C300" s="52" t="s">
        <v>1240</v>
      </c>
      <c r="D300" s="52" t="s">
        <v>1240</v>
      </c>
      <c r="E300" t="s">
        <v>1150</v>
      </c>
      <c r="F300">
        <v>0</v>
      </c>
      <c r="G300" s="64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69">
        <f t="shared" si="48"/>
        <v>20.833333333333332</v>
      </c>
      <c r="Q300" s="254" t="s">
        <v>503</v>
      </c>
      <c r="R300" s="255">
        <v>0.5</v>
      </c>
      <c r="S300" s="254" t="s">
        <v>503</v>
      </c>
      <c r="T300" s="255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300"/>
      <c r="AU300" s="93"/>
      <c r="AV300" s="300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">
        <v>1241</v>
      </c>
      <c r="B301" t="s">
        <v>112</v>
      </c>
      <c r="C301" s="52" t="s">
        <v>1242</v>
      </c>
      <c r="D301" s="52" t="s">
        <v>1242</v>
      </c>
      <c r="E301">
        <v>0</v>
      </c>
      <c r="F301">
        <v>0</v>
      </c>
      <c r="G301" s="64">
        <v>0</v>
      </c>
      <c r="H301">
        <v>300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 s="69">
        <f t="shared" si="48"/>
        <v>10.416666666666666</v>
      </c>
      <c r="Q301" s="81" t="s">
        <v>507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300"/>
      <c r="AU301" s="93"/>
      <c r="AV301" s="300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">
        <v>1243</v>
      </c>
      <c r="B302" t="s">
        <v>118</v>
      </c>
      <c r="C302" s="52" t="s">
        <v>1244</v>
      </c>
      <c r="D302" s="52" t="s">
        <v>1244</v>
      </c>
      <c r="E302">
        <v>113.30000000000001</v>
      </c>
      <c r="F302">
        <v>129.30000000000001</v>
      </c>
      <c r="G302" s="64">
        <v>45335</v>
      </c>
      <c r="H302">
        <v>360</v>
      </c>
      <c r="I302">
        <v>360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69">
        <f t="shared" si="48"/>
        <v>906.25</v>
      </c>
      <c r="Q302" s="81" t="s">
        <v>510</v>
      </c>
      <c r="R302" s="82">
        <v>2</v>
      </c>
      <c r="S302" s="81" t="s">
        <v>511</v>
      </c>
      <c r="T302" s="82">
        <v>1</v>
      </c>
      <c r="U302" s="81" t="s">
        <v>512</v>
      </c>
      <c r="V302" s="82">
        <v>2.5</v>
      </c>
      <c r="W302" s="81" t="s">
        <v>513</v>
      </c>
      <c r="X302" s="82">
        <v>2.9</v>
      </c>
      <c r="Y302" s="106" t="s">
        <v>494</v>
      </c>
      <c r="Z302" s="256">
        <v>0.6</v>
      </c>
      <c r="AA302" s="257" t="s">
        <v>514</v>
      </c>
      <c r="AB302" s="256">
        <v>3.6</v>
      </c>
      <c r="AC302" s="257" t="s">
        <v>1245</v>
      </c>
      <c r="AD302" s="256">
        <v>3.5</v>
      </c>
      <c r="AE302" s="85" t="s">
        <v>517</v>
      </c>
      <c r="AF302" s="86">
        <v>5.5</v>
      </c>
      <c r="AG302" s="85" t="s">
        <v>518</v>
      </c>
      <c r="AH302" s="86">
        <v>5.5</v>
      </c>
      <c r="AI302" s="85" t="s">
        <v>519</v>
      </c>
      <c r="AJ302" s="86">
        <v>5.5</v>
      </c>
      <c r="AK302" s="85" t="s">
        <v>520</v>
      </c>
      <c r="AL302" s="86">
        <v>1.9</v>
      </c>
      <c r="AM302" s="85" t="s">
        <v>521</v>
      </c>
      <c r="AN302" s="86">
        <v>4</v>
      </c>
      <c r="AO302" s="85" t="s">
        <v>1246</v>
      </c>
      <c r="AP302" s="86">
        <v>1</v>
      </c>
      <c r="AQ302" s="85" t="s">
        <v>522</v>
      </c>
      <c r="AR302" s="253">
        <v>4</v>
      </c>
      <c r="AS302" s="93"/>
      <c r="AT302" s="300"/>
      <c r="AU302" s="93"/>
      <c r="AV302" s="300"/>
      <c r="AW302" s="93"/>
      <c r="AX302" s="66">
        <f t="shared" si="44"/>
        <v>43.5</v>
      </c>
      <c r="AY302" s="78">
        <f t="shared" si="45"/>
        <v>906.25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566.42499999999995</v>
      </c>
      <c r="BC302" s="53">
        <f t="shared" si="47"/>
        <v>582.42499999999995</v>
      </c>
    </row>
    <row r="303" spans="1:55" ht="13.15">
      <c r="A303" t="s">
        <v>1247</v>
      </c>
      <c r="B303" t="s">
        <v>118</v>
      </c>
      <c r="C303" s="52" t="s">
        <v>1244</v>
      </c>
      <c r="D303" s="52" t="s">
        <v>1244</v>
      </c>
      <c r="E303">
        <v>195</v>
      </c>
      <c r="F303">
        <v>205</v>
      </c>
      <c r="G303" s="64">
        <v>44642</v>
      </c>
      <c r="H303">
        <v>300</v>
      </c>
      <c r="I303">
        <v>300</v>
      </c>
      <c r="J303">
        <v>2</v>
      </c>
      <c r="K303">
        <v>9</v>
      </c>
      <c r="L303">
        <v>3</v>
      </c>
      <c r="M303">
        <v>0</v>
      </c>
      <c r="N303">
        <v>0</v>
      </c>
      <c r="O303">
        <v>13</v>
      </c>
      <c r="P303" s="69">
        <f t="shared" si="48"/>
        <v>0</v>
      </c>
      <c r="Q303" s="83"/>
      <c r="R303" s="286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300"/>
      <c r="AU303" s="93"/>
      <c r="AV303" s="300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">
        <v>1248</v>
      </c>
      <c r="B304" t="s">
        <v>118</v>
      </c>
      <c r="C304" s="52" t="s">
        <v>1244</v>
      </c>
      <c r="D304" s="52" t="s">
        <v>1244</v>
      </c>
      <c r="E304">
        <v>184</v>
      </c>
      <c r="F304">
        <v>181</v>
      </c>
      <c r="G304" s="64">
        <v>44453</v>
      </c>
      <c r="H304">
        <v>300</v>
      </c>
      <c r="I304">
        <v>300</v>
      </c>
      <c r="J304">
        <v>0</v>
      </c>
      <c r="K304">
        <v>6</v>
      </c>
      <c r="L304">
        <v>4</v>
      </c>
      <c r="M304">
        <v>0</v>
      </c>
      <c r="N304">
        <v>0</v>
      </c>
      <c r="O304"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300"/>
      <c r="AU304" s="93"/>
      <c r="AV304" s="300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">
        <v>1249</v>
      </c>
      <c r="B305" t="s">
        <v>120</v>
      </c>
      <c r="C305" s="52" t="s">
        <v>1250</v>
      </c>
      <c r="D305" s="52" t="s">
        <v>1250</v>
      </c>
      <c r="E305">
        <v>152</v>
      </c>
      <c r="F305">
        <v>168</v>
      </c>
      <c r="G305" s="64">
        <v>45008</v>
      </c>
      <c r="H305">
        <v>300</v>
      </c>
      <c r="I305">
        <v>300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</v>
      </c>
      <c r="P305" s="69">
        <f t="shared" si="48"/>
        <v>137.5</v>
      </c>
      <c r="Q305" s="81" t="s">
        <v>525</v>
      </c>
      <c r="R305" s="82">
        <v>4.5999999999999996</v>
      </c>
      <c r="S305" s="305" t="s">
        <v>527</v>
      </c>
      <c r="T305" s="304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300"/>
      <c r="AU305" s="93"/>
      <c r="AV305" s="300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">
        <v>1251</v>
      </c>
      <c r="B306" t="s">
        <v>120</v>
      </c>
      <c r="C306" s="52" t="s">
        <v>1250</v>
      </c>
      <c r="D306" s="52" t="s">
        <v>1250</v>
      </c>
      <c r="E306">
        <v>0</v>
      </c>
      <c r="F306">
        <v>0</v>
      </c>
      <c r="G306" s="64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300"/>
      <c r="AU306" s="93"/>
      <c r="AV306" s="300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">
        <v>1252</v>
      </c>
      <c r="B307" t="s">
        <v>120</v>
      </c>
      <c r="C307" s="52" t="s">
        <v>1250</v>
      </c>
      <c r="D307" s="52" t="s">
        <v>1250</v>
      </c>
      <c r="E307">
        <v>0</v>
      </c>
      <c r="F307">
        <v>0</v>
      </c>
      <c r="G307" s="6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300"/>
      <c r="AU307" s="93"/>
      <c r="AV307" s="300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">
        <v>1253</v>
      </c>
      <c r="B308" t="s">
        <v>120</v>
      </c>
      <c r="C308" s="52" t="s">
        <v>1250</v>
      </c>
      <c r="D308" s="52" t="s">
        <v>1250</v>
      </c>
      <c r="E308">
        <v>290</v>
      </c>
      <c r="F308">
        <v>345</v>
      </c>
      <c r="G308" s="64">
        <v>45006</v>
      </c>
      <c r="H308">
        <v>300</v>
      </c>
      <c r="I308">
        <v>300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5</v>
      </c>
      <c r="P308" s="69">
        <f t="shared" si="48"/>
        <v>20.833333333333332</v>
      </c>
      <c r="Q308" s="92" t="s">
        <v>529</v>
      </c>
      <c r="R308" s="253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300"/>
      <c r="AU308" s="93"/>
      <c r="AV308" s="300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">
        <v>1254</v>
      </c>
      <c r="B309" t="s">
        <v>76</v>
      </c>
      <c r="C309" s="52" t="s">
        <v>1255</v>
      </c>
      <c r="D309" s="52" t="s">
        <v>1255</v>
      </c>
      <c r="E309">
        <v>10</v>
      </c>
      <c r="F309">
        <v>10</v>
      </c>
      <c r="G309" s="64">
        <v>41963</v>
      </c>
      <c r="H309">
        <v>300</v>
      </c>
      <c r="I309">
        <v>300</v>
      </c>
      <c r="J309">
        <v>5</v>
      </c>
      <c r="K309">
        <v>8</v>
      </c>
      <c r="L309">
        <v>0</v>
      </c>
      <c r="M309">
        <v>29</v>
      </c>
      <c r="N309">
        <v>11</v>
      </c>
      <c r="O309"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300"/>
      <c r="AU309" s="93"/>
      <c r="AV309" s="300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">
        <v>1256</v>
      </c>
      <c r="B310" t="s">
        <v>135</v>
      </c>
      <c r="C310" s="52" t="s">
        <v>1257</v>
      </c>
      <c r="D310" s="52" t="s">
        <v>1257</v>
      </c>
      <c r="E310">
        <v>131.30000000000001</v>
      </c>
      <c r="F310">
        <v>96</v>
      </c>
      <c r="G310" s="64">
        <v>45335</v>
      </c>
      <c r="H310">
        <v>360</v>
      </c>
      <c r="I310">
        <v>360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69">
        <f t="shared" si="48"/>
        <v>595.83333333333337</v>
      </c>
      <c r="Q310" s="81" t="s">
        <v>544</v>
      </c>
      <c r="R310" s="82">
        <v>2</v>
      </c>
      <c r="S310" s="89" t="s">
        <v>545</v>
      </c>
      <c r="T310" s="90">
        <v>2.7</v>
      </c>
      <c r="U310" s="81" t="s">
        <v>546</v>
      </c>
      <c r="V310" s="90">
        <v>2.9</v>
      </c>
      <c r="W310" s="87" t="s">
        <v>547</v>
      </c>
      <c r="X310" s="88">
        <v>2.2000000000000002</v>
      </c>
      <c r="Y310" s="81" t="s">
        <v>549</v>
      </c>
      <c r="Z310" s="90">
        <v>1.6</v>
      </c>
      <c r="AA310" s="257" t="s">
        <v>1258</v>
      </c>
      <c r="AB310" s="256">
        <v>4</v>
      </c>
      <c r="AC310" s="92" t="s">
        <v>551</v>
      </c>
      <c r="AD310" s="80">
        <v>1.4</v>
      </c>
      <c r="AE310" s="261" t="s">
        <v>548</v>
      </c>
      <c r="AF310" s="262">
        <v>1.8</v>
      </c>
      <c r="AG310" s="89" t="s">
        <v>552</v>
      </c>
      <c r="AH310" s="304">
        <v>5</v>
      </c>
      <c r="AI310" s="89" t="s">
        <v>553</v>
      </c>
      <c r="AJ310" s="304">
        <v>5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300"/>
      <c r="AU310" s="93"/>
      <c r="AV310" s="300"/>
      <c r="AW310" s="93"/>
      <c r="AX310" s="66">
        <f t="shared" si="44"/>
        <v>28.6</v>
      </c>
      <c r="AY310" s="78">
        <f t="shared" si="45"/>
        <v>595.83333333333337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429.2166666666667</v>
      </c>
      <c r="BC310" s="53">
        <f t="shared" si="47"/>
        <v>393.91666666666669</v>
      </c>
    </row>
    <row r="311" spans="1:55" ht="13.15">
      <c r="A311" t="s">
        <v>1259</v>
      </c>
      <c r="B311" t="s">
        <v>135</v>
      </c>
      <c r="C311" s="52" t="s">
        <v>1257</v>
      </c>
      <c r="D311" s="52" t="s">
        <v>1257</v>
      </c>
      <c r="E311">
        <v>0</v>
      </c>
      <c r="F311">
        <v>0</v>
      </c>
      <c r="G311" s="64">
        <v>0</v>
      </c>
      <c r="H311">
        <v>300</v>
      </c>
      <c r="I311">
        <v>300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15</v>
      </c>
      <c r="P311" s="69">
        <f t="shared" si="48"/>
        <v>83.333333333333329</v>
      </c>
      <c r="Q311" s="101" t="s">
        <v>1260</v>
      </c>
      <c r="R311" s="100">
        <v>2</v>
      </c>
      <c r="S311" s="101" t="s">
        <v>1260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300"/>
      <c r="AU311" s="93"/>
      <c r="AV311" s="300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">
        <v>1261</v>
      </c>
      <c r="B312" t="s">
        <v>135</v>
      </c>
      <c r="C312" s="52" t="s">
        <v>1257</v>
      </c>
      <c r="D312" s="52" t="s">
        <v>1257</v>
      </c>
      <c r="E312">
        <v>0</v>
      </c>
      <c r="F312">
        <v>0</v>
      </c>
      <c r="G312" s="64">
        <v>0</v>
      </c>
      <c r="H312">
        <v>300</v>
      </c>
      <c r="I312">
        <v>300</v>
      </c>
      <c r="J312">
        <v>4</v>
      </c>
      <c r="K312">
        <v>0</v>
      </c>
      <c r="L312">
        <v>0</v>
      </c>
      <c r="M312">
        <v>1</v>
      </c>
      <c r="N312">
        <v>5</v>
      </c>
      <c r="O312"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300"/>
      <c r="AU312" s="93"/>
      <c r="AV312" s="300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">
        <v>1262</v>
      </c>
      <c r="B313" t="s">
        <v>135</v>
      </c>
      <c r="C313" s="52" t="s">
        <v>1257</v>
      </c>
      <c r="D313" s="52" t="s">
        <v>1257</v>
      </c>
      <c r="E313">
        <v>78</v>
      </c>
      <c r="F313">
        <v>125</v>
      </c>
      <c r="G313" s="64">
        <v>0</v>
      </c>
      <c r="H313">
        <v>300</v>
      </c>
      <c r="I313">
        <v>300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300"/>
      <c r="AU313" s="93"/>
      <c r="AV313" s="300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">
        <v>1263</v>
      </c>
      <c r="B314" t="s">
        <v>135</v>
      </c>
      <c r="C314" s="52" t="s">
        <v>1257</v>
      </c>
      <c r="D314" s="52" t="s">
        <v>1257</v>
      </c>
      <c r="E314">
        <v>170</v>
      </c>
      <c r="F314">
        <v>170</v>
      </c>
      <c r="G314" s="64">
        <v>41834</v>
      </c>
      <c r="H314">
        <v>300</v>
      </c>
      <c r="I314">
        <v>300</v>
      </c>
      <c r="J314">
        <v>4</v>
      </c>
      <c r="K314">
        <v>2</v>
      </c>
      <c r="L314">
        <v>0</v>
      </c>
      <c r="M314">
        <v>1</v>
      </c>
      <c r="N314">
        <v>0</v>
      </c>
      <c r="O314"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300"/>
      <c r="AU314" s="93"/>
      <c r="AV314" s="300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">
        <v>1264</v>
      </c>
      <c r="B315" t="s">
        <v>135</v>
      </c>
      <c r="C315" s="52" t="s">
        <v>1257</v>
      </c>
      <c r="D315" s="52" t="s">
        <v>1257</v>
      </c>
      <c r="E315">
        <v>190</v>
      </c>
      <c r="F315">
        <v>190</v>
      </c>
      <c r="G315" s="64">
        <v>42789</v>
      </c>
      <c r="H315">
        <v>300</v>
      </c>
      <c r="I315">
        <v>300</v>
      </c>
      <c r="J315">
        <v>1</v>
      </c>
      <c r="K315">
        <v>1</v>
      </c>
      <c r="L315">
        <v>3</v>
      </c>
      <c r="M315">
        <v>0</v>
      </c>
      <c r="N315">
        <v>3</v>
      </c>
      <c r="O315"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300"/>
      <c r="AU315" s="93"/>
      <c r="AV315" s="300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">
        <v>1265</v>
      </c>
      <c r="B316" t="s">
        <v>137</v>
      </c>
      <c r="C316" s="52" t="s">
        <v>1266</v>
      </c>
      <c r="D316" s="52" t="s">
        <v>1266</v>
      </c>
      <c r="E316">
        <v>0</v>
      </c>
      <c r="F316">
        <v>0</v>
      </c>
      <c r="G316" s="6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300"/>
      <c r="AU316" s="93"/>
      <c r="AV316" s="300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">
        <v>1267</v>
      </c>
      <c r="B317" t="s">
        <v>137</v>
      </c>
      <c r="C317" s="52" t="s">
        <v>1266</v>
      </c>
      <c r="D317" s="52" t="s">
        <v>1266</v>
      </c>
      <c r="E317">
        <v>0</v>
      </c>
      <c r="F317">
        <v>0</v>
      </c>
      <c r="G317" s="64">
        <v>44392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30</v>
      </c>
      <c r="P317" s="69">
        <f t="shared" ref="P317:P372" si="54">SUM(AY317+BA317)</f>
        <v>145.83333333333334</v>
      </c>
      <c r="Q317" s="81" t="s">
        <v>555</v>
      </c>
      <c r="R317" s="82">
        <v>5</v>
      </c>
      <c r="S317" s="257" t="s">
        <v>556</v>
      </c>
      <c r="T317" s="256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300"/>
      <c r="AU317" s="93"/>
      <c r="AV317" s="300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">
        <v>1268</v>
      </c>
      <c r="B318" t="s">
        <v>138</v>
      </c>
      <c r="C318" s="52" t="s">
        <v>1269</v>
      </c>
      <c r="D318" s="52" t="s">
        <v>1269</v>
      </c>
      <c r="E318">
        <v>0</v>
      </c>
      <c r="F318">
        <v>0</v>
      </c>
      <c r="G318" s="64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300"/>
      <c r="AU318" s="93"/>
      <c r="AV318" s="300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">
        <v>1270</v>
      </c>
      <c r="B319" t="s">
        <v>138</v>
      </c>
      <c r="C319" s="52" t="s">
        <v>1269</v>
      </c>
      <c r="D319" s="52" t="s">
        <v>1269</v>
      </c>
      <c r="E319">
        <v>200</v>
      </c>
      <c r="F319">
        <v>190</v>
      </c>
      <c r="G319" s="64">
        <v>45008</v>
      </c>
      <c r="H319">
        <v>300</v>
      </c>
      <c r="I319">
        <v>300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17</v>
      </c>
      <c r="P319" s="69">
        <f t="shared" si="54"/>
        <v>41.666666666666664</v>
      </c>
      <c r="Q319" s="303" t="s">
        <v>1271</v>
      </c>
      <c r="R319" s="304">
        <v>1</v>
      </c>
      <c r="S319" s="83" t="s">
        <v>558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300"/>
      <c r="AU319" s="93"/>
      <c r="AV319" s="300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">
        <v>1272</v>
      </c>
      <c r="B320" t="s">
        <v>148</v>
      </c>
      <c r="C320" s="52" t="s">
        <v>1273</v>
      </c>
      <c r="D320" s="52" t="s">
        <v>1273</v>
      </c>
      <c r="E320">
        <v>50</v>
      </c>
      <c r="F320">
        <v>52</v>
      </c>
      <c r="G320" s="64">
        <v>45133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69">
        <f t="shared" si="54"/>
        <v>145.83333333333334</v>
      </c>
      <c r="Q320" s="81" t="s">
        <v>572</v>
      </c>
      <c r="R320" s="82">
        <v>3</v>
      </c>
      <c r="S320" s="85" t="s">
        <v>573</v>
      </c>
      <c r="T320" s="282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300"/>
      <c r="AU320" s="93"/>
      <c r="AV320" s="300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">
        <v>1274</v>
      </c>
      <c r="B321" t="s">
        <v>163</v>
      </c>
      <c r="C321" s="52" t="s">
        <v>1275</v>
      </c>
      <c r="D321" s="52" t="s">
        <v>1275</v>
      </c>
      <c r="E321">
        <v>110</v>
      </c>
      <c r="F321">
        <v>100</v>
      </c>
      <c r="G321" s="64">
        <v>44838</v>
      </c>
      <c r="H321">
        <v>300</v>
      </c>
      <c r="I321">
        <v>300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300"/>
      <c r="AU321" s="93"/>
      <c r="AV321" s="300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">
        <v>1276</v>
      </c>
      <c r="B322" t="s">
        <v>163</v>
      </c>
      <c r="C322" s="52" t="s">
        <v>1275</v>
      </c>
      <c r="D322" s="52" t="s">
        <v>1275</v>
      </c>
      <c r="E322">
        <v>30</v>
      </c>
      <c r="F322">
        <v>30</v>
      </c>
      <c r="G322" s="64">
        <v>0</v>
      </c>
      <c r="H322">
        <v>300</v>
      </c>
      <c r="I322">
        <v>300</v>
      </c>
      <c r="J322">
        <v>6</v>
      </c>
      <c r="K322">
        <v>0</v>
      </c>
      <c r="L322">
        <v>0</v>
      </c>
      <c r="M322">
        <v>21</v>
      </c>
      <c r="N322">
        <v>10</v>
      </c>
      <c r="O322">
        <v>0</v>
      </c>
      <c r="P322" s="69">
        <f t="shared" si="54"/>
        <v>83.333333333333329</v>
      </c>
      <c r="Q322" s="101" t="s">
        <v>606</v>
      </c>
      <c r="R322" s="100">
        <v>2</v>
      </c>
      <c r="S322" s="101" t="s">
        <v>606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300"/>
      <c r="AU322" s="93"/>
      <c r="AV322" s="300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">
        <v>1277</v>
      </c>
      <c r="B323" t="s">
        <v>208</v>
      </c>
      <c r="C323" s="52" t="s">
        <v>1278</v>
      </c>
      <c r="D323" s="52" t="s">
        <v>1278</v>
      </c>
      <c r="E323">
        <v>37</v>
      </c>
      <c r="F323">
        <v>37</v>
      </c>
      <c r="G323" s="64">
        <v>41834</v>
      </c>
      <c r="H323">
        <v>300</v>
      </c>
      <c r="I323">
        <v>300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69">
        <f t="shared" si="54"/>
        <v>83.333333333333329</v>
      </c>
      <c r="Q323" s="83" t="s">
        <v>677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300"/>
      <c r="AU323" s="93"/>
      <c r="AV323" s="300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">
        <v>1279</v>
      </c>
      <c r="B324" t="s">
        <v>240</v>
      </c>
      <c r="C324" s="52" t="s">
        <v>1280</v>
      </c>
      <c r="D324" s="52" t="s">
        <v>1280</v>
      </c>
      <c r="E324">
        <v>0</v>
      </c>
      <c r="F324">
        <v>0</v>
      </c>
      <c r="G324" s="64">
        <v>0</v>
      </c>
      <c r="H324">
        <v>300</v>
      </c>
      <c r="I324">
        <v>300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0</v>
      </c>
      <c r="P324" s="69">
        <f t="shared" si="54"/>
        <v>62.5</v>
      </c>
      <c r="Q324" s="81" t="s">
        <v>727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300"/>
      <c r="AU324" s="93"/>
      <c r="AV324" s="300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">
        <v>1281</v>
      </c>
      <c r="B325" t="s">
        <v>31</v>
      </c>
      <c r="C325" s="52" t="s">
        <v>1282</v>
      </c>
      <c r="D325" s="52" t="s">
        <v>1282</v>
      </c>
      <c r="E325">
        <v>0</v>
      </c>
      <c r="F325">
        <v>0</v>
      </c>
      <c r="G325" s="64">
        <v>0</v>
      </c>
      <c r="H325">
        <v>300</v>
      </c>
      <c r="I325" s="310">
        <v>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300"/>
      <c r="AU325" s="93"/>
      <c r="AV325" s="300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">
        <v>1283</v>
      </c>
      <c r="B326" t="s">
        <v>31</v>
      </c>
      <c r="C326" s="52" t="s">
        <v>1282</v>
      </c>
      <c r="D326" s="52" t="s">
        <v>1282</v>
      </c>
      <c r="E326">
        <v>0</v>
      </c>
      <c r="F326">
        <v>0</v>
      </c>
      <c r="G326" s="64">
        <v>0</v>
      </c>
      <c r="H326">
        <v>160</v>
      </c>
      <c r="I326">
        <v>300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300"/>
      <c r="AU326" s="93"/>
      <c r="AV326" s="300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">
        <v>1284</v>
      </c>
      <c r="B327" t="s">
        <v>80</v>
      </c>
      <c r="C327" s="52" t="s">
        <v>1285</v>
      </c>
      <c r="D327" s="52" t="s">
        <v>1285</v>
      </c>
      <c r="E327">
        <v>60</v>
      </c>
      <c r="F327">
        <v>70</v>
      </c>
      <c r="G327" s="64">
        <v>45097</v>
      </c>
      <c r="H327">
        <v>300</v>
      </c>
      <c r="I327">
        <v>300</v>
      </c>
      <c r="J327">
        <v>4</v>
      </c>
      <c r="K327">
        <v>6</v>
      </c>
      <c r="L327">
        <v>0</v>
      </c>
      <c r="M327">
        <v>13</v>
      </c>
      <c r="N327">
        <v>11</v>
      </c>
      <c r="O327">
        <v>1</v>
      </c>
      <c r="P327" s="69">
        <f t="shared" si="54"/>
        <v>20.833333333333332</v>
      </c>
      <c r="Q327" s="261" t="s">
        <v>463</v>
      </c>
      <c r="R327" s="262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300"/>
      <c r="AU327" s="93"/>
      <c r="AV327" s="300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">
        <v>1286</v>
      </c>
      <c r="B328" t="s">
        <v>80</v>
      </c>
      <c r="C328" s="52" t="s">
        <v>1285</v>
      </c>
      <c r="D328" s="52" t="s">
        <v>1285</v>
      </c>
      <c r="E328">
        <v>15</v>
      </c>
      <c r="F328">
        <v>0</v>
      </c>
      <c r="G328" s="64">
        <v>45097</v>
      </c>
      <c r="H328">
        <v>300</v>
      </c>
      <c r="I328">
        <v>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300"/>
      <c r="AU328" s="93"/>
      <c r="AV328" s="300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">
        <v>1287</v>
      </c>
      <c r="B329" t="s">
        <v>127</v>
      </c>
      <c r="C329" s="52" t="s">
        <v>1288</v>
      </c>
      <c r="D329" s="52" t="s">
        <v>1288</v>
      </c>
      <c r="E329">
        <v>20</v>
      </c>
      <c r="F329">
        <v>20</v>
      </c>
      <c r="G329" s="64">
        <v>45097</v>
      </c>
      <c r="H329">
        <v>300</v>
      </c>
      <c r="I329">
        <v>300</v>
      </c>
      <c r="J329">
        <v>6</v>
      </c>
      <c r="K329">
        <v>6</v>
      </c>
      <c r="L329">
        <v>0</v>
      </c>
      <c r="M329">
        <v>19</v>
      </c>
      <c r="N329">
        <v>11</v>
      </c>
      <c r="O329"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300"/>
      <c r="AU329" s="93"/>
      <c r="AV329" s="300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">
        <v>1289</v>
      </c>
      <c r="B330" t="s">
        <v>144</v>
      </c>
      <c r="C330" s="52" t="s">
        <v>1290</v>
      </c>
      <c r="D330" s="52" t="s">
        <v>1290</v>
      </c>
      <c r="E330">
        <v>80</v>
      </c>
      <c r="F330">
        <v>70</v>
      </c>
      <c r="G330" s="64">
        <v>44880</v>
      </c>
      <c r="H330">
        <v>300</v>
      </c>
      <c r="I330">
        <v>300</v>
      </c>
      <c r="J330">
        <v>5</v>
      </c>
      <c r="K330">
        <v>6</v>
      </c>
      <c r="L330">
        <v>4</v>
      </c>
      <c r="M330">
        <v>8</v>
      </c>
      <c r="N330">
        <v>9</v>
      </c>
      <c r="O330">
        <v>0</v>
      </c>
      <c r="P330" s="69">
        <f t="shared" si="54"/>
        <v>20.833333333333332</v>
      </c>
      <c r="Q330" s="303" t="s">
        <v>563</v>
      </c>
      <c r="R330" s="304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300"/>
      <c r="AU330" s="93"/>
      <c r="AV330" s="300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">
        <v>1291</v>
      </c>
      <c r="B331" t="s">
        <v>144</v>
      </c>
      <c r="C331" s="52" t="s">
        <v>1290</v>
      </c>
      <c r="D331" s="52" t="s">
        <v>1290</v>
      </c>
      <c r="E331">
        <v>32</v>
      </c>
      <c r="F331">
        <v>38</v>
      </c>
      <c r="G331" s="64">
        <v>44880</v>
      </c>
      <c r="H331">
        <v>300</v>
      </c>
      <c r="I331">
        <v>300</v>
      </c>
      <c r="J331">
        <v>6</v>
      </c>
      <c r="K331">
        <v>6</v>
      </c>
      <c r="L331">
        <v>0</v>
      </c>
      <c r="M331">
        <v>19</v>
      </c>
      <c r="N331">
        <v>11</v>
      </c>
      <c r="O331"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300"/>
      <c r="AU331" s="93"/>
      <c r="AV331" s="300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">
        <v>1292</v>
      </c>
      <c r="B332" t="s">
        <v>141</v>
      </c>
      <c r="C332" s="52" t="s">
        <v>1293</v>
      </c>
      <c r="D332" s="52" t="s">
        <v>1293</v>
      </c>
      <c r="E332">
        <v>135</v>
      </c>
      <c r="F332">
        <v>140</v>
      </c>
      <c r="G332" s="64">
        <v>45090</v>
      </c>
      <c r="H332">
        <v>300</v>
      </c>
      <c r="I332">
        <v>300</v>
      </c>
      <c r="J332">
        <v>5</v>
      </c>
      <c r="K332">
        <v>1</v>
      </c>
      <c r="L332">
        <v>0</v>
      </c>
      <c r="M332">
        <v>10</v>
      </c>
      <c r="N332">
        <v>2</v>
      </c>
      <c r="O332">
        <v>0</v>
      </c>
      <c r="P332" s="69">
        <f t="shared" si="54"/>
        <v>41.666666666666664</v>
      </c>
      <c r="Q332" s="106" t="s">
        <v>561</v>
      </c>
      <c r="R332" s="256">
        <v>1</v>
      </c>
      <c r="S332" s="99" t="s">
        <v>562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300"/>
      <c r="AU332" s="93"/>
      <c r="AV332" s="300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">
        <v>1294</v>
      </c>
      <c r="B333" t="s">
        <v>152</v>
      </c>
      <c r="C333" s="52" t="s">
        <v>1295</v>
      </c>
      <c r="D333" s="52" t="s">
        <v>1295</v>
      </c>
      <c r="E333">
        <v>60</v>
      </c>
      <c r="F333">
        <v>60</v>
      </c>
      <c r="G333" s="64">
        <v>45007</v>
      </c>
      <c r="H333">
        <v>300</v>
      </c>
      <c r="I333">
        <v>300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33</v>
      </c>
      <c r="P333" s="69">
        <f t="shared" si="54"/>
        <v>166.66666666666666</v>
      </c>
      <c r="Q333" s="81" t="s">
        <v>580</v>
      </c>
      <c r="R333" s="82">
        <v>3</v>
      </c>
      <c r="S333" s="99" t="s">
        <v>581</v>
      </c>
      <c r="T333" s="100">
        <v>1</v>
      </c>
      <c r="U333" s="106" t="s">
        <v>1296</v>
      </c>
      <c r="V333" s="256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300"/>
      <c r="AU333" s="93"/>
      <c r="AV333" s="300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">
        <v>1297</v>
      </c>
      <c r="B334" t="s">
        <v>152</v>
      </c>
      <c r="C334" s="52" t="s">
        <v>1295</v>
      </c>
      <c r="D334" s="52" t="s">
        <v>1295</v>
      </c>
      <c r="E334" t="s">
        <v>840</v>
      </c>
      <c r="F334" t="s">
        <v>840</v>
      </c>
      <c r="G334" s="64">
        <v>45007</v>
      </c>
      <c r="H334">
        <v>300</v>
      </c>
      <c r="I334">
        <v>300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300"/>
      <c r="AU334" s="93"/>
      <c r="AV334" s="300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">
        <v>1298</v>
      </c>
      <c r="B335" t="s">
        <v>152</v>
      </c>
      <c r="C335" s="52" t="s">
        <v>1295</v>
      </c>
      <c r="D335" s="52" t="s">
        <v>1295</v>
      </c>
      <c r="E335" t="s">
        <v>840</v>
      </c>
      <c r="F335" t="s">
        <v>840</v>
      </c>
      <c r="G335" s="64">
        <v>45007</v>
      </c>
      <c r="H335">
        <v>200</v>
      </c>
      <c r="I335">
        <v>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300"/>
      <c r="AU335" s="93"/>
      <c r="AV335" s="300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">
        <v>1299</v>
      </c>
      <c r="B336" t="s">
        <v>152</v>
      </c>
      <c r="C336" s="52" t="s">
        <v>1295</v>
      </c>
      <c r="D336" s="52" t="s">
        <v>1295</v>
      </c>
      <c r="E336" t="s">
        <v>840</v>
      </c>
      <c r="F336">
        <v>0</v>
      </c>
      <c r="G336" s="64">
        <v>45007</v>
      </c>
      <c r="H336">
        <v>300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300"/>
      <c r="AU336" s="93"/>
      <c r="AV336" s="300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">
        <v>1300</v>
      </c>
      <c r="B337" t="s">
        <v>169</v>
      </c>
      <c r="C337" s="52" t="s">
        <v>1301</v>
      </c>
      <c r="D337" s="52" t="s">
        <v>1301</v>
      </c>
      <c r="E337">
        <v>120</v>
      </c>
      <c r="F337">
        <v>170</v>
      </c>
      <c r="G337" s="64">
        <v>44264</v>
      </c>
      <c r="H337">
        <v>300</v>
      </c>
      <c r="I337">
        <v>300</v>
      </c>
      <c r="J337">
        <v>0</v>
      </c>
      <c r="K337">
        <v>6</v>
      </c>
      <c r="L337">
        <v>0</v>
      </c>
      <c r="M337">
        <v>7</v>
      </c>
      <c r="N337">
        <v>9</v>
      </c>
      <c r="O337">
        <v>0</v>
      </c>
      <c r="P337" s="69">
        <f t="shared" si="54"/>
        <v>20.833333333333332</v>
      </c>
      <c r="Q337" s="106" t="s">
        <v>1302</v>
      </c>
      <c r="R337" s="256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300"/>
      <c r="AU337" s="93"/>
      <c r="AV337" s="300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">
        <v>1303</v>
      </c>
      <c r="B338" t="s">
        <v>178</v>
      </c>
      <c r="C338" s="52" t="s">
        <v>1304</v>
      </c>
      <c r="D338" s="52" t="s">
        <v>1304</v>
      </c>
      <c r="E338" t="s">
        <v>840</v>
      </c>
      <c r="F338" t="s">
        <v>840</v>
      </c>
      <c r="G338" s="64">
        <v>45006</v>
      </c>
      <c r="H338">
        <v>300</v>
      </c>
      <c r="I338">
        <v>300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300"/>
      <c r="AU338" s="93"/>
      <c r="AV338" s="300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">
        <v>1305</v>
      </c>
      <c r="B339" t="s">
        <v>178</v>
      </c>
      <c r="C339" s="52" t="s">
        <v>1304</v>
      </c>
      <c r="D339" s="52" t="s">
        <v>1304</v>
      </c>
      <c r="E339" t="s">
        <v>1306</v>
      </c>
      <c r="F339" t="s">
        <v>1306</v>
      </c>
      <c r="G339" s="64">
        <v>45006</v>
      </c>
      <c r="H339">
        <v>300</v>
      </c>
      <c r="I339">
        <v>300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48</v>
      </c>
      <c r="P339" s="69">
        <f t="shared" si="54"/>
        <v>6.25</v>
      </c>
      <c r="Q339" s="83" t="s">
        <v>647</v>
      </c>
      <c r="R339" s="286">
        <v>0.3</v>
      </c>
      <c r="S339" s="93"/>
      <c r="T339" s="80"/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300"/>
      <c r="AU339" s="93"/>
      <c r="AV339" s="300"/>
      <c r="AW339" s="93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">
        <v>1307</v>
      </c>
      <c r="B340" t="s">
        <v>213</v>
      </c>
      <c r="C340" s="52" t="s">
        <v>1308</v>
      </c>
      <c r="D340" s="52" t="s">
        <v>1308</v>
      </c>
      <c r="E340">
        <v>90</v>
      </c>
      <c r="F340">
        <v>95</v>
      </c>
      <c r="G340" s="64">
        <v>45006</v>
      </c>
      <c r="H340">
        <v>300</v>
      </c>
      <c r="I340">
        <v>300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31</v>
      </c>
      <c r="P340" s="69">
        <f t="shared" si="54"/>
        <v>125</v>
      </c>
      <c r="Q340" s="81" t="s">
        <v>680</v>
      </c>
      <c r="R340" s="82">
        <v>5</v>
      </c>
      <c r="S340" s="257" t="s">
        <v>681</v>
      </c>
      <c r="T340" s="256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300"/>
      <c r="AU340" s="93"/>
      <c r="AV340" s="300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">
        <v>1309</v>
      </c>
      <c r="B341" t="s">
        <v>213</v>
      </c>
      <c r="C341" s="52" t="s">
        <v>1308</v>
      </c>
      <c r="D341" s="52" t="s">
        <v>1308</v>
      </c>
      <c r="E341">
        <v>65</v>
      </c>
      <c r="F341" t="s">
        <v>840</v>
      </c>
      <c r="G341" s="64">
        <v>45006</v>
      </c>
      <c r="H341">
        <v>300</v>
      </c>
      <c r="I341">
        <v>300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300"/>
      <c r="AU341" s="93"/>
      <c r="AV341" s="300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">
        <v>1310</v>
      </c>
      <c r="B342" t="s">
        <v>230</v>
      </c>
      <c r="C342" s="52" t="s">
        <v>1311</v>
      </c>
      <c r="D342" s="52" t="s">
        <v>1311</v>
      </c>
      <c r="E342">
        <v>55</v>
      </c>
      <c r="F342">
        <v>45</v>
      </c>
      <c r="G342" s="64">
        <v>45055</v>
      </c>
      <c r="H342">
        <v>300</v>
      </c>
      <c r="I342">
        <v>300</v>
      </c>
      <c r="J342">
        <v>5</v>
      </c>
      <c r="K342">
        <v>0</v>
      </c>
      <c r="L342">
        <v>0</v>
      </c>
      <c r="M342">
        <v>15</v>
      </c>
      <c r="N342">
        <v>11</v>
      </c>
      <c r="O342">
        <v>0</v>
      </c>
      <c r="P342" s="69">
        <f t="shared" si="54"/>
        <v>41.666666666666664</v>
      </c>
      <c r="Q342" s="106" t="s">
        <v>707</v>
      </c>
      <c r="R342" s="256">
        <v>1</v>
      </c>
      <c r="S342" s="99" t="s">
        <v>708</v>
      </c>
      <c r="T342" s="100">
        <v>1</v>
      </c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300"/>
      <c r="AU342" s="93"/>
      <c r="AV342" s="300"/>
      <c r="AW342" s="93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">
        <v>1312</v>
      </c>
      <c r="B343" t="s">
        <v>34</v>
      </c>
      <c r="C343" s="52" t="s">
        <v>1313</v>
      </c>
      <c r="D343" s="52" t="s">
        <v>1313</v>
      </c>
      <c r="E343">
        <v>87.8</v>
      </c>
      <c r="F343">
        <v>0</v>
      </c>
      <c r="G343" s="64">
        <v>40554</v>
      </c>
      <c r="H343">
        <v>300</v>
      </c>
      <c r="I343">
        <v>300</v>
      </c>
      <c r="J343">
        <v>0</v>
      </c>
      <c r="K343">
        <v>0</v>
      </c>
      <c r="L343">
        <v>7</v>
      </c>
      <c r="M343">
        <v>4</v>
      </c>
      <c r="N343">
        <v>11</v>
      </c>
      <c r="O343"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300"/>
      <c r="AU343" s="93"/>
      <c r="AV343" s="300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">
        <v>1314</v>
      </c>
      <c r="B344" t="s">
        <v>34</v>
      </c>
      <c r="C344" s="52" t="s">
        <v>1313</v>
      </c>
      <c r="D344" s="52" t="s">
        <v>1313</v>
      </c>
      <c r="E344">
        <v>200</v>
      </c>
      <c r="F344">
        <v>200</v>
      </c>
      <c r="G344" s="64">
        <v>44041</v>
      </c>
      <c r="H344">
        <v>300</v>
      </c>
      <c r="I344">
        <v>300</v>
      </c>
      <c r="J344">
        <v>0</v>
      </c>
      <c r="K344">
        <v>0</v>
      </c>
      <c r="L344">
        <v>4</v>
      </c>
      <c r="M344">
        <v>3</v>
      </c>
      <c r="N344">
        <v>0</v>
      </c>
      <c r="O344"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300"/>
      <c r="AU344" s="93"/>
      <c r="AV344" s="300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">
        <v>1315</v>
      </c>
      <c r="B345" t="s">
        <v>34</v>
      </c>
      <c r="C345" s="52" t="s">
        <v>1316</v>
      </c>
      <c r="D345" s="52" t="s">
        <v>1316</v>
      </c>
      <c r="E345">
        <v>89</v>
      </c>
      <c r="F345">
        <v>78</v>
      </c>
      <c r="G345" s="64">
        <v>44977</v>
      </c>
      <c r="H345">
        <v>300</v>
      </c>
      <c r="I345">
        <v>300</v>
      </c>
      <c r="J345">
        <v>4</v>
      </c>
      <c r="K345">
        <v>1</v>
      </c>
      <c r="L345">
        <v>1</v>
      </c>
      <c r="M345">
        <v>12</v>
      </c>
      <c r="N345">
        <v>11</v>
      </c>
      <c r="O345"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1317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300"/>
      <c r="AU345" s="93"/>
      <c r="AV345" s="300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">
        <v>1318</v>
      </c>
      <c r="B346" t="s">
        <v>34</v>
      </c>
      <c r="C346" s="52" t="s">
        <v>1316</v>
      </c>
      <c r="D346" s="52" t="s">
        <v>1316</v>
      </c>
      <c r="E346">
        <v>126</v>
      </c>
      <c r="F346">
        <v>122</v>
      </c>
      <c r="G346" s="64">
        <v>44977</v>
      </c>
      <c r="H346">
        <v>300</v>
      </c>
      <c r="I346">
        <v>300</v>
      </c>
      <c r="J346">
        <v>4</v>
      </c>
      <c r="K346">
        <v>5</v>
      </c>
      <c r="L346">
        <v>0</v>
      </c>
      <c r="M346">
        <v>7</v>
      </c>
      <c r="N346">
        <v>10</v>
      </c>
      <c r="O346"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300"/>
      <c r="AU346" s="93"/>
      <c r="AV346" s="300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">
        <v>1319</v>
      </c>
      <c r="B347" t="s">
        <v>71</v>
      </c>
      <c r="C347" s="52" t="s">
        <v>1320</v>
      </c>
      <c r="D347" s="52" t="s">
        <v>1320</v>
      </c>
      <c r="E347">
        <v>0</v>
      </c>
      <c r="F347">
        <v>0</v>
      </c>
      <c r="G347" s="64">
        <v>0</v>
      </c>
      <c r="H347">
        <v>300</v>
      </c>
      <c r="I347">
        <v>300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300"/>
      <c r="AU347" s="93"/>
      <c r="AV347" s="300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">
        <v>1321</v>
      </c>
      <c r="B348" t="s">
        <v>71</v>
      </c>
      <c r="C348" s="52" t="s">
        <v>1320</v>
      </c>
      <c r="D348" s="52" t="s">
        <v>1320</v>
      </c>
      <c r="E348">
        <v>0</v>
      </c>
      <c r="F348">
        <v>0</v>
      </c>
      <c r="G348" s="64">
        <v>44977</v>
      </c>
      <c r="H348">
        <v>80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300"/>
      <c r="AU348" s="93"/>
      <c r="AV348" s="300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">
        <v>1322</v>
      </c>
      <c r="B349" t="s">
        <v>71</v>
      </c>
      <c r="C349" s="52" t="s">
        <v>1320</v>
      </c>
      <c r="D349" s="52" t="s">
        <v>1320</v>
      </c>
      <c r="E349">
        <v>0</v>
      </c>
      <c r="F349">
        <v>0</v>
      </c>
      <c r="G349" s="64">
        <v>0</v>
      </c>
      <c r="H349">
        <v>300</v>
      </c>
      <c r="I349">
        <v>300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300"/>
      <c r="AU349" s="93"/>
      <c r="AV349" s="300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">
        <v>1323</v>
      </c>
      <c r="B350" t="s">
        <v>71</v>
      </c>
      <c r="C350" s="52" t="s">
        <v>1320</v>
      </c>
      <c r="D350" s="52" t="s">
        <v>1320</v>
      </c>
      <c r="E350">
        <v>110</v>
      </c>
      <c r="F350">
        <v>100</v>
      </c>
      <c r="G350" s="64">
        <v>44978</v>
      </c>
      <c r="H350">
        <v>300</v>
      </c>
      <c r="I350">
        <v>300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 s="69">
        <f t="shared" si="54"/>
        <v>5.208333333333333</v>
      </c>
      <c r="Q350" s="81" t="s">
        <v>441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300"/>
      <c r="AU350" s="93"/>
      <c r="AV350" s="300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">
        <v>1324</v>
      </c>
      <c r="B351" t="s">
        <v>71</v>
      </c>
      <c r="C351" s="52" t="s">
        <v>1320</v>
      </c>
      <c r="D351" s="52" t="s">
        <v>1320</v>
      </c>
      <c r="E351">
        <v>20</v>
      </c>
      <c r="F351">
        <v>20</v>
      </c>
      <c r="G351" s="64">
        <v>44978</v>
      </c>
      <c r="H351">
        <v>300</v>
      </c>
      <c r="I351">
        <v>300</v>
      </c>
      <c r="J351">
        <v>5</v>
      </c>
      <c r="K351">
        <v>4</v>
      </c>
      <c r="L351">
        <v>0</v>
      </c>
      <c r="M351">
        <v>23</v>
      </c>
      <c r="N351">
        <v>5</v>
      </c>
      <c r="O351"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300"/>
      <c r="AU351" s="93"/>
      <c r="AV351" s="300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">
        <v>1325</v>
      </c>
      <c r="B352" t="s">
        <v>71</v>
      </c>
      <c r="C352" s="52" t="s">
        <v>1320</v>
      </c>
      <c r="D352" s="52" t="s">
        <v>1320</v>
      </c>
      <c r="E352" t="s">
        <v>1182</v>
      </c>
      <c r="F352" t="s">
        <v>840</v>
      </c>
      <c r="G352" s="64">
        <v>44978</v>
      </c>
      <c r="H352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300"/>
      <c r="AU352" s="93"/>
      <c r="AV352" s="300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">
        <v>1326</v>
      </c>
      <c r="B353" t="s">
        <v>71</v>
      </c>
      <c r="C353" s="52" t="s">
        <v>1320</v>
      </c>
      <c r="D353" s="52" t="s">
        <v>1320</v>
      </c>
      <c r="E353">
        <v>0</v>
      </c>
      <c r="F353">
        <v>0</v>
      </c>
      <c r="G353" s="64">
        <v>0</v>
      </c>
      <c r="H353">
        <v>300</v>
      </c>
      <c r="I353">
        <v>300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300"/>
      <c r="AU353" s="93"/>
      <c r="AV353" s="300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">
        <v>1327</v>
      </c>
      <c r="B354" t="s">
        <v>71</v>
      </c>
      <c r="C354" s="52" t="s">
        <v>1320</v>
      </c>
      <c r="D354" s="52" t="s">
        <v>1320</v>
      </c>
      <c r="E354">
        <v>150</v>
      </c>
      <c r="F354">
        <v>160</v>
      </c>
      <c r="G354" s="64">
        <v>44978</v>
      </c>
      <c r="H354">
        <v>300</v>
      </c>
      <c r="I354">
        <v>300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300"/>
      <c r="AU354" s="93"/>
      <c r="AV354" s="300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">
        <v>1328</v>
      </c>
      <c r="B355" t="s">
        <v>72</v>
      </c>
      <c r="C355" s="52" t="s">
        <v>1329</v>
      </c>
      <c r="D355" s="52" t="s">
        <v>1329</v>
      </c>
      <c r="E355">
        <v>224</v>
      </c>
      <c r="F355">
        <v>223</v>
      </c>
      <c r="G355" s="64">
        <v>44977</v>
      </c>
      <c r="H355">
        <v>300</v>
      </c>
      <c r="I355">
        <v>300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300"/>
      <c r="AU355" s="93"/>
      <c r="AV355" s="300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">
        <v>1330</v>
      </c>
      <c r="B356" t="s">
        <v>72</v>
      </c>
      <c r="C356" s="52" t="s">
        <v>1329</v>
      </c>
      <c r="D356" s="52" t="s">
        <v>1329</v>
      </c>
      <c r="E356">
        <v>150</v>
      </c>
      <c r="F356">
        <v>160</v>
      </c>
      <c r="G356" s="64">
        <v>44977</v>
      </c>
      <c r="H356">
        <v>300</v>
      </c>
      <c r="I356">
        <v>300</v>
      </c>
      <c r="J356">
        <v>5</v>
      </c>
      <c r="K356">
        <v>2</v>
      </c>
      <c r="L356">
        <v>0</v>
      </c>
      <c r="M356">
        <v>4</v>
      </c>
      <c r="N356">
        <v>10</v>
      </c>
      <c r="O356"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300"/>
      <c r="AU356" s="93"/>
      <c r="AV356" s="300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">
        <v>1331</v>
      </c>
      <c r="B357" t="s">
        <v>72</v>
      </c>
      <c r="C357" s="52" t="s">
        <v>1329</v>
      </c>
      <c r="D357" s="52" t="s">
        <v>1329</v>
      </c>
      <c r="E357">
        <v>160</v>
      </c>
      <c r="F357">
        <v>160</v>
      </c>
      <c r="G357" s="64">
        <v>44977</v>
      </c>
      <c r="H357">
        <v>300</v>
      </c>
      <c r="I357">
        <v>300</v>
      </c>
      <c r="J357">
        <v>9</v>
      </c>
      <c r="K357">
        <v>0</v>
      </c>
      <c r="L357">
        <v>5</v>
      </c>
      <c r="M357">
        <v>0</v>
      </c>
      <c r="N357">
        <v>3</v>
      </c>
      <c r="O357">
        <v>1</v>
      </c>
      <c r="P357" s="69">
        <f t="shared" si="54"/>
        <v>125</v>
      </c>
      <c r="Q357" s="112" t="s">
        <v>443</v>
      </c>
      <c r="R357" s="114">
        <v>3</v>
      </c>
      <c r="S357" s="112" t="s">
        <v>443</v>
      </c>
      <c r="T357" s="114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300"/>
      <c r="AU357" s="93"/>
      <c r="AV357" s="300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">
        <v>1332</v>
      </c>
      <c r="B358" t="s">
        <v>1333</v>
      </c>
      <c r="C358" s="52" t="s">
        <v>1334</v>
      </c>
      <c r="D358" s="52" t="s">
        <v>1334</v>
      </c>
      <c r="E358">
        <v>210</v>
      </c>
      <c r="F358">
        <v>0</v>
      </c>
      <c r="G358" s="64">
        <v>40634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2</v>
      </c>
      <c r="N358">
        <v>0</v>
      </c>
      <c r="O358"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300"/>
      <c r="AU358" s="93"/>
      <c r="AV358" s="300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">
        <v>1335</v>
      </c>
      <c r="B359" t="s">
        <v>73</v>
      </c>
      <c r="C359" s="52" t="s">
        <v>1336</v>
      </c>
      <c r="D359" s="52" t="s">
        <v>1336</v>
      </c>
      <c r="E359">
        <v>261.59999999999997</v>
      </c>
      <c r="F359">
        <v>257.10000000000002</v>
      </c>
      <c r="G359" s="64">
        <v>45337</v>
      </c>
      <c r="H359">
        <v>600</v>
      </c>
      <c r="I359">
        <v>600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69">
        <f t="shared" si="54"/>
        <v>727.29166666666663</v>
      </c>
      <c r="Q359" s="81" t="s">
        <v>445</v>
      </c>
      <c r="R359" s="281">
        <v>2.1</v>
      </c>
      <c r="S359" s="81" t="s">
        <v>446</v>
      </c>
      <c r="T359" s="281">
        <v>1.2</v>
      </c>
      <c r="U359" s="81" t="s">
        <v>447</v>
      </c>
      <c r="V359" s="281">
        <v>5.4</v>
      </c>
      <c r="W359" s="81" t="s">
        <v>448</v>
      </c>
      <c r="X359" s="281">
        <v>1.2</v>
      </c>
      <c r="Y359" s="81" t="s">
        <v>449</v>
      </c>
      <c r="Z359" s="281">
        <v>1.8</v>
      </c>
      <c r="AA359" s="81" t="s">
        <v>450</v>
      </c>
      <c r="AB359" s="281">
        <v>11.7</v>
      </c>
      <c r="AC359" s="89" t="s">
        <v>451</v>
      </c>
      <c r="AD359" s="284">
        <v>2.4</v>
      </c>
      <c r="AE359" s="89" t="s">
        <v>452</v>
      </c>
      <c r="AF359" s="284">
        <v>2.2000000000000002</v>
      </c>
      <c r="AG359" s="89" t="s">
        <v>453</v>
      </c>
      <c r="AH359" s="284">
        <v>1.1000000000000001</v>
      </c>
      <c r="AI359" s="99" t="s">
        <v>1337</v>
      </c>
      <c r="AJ359" s="100">
        <v>0.88</v>
      </c>
      <c r="AK359" s="106" t="s">
        <v>458</v>
      </c>
      <c r="AL359" s="296">
        <v>0.93</v>
      </c>
      <c r="AM359" s="92" t="s">
        <v>1338</v>
      </c>
      <c r="AN359" s="312">
        <v>4</v>
      </c>
      <c r="AO359" s="92"/>
      <c r="AP359" s="80"/>
      <c r="AQ359" s="93"/>
      <c r="AR359" s="80"/>
      <c r="AS359" s="93"/>
      <c r="AT359" s="300"/>
      <c r="AU359" s="93"/>
      <c r="AV359" s="300"/>
      <c r="AW359" s="93"/>
      <c r="AX359" s="66">
        <f t="shared" si="50"/>
        <v>34.909999999999997</v>
      </c>
      <c r="AY359" s="78">
        <f t="shared" si="51"/>
        <v>727.29166666666663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625.24583333333328</v>
      </c>
      <c r="BC359" s="53">
        <f t="shared" si="53"/>
        <v>620.74583333333339</v>
      </c>
    </row>
    <row r="360" spans="1:55" ht="13.15">
      <c r="A360" t="s">
        <v>1339</v>
      </c>
      <c r="B360" t="s">
        <v>36</v>
      </c>
      <c r="C360" s="52" t="s">
        <v>1340</v>
      </c>
      <c r="D360" s="52" t="s">
        <v>1340</v>
      </c>
      <c r="E360">
        <v>45</v>
      </c>
      <c r="F360">
        <v>55</v>
      </c>
      <c r="G360" s="64">
        <v>44404</v>
      </c>
      <c r="H360">
        <v>300</v>
      </c>
      <c r="I360">
        <v>300</v>
      </c>
      <c r="J360">
        <v>6</v>
      </c>
      <c r="K360">
        <v>1</v>
      </c>
      <c r="L360">
        <v>0</v>
      </c>
      <c r="M360">
        <v>9</v>
      </c>
      <c r="N360">
        <v>0</v>
      </c>
      <c r="O360"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300"/>
      <c r="AU360" s="93"/>
      <c r="AV360" s="300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">
        <v>1341</v>
      </c>
      <c r="B361" t="s">
        <v>36</v>
      </c>
      <c r="C361" s="52" t="s">
        <v>1340</v>
      </c>
      <c r="D361" s="52" t="s">
        <v>1340</v>
      </c>
      <c r="E361">
        <v>10</v>
      </c>
      <c r="F361">
        <v>10</v>
      </c>
      <c r="G361" s="64">
        <v>44404</v>
      </c>
      <c r="H361">
        <v>300</v>
      </c>
      <c r="I361">
        <v>300</v>
      </c>
      <c r="J361">
        <v>6</v>
      </c>
      <c r="K361">
        <v>6</v>
      </c>
      <c r="L361">
        <v>0</v>
      </c>
      <c r="M361">
        <v>23</v>
      </c>
      <c r="N361">
        <v>9</v>
      </c>
      <c r="O361"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300"/>
      <c r="AU361" s="93"/>
      <c r="AV361" s="300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">
        <v>1342</v>
      </c>
      <c r="B362" t="s">
        <v>37</v>
      </c>
      <c r="C362" s="52" t="s">
        <v>1343</v>
      </c>
      <c r="D362" s="52" t="s">
        <v>1343</v>
      </c>
      <c r="E362">
        <v>170</v>
      </c>
      <c r="F362">
        <v>179</v>
      </c>
      <c r="G362" s="64">
        <v>45048</v>
      </c>
      <c r="H362">
        <v>300</v>
      </c>
      <c r="I362">
        <v>300</v>
      </c>
      <c r="J362">
        <v>4</v>
      </c>
      <c r="K362">
        <v>2</v>
      </c>
      <c r="L362">
        <v>0</v>
      </c>
      <c r="M362">
        <v>24</v>
      </c>
      <c r="N362">
        <v>11</v>
      </c>
      <c r="O362"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300"/>
      <c r="AU362" s="93"/>
      <c r="AV362" s="300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">
        <v>1344</v>
      </c>
      <c r="B363" t="s">
        <v>37</v>
      </c>
      <c r="C363" s="52" t="s">
        <v>1343</v>
      </c>
      <c r="D363" s="52" t="s">
        <v>1343</v>
      </c>
      <c r="E363">
        <v>80</v>
      </c>
      <c r="F363">
        <v>90</v>
      </c>
      <c r="G363" s="64">
        <v>45048</v>
      </c>
      <c r="H363">
        <v>600</v>
      </c>
      <c r="I363">
        <v>600</v>
      </c>
      <c r="J363">
        <v>1</v>
      </c>
      <c r="K363">
        <v>0</v>
      </c>
      <c r="L363">
        <v>3</v>
      </c>
      <c r="M363">
        <v>17</v>
      </c>
      <c r="N363">
        <v>12</v>
      </c>
      <c r="O363">
        <v>0</v>
      </c>
      <c r="P363" s="69">
        <f t="shared" si="54"/>
        <v>31.25</v>
      </c>
      <c r="Q363" s="297" t="s">
        <v>338</v>
      </c>
      <c r="R363" s="299">
        <v>1.5</v>
      </c>
      <c r="S363" s="93"/>
      <c r="T363" s="80"/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300"/>
      <c r="AU363" s="93"/>
      <c r="AV363" s="300"/>
      <c r="AW363" s="93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">
        <v>1345</v>
      </c>
      <c r="B364" t="s">
        <v>37</v>
      </c>
      <c r="C364" s="52" t="s">
        <v>1343</v>
      </c>
      <c r="D364" s="52" t="s">
        <v>1343</v>
      </c>
      <c r="E364">
        <v>10</v>
      </c>
      <c r="F364">
        <v>10</v>
      </c>
      <c r="G364" s="64">
        <v>45048</v>
      </c>
      <c r="H364">
        <v>600</v>
      </c>
      <c r="I364">
        <v>600</v>
      </c>
      <c r="J364">
        <v>6</v>
      </c>
      <c r="K364">
        <v>6</v>
      </c>
      <c r="L364">
        <v>6</v>
      </c>
      <c r="M364">
        <v>22</v>
      </c>
      <c r="N364">
        <v>4</v>
      </c>
      <c r="O364"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300"/>
      <c r="AU364" s="93"/>
      <c r="AV364" s="300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">
        <v>1346</v>
      </c>
      <c r="B365">
        <v>0</v>
      </c>
      <c r="C365" s="52" t="s">
        <v>1347</v>
      </c>
      <c r="D365" s="52" t="s">
        <v>1347</v>
      </c>
      <c r="E365">
        <v>413.05000000000007</v>
      </c>
      <c r="F365">
        <v>413.05000000000007</v>
      </c>
      <c r="G365" s="64">
        <v>45335</v>
      </c>
      <c r="H365">
        <v>600</v>
      </c>
      <c r="I365">
        <v>600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69">
        <f t="shared" si="54"/>
        <v>129.16666666666666</v>
      </c>
      <c r="Q365" s="92" t="s">
        <v>1348</v>
      </c>
      <c r="R365" s="80">
        <v>6.2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300"/>
      <c r="AU365" s="93"/>
      <c r="AV365" s="300"/>
      <c r="AW365" s="93"/>
      <c r="AX365" s="66">
        <f t="shared" si="50"/>
        <v>6.2</v>
      </c>
      <c r="AY365" s="78">
        <f t="shared" si="51"/>
        <v>129.16666666666666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477.63333333333338</v>
      </c>
      <c r="BC365" s="53">
        <f t="shared" si="53"/>
        <v>477.63333333333338</v>
      </c>
    </row>
    <row r="366" spans="1:55" ht="13.15">
      <c r="A366" t="s">
        <v>1349</v>
      </c>
      <c r="B366" t="s">
        <v>81</v>
      </c>
      <c r="C366" s="52" t="s">
        <v>1350</v>
      </c>
      <c r="D366" s="52" t="s">
        <v>1350</v>
      </c>
      <c r="E366">
        <v>120</v>
      </c>
      <c r="F366">
        <v>140</v>
      </c>
      <c r="G366" s="64" t="s">
        <v>1351</v>
      </c>
      <c r="H366">
        <v>300</v>
      </c>
      <c r="I366">
        <v>300</v>
      </c>
      <c r="J366">
        <v>4</v>
      </c>
      <c r="K366">
        <v>1</v>
      </c>
      <c r="L366">
        <v>0</v>
      </c>
      <c r="M366">
        <v>5</v>
      </c>
      <c r="N366">
        <v>6</v>
      </c>
      <c r="O366">
        <v>0</v>
      </c>
      <c r="P366" s="69">
        <f t="shared" si="54"/>
        <v>10.416666666666666</v>
      </c>
      <c r="Q366" s="81" t="s">
        <v>464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300"/>
      <c r="AU366" s="93"/>
      <c r="AV366" s="300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">
        <v>1352</v>
      </c>
      <c r="B367" t="s">
        <v>81</v>
      </c>
      <c r="C367" s="52" t="s">
        <v>1350</v>
      </c>
      <c r="D367" s="52" t="s">
        <v>1350</v>
      </c>
      <c r="E367">
        <v>20</v>
      </c>
      <c r="F367">
        <v>20</v>
      </c>
      <c r="G367" s="64">
        <v>41866</v>
      </c>
      <c r="H367">
        <v>300</v>
      </c>
      <c r="I367">
        <v>300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69">
        <f t="shared" si="54"/>
        <v>52.083333333333336</v>
      </c>
      <c r="Q367" s="81" t="s">
        <v>465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300"/>
      <c r="AU367" s="93"/>
      <c r="AV367" s="300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">
        <v>1353</v>
      </c>
      <c r="B368" t="s">
        <v>85</v>
      </c>
      <c r="C368" s="52" t="s">
        <v>1354</v>
      </c>
      <c r="D368" s="52" t="s">
        <v>1354</v>
      </c>
      <c r="E368">
        <v>5</v>
      </c>
      <c r="F368">
        <v>5</v>
      </c>
      <c r="G368" s="64">
        <v>42871</v>
      </c>
      <c r="H368">
        <v>300</v>
      </c>
      <c r="I368">
        <v>300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300"/>
      <c r="AU368" s="93"/>
      <c r="AV368" s="300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">
        <v>1355</v>
      </c>
      <c r="B369" t="s">
        <v>1356</v>
      </c>
      <c r="C369" s="52" t="s">
        <v>1357</v>
      </c>
      <c r="D369" s="52" t="s">
        <v>1357</v>
      </c>
      <c r="E369">
        <v>3.9</v>
      </c>
      <c r="F369">
        <v>1.1000000000000001</v>
      </c>
      <c r="G369" s="64">
        <v>45335</v>
      </c>
      <c r="H369">
        <v>360</v>
      </c>
      <c r="I369">
        <v>360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69">
        <f t="shared" si="54"/>
        <v>243.75</v>
      </c>
      <c r="Q369" s="81" t="s">
        <v>1358</v>
      </c>
      <c r="R369" s="82">
        <v>11.7</v>
      </c>
      <c r="S369" s="81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300"/>
      <c r="AU369" s="93"/>
      <c r="AV369" s="300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125.77500000000001</v>
      </c>
      <c r="BC369" s="53">
        <f t="shared" si="53"/>
        <v>122.97499999999999</v>
      </c>
    </row>
    <row r="370" spans="1:55" ht="13.15">
      <c r="A370" t="s">
        <v>1359</v>
      </c>
      <c r="B370" t="s">
        <v>1356</v>
      </c>
      <c r="C370" s="52" t="s">
        <v>1357</v>
      </c>
      <c r="D370" s="52" t="s">
        <v>1357</v>
      </c>
      <c r="E370">
        <v>60</v>
      </c>
      <c r="F370">
        <v>50</v>
      </c>
      <c r="G370" s="64">
        <v>44571</v>
      </c>
      <c r="H370">
        <v>300</v>
      </c>
      <c r="I370">
        <v>300</v>
      </c>
      <c r="J370">
        <v>6</v>
      </c>
      <c r="K370">
        <v>7</v>
      </c>
      <c r="L370">
        <v>0</v>
      </c>
      <c r="M370">
        <v>14</v>
      </c>
      <c r="N370">
        <v>3</v>
      </c>
      <c r="O370">
        <v>0</v>
      </c>
      <c r="P370" s="69">
        <f t="shared" si="54"/>
        <v>20.833333333333332</v>
      </c>
      <c r="Q370" s="106" t="s">
        <v>490</v>
      </c>
      <c r="R370" s="256">
        <v>1</v>
      </c>
      <c r="S370" s="93"/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300"/>
      <c r="AU370" s="93"/>
      <c r="AV370" s="300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">
        <v>1360</v>
      </c>
      <c r="B371" t="s">
        <v>1356</v>
      </c>
      <c r="C371" s="52" t="s">
        <v>1357</v>
      </c>
      <c r="D371" s="52" t="s">
        <v>1357</v>
      </c>
      <c r="E371">
        <v>0</v>
      </c>
      <c r="F371">
        <v>0</v>
      </c>
      <c r="G371" s="64">
        <v>44397</v>
      </c>
      <c r="H371">
        <v>300</v>
      </c>
      <c r="I371">
        <v>300</v>
      </c>
      <c r="J371">
        <v>6</v>
      </c>
      <c r="K371">
        <v>6</v>
      </c>
      <c r="L371">
        <v>12</v>
      </c>
      <c r="M371">
        <v>22</v>
      </c>
      <c r="N371">
        <v>10</v>
      </c>
      <c r="O371"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300"/>
      <c r="AU371" s="93"/>
      <c r="AV371" s="300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">
        <v>1361</v>
      </c>
      <c r="B372" t="s">
        <v>90</v>
      </c>
      <c r="C372" s="52" t="s">
        <v>1362</v>
      </c>
      <c r="D372" s="52" t="s">
        <v>1362</v>
      </c>
      <c r="E372">
        <v>0</v>
      </c>
      <c r="F372">
        <v>3.4</v>
      </c>
      <c r="G372" s="64">
        <v>45337</v>
      </c>
      <c r="H372">
        <v>360</v>
      </c>
      <c r="I372">
        <v>360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9">
        <f t="shared" si="54"/>
        <v>243.75</v>
      </c>
      <c r="Q372" s="81" t="s">
        <v>481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300"/>
      <c r="AU372" s="93"/>
      <c r="AV372" s="300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125.27500000000001</v>
      </c>
    </row>
    <row r="373" spans="1:55" ht="13.15">
      <c r="A373" t="s">
        <v>1363</v>
      </c>
      <c r="B373" t="s">
        <v>90</v>
      </c>
      <c r="C373" s="52" t="s">
        <v>1364</v>
      </c>
      <c r="D373" s="52" t="s">
        <v>1364</v>
      </c>
      <c r="E373">
        <v>0</v>
      </c>
      <c r="F373">
        <v>0</v>
      </c>
      <c r="G373" s="64">
        <v>44382</v>
      </c>
      <c r="H373" t="s">
        <v>1365</v>
      </c>
      <c r="I373" t="s">
        <v>1365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300"/>
      <c r="AU373" s="93"/>
      <c r="AV373" s="300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">
        <v>1366</v>
      </c>
      <c r="B374" t="s">
        <v>90</v>
      </c>
      <c r="C374" s="52" t="s">
        <v>1364</v>
      </c>
      <c r="D374" s="52" t="s">
        <v>1364</v>
      </c>
      <c r="E374">
        <v>30</v>
      </c>
      <c r="F374">
        <v>45</v>
      </c>
      <c r="G374" s="64">
        <v>44938</v>
      </c>
      <c r="H374">
        <v>300</v>
      </c>
      <c r="I374">
        <v>300</v>
      </c>
      <c r="J374">
        <v>5</v>
      </c>
      <c r="K374">
        <v>6</v>
      </c>
      <c r="L374">
        <v>2</v>
      </c>
      <c r="M374">
        <v>18</v>
      </c>
      <c r="N374">
        <v>10</v>
      </c>
      <c r="O374">
        <v>0</v>
      </c>
      <c r="P374" s="69">
        <f t="shared" si="60"/>
        <v>20.833333333333332</v>
      </c>
      <c r="Q374" s="106" t="s">
        <v>482</v>
      </c>
      <c r="R374" s="256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300"/>
      <c r="AU374" s="93"/>
      <c r="AV374" s="300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55.416666666666664</v>
      </c>
    </row>
    <row r="375" spans="1:55" ht="13.15">
      <c r="A375" t="s">
        <v>1367</v>
      </c>
      <c r="B375" t="s">
        <v>114</v>
      </c>
      <c r="C375" s="52" t="s">
        <v>1368</v>
      </c>
      <c r="D375" s="52" t="s">
        <v>1368</v>
      </c>
      <c r="E375">
        <v>0</v>
      </c>
      <c r="F375">
        <v>0</v>
      </c>
      <c r="G375" s="64">
        <v>0</v>
      </c>
      <c r="H375">
        <v>300</v>
      </c>
      <c r="I375">
        <v>300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300"/>
      <c r="AU375" s="93"/>
      <c r="AV375" s="300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">
        <v>1369</v>
      </c>
      <c r="B376" t="s">
        <v>124</v>
      </c>
      <c r="C376" s="52" t="s">
        <v>1370</v>
      </c>
      <c r="D376" s="52" t="s">
        <v>1370</v>
      </c>
      <c r="E376">
        <v>90</v>
      </c>
      <c r="F376">
        <v>90</v>
      </c>
      <c r="G376" s="64">
        <v>44999</v>
      </c>
      <c r="H376">
        <v>300</v>
      </c>
      <c r="I376">
        <v>300</v>
      </c>
      <c r="J376">
        <v>5</v>
      </c>
      <c r="K376">
        <v>5</v>
      </c>
      <c r="L376">
        <v>0</v>
      </c>
      <c r="M376">
        <v>10</v>
      </c>
      <c r="N376">
        <v>9</v>
      </c>
      <c r="O376">
        <v>0</v>
      </c>
      <c r="P376" s="69">
        <f t="shared" si="60"/>
        <v>62.5</v>
      </c>
      <c r="Q376" s="85" t="s">
        <v>533</v>
      </c>
      <c r="R376" s="256">
        <v>2</v>
      </c>
      <c r="S376" s="81" t="s">
        <v>534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300"/>
      <c r="AU376" s="93"/>
      <c r="AV376" s="300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">
        <v>1371</v>
      </c>
      <c r="B377" t="s">
        <v>125</v>
      </c>
      <c r="C377" s="52" t="s">
        <v>1372</v>
      </c>
      <c r="D377" s="52" t="s">
        <v>1372</v>
      </c>
      <c r="E377">
        <v>1.5</v>
      </c>
      <c r="F377">
        <v>2.2000000000000002</v>
      </c>
      <c r="G377" s="64">
        <v>45335</v>
      </c>
      <c r="H377">
        <v>360</v>
      </c>
      <c r="I377">
        <v>360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9">
        <f t="shared" si="60"/>
        <v>245.83333333333334</v>
      </c>
      <c r="Q377" s="81" t="s">
        <v>535</v>
      </c>
      <c r="R377" s="82">
        <v>11.8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300"/>
      <c r="AU377" s="93"/>
      <c r="AV377" s="300"/>
      <c r="AW377" s="93"/>
      <c r="AX377" s="66">
        <f t="shared" si="56"/>
        <v>11.8</v>
      </c>
      <c r="AY377" s="78">
        <f t="shared" si="57"/>
        <v>245.83333333333334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124.41666666666667</v>
      </c>
      <c r="BC377" s="53">
        <f t="shared" si="59"/>
        <v>125.11666666666667</v>
      </c>
    </row>
    <row r="378" spans="1:55" ht="13.15">
      <c r="A378" t="s">
        <v>1373</v>
      </c>
      <c r="B378" t="s">
        <v>130</v>
      </c>
      <c r="C378" s="52" t="s">
        <v>1374</v>
      </c>
      <c r="D378" s="52" t="s">
        <v>1374</v>
      </c>
      <c r="E378">
        <v>0</v>
      </c>
      <c r="F378">
        <v>4.4000000000000004</v>
      </c>
      <c r="G378" s="64">
        <v>45335</v>
      </c>
      <c r="H378">
        <v>360</v>
      </c>
      <c r="I378">
        <v>360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9">
        <f t="shared" si="60"/>
        <v>243.75</v>
      </c>
      <c r="Q378" s="81" t="s">
        <v>1375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300"/>
      <c r="AU378" s="93"/>
      <c r="AV378" s="300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126.27500000000001</v>
      </c>
    </row>
    <row r="379" spans="1:55" ht="13.15">
      <c r="A379" t="s">
        <v>1376</v>
      </c>
      <c r="B379" t="s">
        <v>130</v>
      </c>
      <c r="C379" s="52" t="s">
        <v>1374</v>
      </c>
      <c r="D379" s="52" t="s">
        <v>1374</v>
      </c>
      <c r="E379">
        <v>0</v>
      </c>
      <c r="F379">
        <v>0</v>
      </c>
      <c r="G379" s="64">
        <v>44260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300"/>
      <c r="AU379" s="93"/>
      <c r="AV379" s="300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">
        <v>1377</v>
      </c>
      <c r="B380" t="s">
        <v>130</v>
      </c>
      <c r="C380" s="52" t="s">
        <v>1374</v>
      </c>
      <c r="D380" s="52" t="s">
        <v>1374</v>
      </c>
      <c r="E380">
        <v>20</v>
      </c>
      <c r="F380">
        <v>20</v>
      </c>
      <c r="G380" s="64">
        <v>44399</v>
      </c>
      <c r="H380">
        <v>300</v>
      </c>
      <c r="I380">
        <v>300</v>
      </c>
      <c r="J380">
        <v>6</v>
      </c>
      <c r="K380">
        <v>4</v>
      </c>
      <c r="L380">
        <v>8</v>
      </c>
      <c r="M380">
        <v>20</v>
      </c>
      <c r="N380">
        <v>12</v>
      </c>
      <c r="O380">
        <v>0</v>
      </c>
      <c r="P380" s="69">
        <f t="shared" si="60"/>
        <v>0</v>
      </c>
      <c r="Q380" s="92"/>
      <c r="R380" s="80"/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300"/>
      <c r="AU380" s="93"/>
      <c r="AV380" s="300"/>
      <c r="AW380" s="93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">
        <v>1378</v>
      </c>
      <c r="B381" t="s">
        <v>194</v>
      </c>
      <c r="C381" s="52" t="s">
        <v>1379</v>
      </c>
      <c r="D381" s="52" t="s">
        <v>1379</v>
      </c>
      <c r="E381">
        <v>30.5</v>
      </c>
      <c r="F381">
        <v>15.8</v>
      </c>
      <c r="G381" s="64">
        <v>45335</v>
      </c>
      <c r="H381">
        <v>360</v>
      </c>
      <c r="I381">
        <v>360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9">
        <f t="shared" si="60"/>
        <v>300</v>
      </c>
      <c r="Q381" s="81" t="s">
        <v>661</v>
      </c>
      <c r="R381" s="82">
        <v>2.5</v>
      </c>
      <c r="S381" s="81" t="s">
        <v>1380</v>
      </c>
      <c r="T381" s="82">
        <v>11.9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300"/>
      <c r="AU381" s="93"/>
      <c r="AV381" s="300"/>
      <c r="AW381" s="93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180.5</v>
      </c>
      <c r="BC381" s="53">
        <f t="shared" si="59"/>
        <v>165.8</v>
      </c>
    </row>
    <row r="382" spans="1:55" ht="13.15">
      <c r="A382" t="s">
        <v>1381</v>
      </c>
      <c r="B382" t="s">
        <v>194</v>
      </c>
      <c r="C382" s="52" t="s">
        <v>1379</v>
      </c>
      <c r="D382" s="52" t="s">
        <v>1379</v>
      </c>
      <c r="E382">
        <v>40</v>
      </c>
      <c r="F382">
        <v>20</v>
      </c>
      <c r="G382" s="64">
        <v>44398</v>
      </c>
      <c r="H382">
        <v>300</v>
      </c>
      <c r="I382">
        <v>300</v>
      </c>
      <c r="J382">
        <v>6</v>
      </c>
      <c r="K382">
        <v>7</v>
      </c>
      <c r="L382">
        <v>0</v>
      </c>
      <c r="M382">
        <v>19</v>
      </c>
      <c r="N382">
        <v>8</v>
      </c>
      <c r="O382"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300"/>
      <c r="AU382" s="93"/>
      <c r="AV382" s="300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">
        <v>1382</v>
      </c>
      <c r="B383" t="s">
        <v>200</v>
      </c>
      <c r="C383" s="52" t="s">
        <v>1383</v>
      </c>
      <c r="D383" s="52" t="s">
        <v>1383</v>
      </c>
      <c r="E383">
        <v>7.3</v>
      </c>
      <c r="F383">
        <v>0</v>
      </c>
      <c r="G383" s="64">
        <v>45335</v>
      </c>
      <c r="H383">
        <v>360</v>
      </c>
      <c r="I383">
        <v>360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9">
        <f t="shared" si="60"/>
        <v>406.25</v>
      </c>
      <c r="Q383" s="81" t="s">
        <v>664</v>
      </c>
      <c r="R383" s="82">
        <v>4.7</v>
      </c>
      <c r="S383" s="81" t="s">
        <v>1384</v>
      </c>
      <c r="T383" s="82">
        <v>11.9</v>
      </c>
      <c r="U383" s="85" t="s">
        <v>666</v>
      </c>
      <c r="V383" s="256">
        <v>2.9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300"/>
      <c r="AU383" s="93"/>
      <c r="AV383" s="300"/>
      <c r="AW383" s="93"/>
      <c r="AX383" s="66">
        <f t="shared" si="56"/>
        <v>19.5</v>
      </c>
      <c r="AY383" s="78">
        <f t="shared" si="57"/>
        <v>406.25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210.42500000000001</v>
      </c>
      <c r="BC383" s="53">
        <f t="shared" si="59"/>
        <v>203.125</v>
      </c>
    </row>
    <row r="384" spans="1:55" ht="13.15">
      <c r="A384" t="s">
        <v>1385</v>
      </c>
      <c r="B384" t="s">
        <v>200</v>
      </c>
      <c r="C384" s="52" t="s">
        <v>1383</v>
      </c>
      <c r="D384" s="52" t="s">
        <v>1383</v>
      </c>
      <c r="E384">
        <v>100</v>
      </c>
      <c r="F384">
        <v>25</v>
      </c>
      <c r="G384" s="64">
        <v>44999</v>
      </c>
      <c r="H384">
        <v>300</v>
      </c>
      <c r="I384">
        <v>300</v>
      </c>
      <c r="J384">
        <v>0</v>
      </c>
      <c r="K384">
        <v>0</v>
      </c>
      <c r="L384">
        <v>3</v>
      </c>
      <c r="M384">
        <v>14</v>
      </c>
      <c r="N384">
        <v>10</v>
      </c>
      <c r="O384">
        <v>0</v>
      </c>
      <c r="P384" s="69">
        <f t="shared" si="60"/>
        <v>20.833333333333332</v>
      </c>
      <c r="Q384" s="101" t="s">
        <v>667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300"/>
      <c r="AU384" s="93"/>
      <c r="AV384" s="300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">
        <v>1386</v>
      </c>
      <c r="B385" t="s">
        <v>200</v>
      </c>
      <c r="C385" s="52" t="s">
        <v>1383</v>
      </c>
      <c r="D385" s="52" t="s">
        <v>1383</v>
      </c>
      <c r="E385">
        <v>55</v>
      </c>
      <c r="F385">
        <v>50</v>
      </c>
      <c r="G385" s="64">
        <v>44999</v>
      </c>
      <c r="H385">
        <v>300</v>
      </c>
      <c r="I385">
        <v>300</v>
      </c>
      <c r="J385">
        <v>6</v>
      </c>
      <c r="K385">
        <v>0</v>
      </c>
      <c r="L385">
        <v>1</v>
      </c>
      <c r="M385">
        <v>22</v>
      </c>
      <c r="N385">
        <v>11</v>
      </c>
      <c r="O385">
        <v>1</v>
      </c>
      <c r="P385" s="69">
        <f t="shared" si="60"/>
        <v>20.833333333333332</v>
      </c>
      <c r="Q385" s="106" t="s">
        <v>1387</v>
      </c>
      <c r="R385" s="256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300"/>
      <c r="AU385" s="93"/>
      <c r="AV385" s="300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">
        <v>1388</v>
      </c>
      <c r="B386" t="s">
        <v>197</v>
      </c>
      <c r="C386" s="52" t="s">
        <v>1389</v>
      </c>
      <c r="D386" s="52" t="s">
        <v>1389</v>
      </c>
      <c r="E386">
        <v>60</v>
      </c>
      <c r="F386">
        <v>45</v>
      </c>
      <c r="G386" s="64">
        <v>45070</v>
      </c>
      <c r="H386">
        <v>300</v>
      </c>
      <c r="I386">
        <v>300</v>
      </c>
      <c r="J386">
        <v>4</v>
      </c>
      <c r="K386">
        <v>2</v>
      </c>
      <c r="L386">
        <v>0</v>
      </c>
      <c r="M386">
        <v>20</v>
      </c>
      <c r="N386">
        <v>8</v>
      </c>
      <c r="O386">
        <v>0</v>
      </c>
      <c r="P386" s="69">
        <f t="shared" si="60"/>
        <v>83.333333333333329</v>
      </c>
      <c r="Q386" s="81" t="s">
        <v>662</v>
      </c>
      <c r="R386" s="82">
        <v>2</v>
      </c>
      <c r="S386" s="99" t="s">
        <v>663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300"/>
      <c r="AU386" s="93"/>
      <c r="AV386" s="300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">
        <v>1390</v>
      </c>
      <c r="B387" t="s">
        <v>196</v>
      </c>
      <c r="C387" s="52" t="s">
        <v>1389</v>
      </c>
      <c r="D387" s="52" t="s">
        <v>1389</v>
      </c>
      <c r="E387">
        <v>10</v>
      </c>
      <c r="F387">
        <v>20</v>
      </c>
      <c r="G387" s="64">
        <v>45070</v>
      </c>
      <c r="H387">
        <v>300</v>
      </c>
      <c r="I387">
        <v>300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300"/>
      <c r="AU387" s="93"/>
      <c r="AV387" s="300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">
        <v>1391</v>
      </c>
      <c r="B388" t="s">
        <v>197</v>
      </c>
      <c r="C388" s="52" t="s">
        <v>1389</v>
      </c>
      <c r="D388" s="52" t="s">
        <v>1389</v>
      </c>
      <c r="E388">
        <v>15</v>
      </c>
      <c r="F388">
        <v>0</v>
      </c>
      <c r="G388" s="64">
        <v>45070</v>
      </c>
      <c r="H388">
        <v>600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3</v>
      </c>
      <c r="O388"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300"/>
      <c r="AU388" s="93"/>
      <c r="AV388" s="300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">
        <v>1392</v>
      </c>
      <c r="B389" t="s">
        <v>197</v>
      </c>
      <c r="C389" s="52" t="s">
        <v>1389</v>
      </c>
      <c r="D389" s="52" t="s">
        <v>1389</v>
      </c>
      <c r="E389">
        <v>25</v>
      </c>
      <c r="F389">
        <v>0</v>
      </c>
      <c r="G389" s="64">
        <v>45070</v>
      </c>
      <c r="H389">
        <v>600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3</v>
      </c>
      <c r="O389"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300"/>
      <c r="AU389" s="93"/>
      <c r="AV389" s="300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">
        <v>1393</v>
      </c>
      <c r="B390" t="s">
        <v>197</v>
      </c>
      <c r="C390" s="52" t="s">
        <v>1389</v>
      </c>
      <c r="D390" s="52" t="s">
        <v>1394</v>
      </c>
      <c r="E390">
        <v>10</v>
      </c>
      <c r="F390">
        <v>0</v>
      </c>
      <c r="G390" s="64">
        <v>45070</v>
      </c>
      <c r="H390">
        <v>600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9</v>
      </c>
      <c r="O390"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300"/>
      <c r="AU390" s="93"/>
      <c r="AV390" s="300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">
        <v>1395</v>
      </c>
      <c r="B391" t="s">
        <v>197</v>
      </c>
      <c r="C391" s="52" t="s">
        <v>1389</v>
      </c>
      <c r="D391" s="52" t="s">
        <v>1396</v>
      </c>
      <c r="E391">
        <v>0</v>
      </c>
      <c r="F391">
        <v>0</v>
      </c>
      <c r="G391" s="64">
        <v>45070</v>
      </c>
      <c r="H391">
        <v>600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12</v>
      </c>
      <c r="O391"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300"/>
      <c r="AU391" s="93"/>
      <c r="AV391" s="300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">
        <v>1397</v>
      </c>
      <c r="B392" t="s">
        <v>196</v>
      </c>
      <c r="C392" s="52" t="s">
        <v>1389</v>
      </c>
      <c r="D392" s="52" t="s">
        <v>1398</v>
      </c>
      <c r="E392">
        <v>80</v>
      </c>
      <c r="F392">
        <v>80</v>
      </c>
      <c r="G392" s="64">
        <v>45070</v>
      </c>
      <c r="H392">
        <v>300</v>
      </c>
      <c r="I392">
        <v>300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300"/>
      <c r="AU392" s="93"/>
      <c r="AV392" s="300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">
        <v>1399</v>
      </c>
      <c r="B393" t="s">
        <v>220</v>
      </c>
      <c r="C393" s="52" t="s">
        <v>1400</v>
      </c>
      <c r="D393" s="52" t="s">
        <v>1400</v>
      </c>
      <c r="E393">
        <v>154.6</v>
      </c>
      <c r="F393">
        <v>141.90000000000003</v>
      </c>
      <c r="G393" s="64">
        <v>45335</v>
      </c>
      <c r="H393">
        <v>360</v>
      </c>
      <c r="I393">
        <v>360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69">
        <f t="shared" si="60"/>
        <v>354.16666666666669</v>
      </c>
      <c r="Q393" s="81" t="s">
        <v>692</v>
      </c>
      <c r="R393" s="82">
        <v>2.4</v>
      </c>
      <c r="S393" s="81" t="s">
        <v>693</v>
      </c>
      <c r="T393" s="82">
        <v>0.7</v>
      </c>
      <c r="U393" s="81" t="s">
        <v>694</v>
      </c>
      <c r="V393" s="82">
        <v>2.1</v>
      </c>
      <c r="W393" s="81" t="s">
        <v>695</v>
      </c>
      <c r="X393" s="82">
        <v>3.2</v>
      </c>
      <c r="Y393" s="81" t="s">
        <v>696</v>
      </c>
      <c r="Z393" s="82">
        <v>1.3</v>
      </c>
      <c r="AA393" s="81" t="s">
        <v>697</v>
      </c>
      <c r="AB393" s="281">
        <v>3.3</v>
      </c>
      <c r="AC393" s="81" t="s">
        <v>686</v>
      </c>
      <c r="AD393" s="281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300"/>
      <c r="AU393" s="93"/>
      <c r="AV393" s="300"/>
      <c r="AW393" s="93"/>
      <c r="AX393" s="66">
        <f t="shared" si="56"/>
        <v>17</v>
      </c>
      <c r="AY393" s="78">
        <f t="shared" si="57"/>
        <v>354.16666666666669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331.68333333333334</v>
      </c>
      <c r="BC393" s="53">
        <f t="shared" si="59"/>
        <v>318.98333333333335</v>
      </c>
    </row>
    <row r="394" spans="1:55" ht="13.15">
      <c r="A394" t="s">
        <v>1401</v>
      </c>
      <c r="B394" t="s">
        <v>219</v>
      </c>
      <c r="C394" s="52" t="s">
        <v>1400</v>
      </c>
      <c r="D394" s="52" t="s">
        <v>1400</v>
      </c>
      <c r="E394">
        <v>200</v>
      </c>
      <c r="F394">
        <v>200</v>
      </c>
      <c r="G394" s="64">
        <v>45014</v>
      </c>
      <c r="H394">
        <v>300</v>
      </c>
      <c r="I394">
        <v>300</v>
      </c>
      <c r="J394">
        <v>3</v>
      </c>
      <c r="K394">
        <v>1</v>
      </c>
      <c r="L394">
        <v>7</v>
      </c>
      <c r="M394">
        <v>3</v>
      </c>
      <c r="N394">
        <v>0</v>
      </c>
      <c r="O394">
        <v>4</v>
      </c>
      <c r="P394" s="69">
        <f t="shared" si="60"/>
        <v>312.5</v>
      </c>
      <c r="Q394" s="257" t="s">
        <v>688</v>
      </c>
      <c r="R394" s="270">
        <v>6</v>
      </c>
      <c r="S394" s="106" t="s">
        <v>689</v>
      </c>
      <c r="T394" s="256">
        <v>3</v>
      </c>
      <c r="U394" s="85" t="s">
        <v>690</v>
      </c>
      <c r="V394" s="86">
        <v>3</v>
      </c>
      <c r="W394" s="85" t="s">
        <v>691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300"/>
      <c r="AU394" s="93"/>
      <c r="AV394" s="300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">
        <v>1402</v>
      </c>
      <c r="B395" t="s">
        <v>220</v>
      </c>
      <c r="C395" s="52" t="s">
        <v>1400</v>
      </c>
      <c r="D395" s="52" t="s">
        <v>1400</v>
      </c>
      <c r="E395">
        <v>245</v>
      </c>
      <c r="F395">
        <v>245</v>
      </c>
      <c r="G395" s="64">
        <v>45009</v>
      </c>
      <c r="H395">
        <v>300</v>
      </c>
      <c r="I395">
        <v>300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300"/>
      <c r="AU395" s="93"/>
      <c r="AV395" s="300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">
        <v>1403</v>
      </c>
      <c r="B396" t="s">
        <v>219</v>
      </c>
      <c r="C396" s="52" t="s">
        <v>1400</v>
      </c>
      <c r="D396" s="52" t="s">
        <v>1400</v>
      </c>
      <c r="E396">
        <v>160</v>
      </c>
      <c r="F396">
        <v>160</v>
      </c>
      <c r="G396" s="64">
        <v>44844</v>
      </c>
      <c r="H396">
        <v>300</v>
      </c>
      <c r="I396">
        <v>300</v>
      </c>
      <c r="J396">
        <v>4</v>
      </c>
      <c r="K396">
        <v>4</v>
      </c>
      <c r="L396">
        <v>0</v>
      </c>
      <c r="M396">
        <v>9</v>
      </c>
      <c r="N396">
        <v>8</v>
      </c>
      <c r="O396">
        <v>0</v>
      </c>
      <c r="P396" s="69">
        <f t="shared" si="60"/>
        <v>239.58333333333334</v>
      </c>
      <c r="Q396" s="303" t="s">
        <v>1404</v>
      </c>
      <c r="R396" s="304">
        <v>2</v>
      </c>
      <c r="S396" s="305" t="s">
        <v>687</v>
      </c>
      <c r="T396" s="304">
        <v>2</v>
      </c>
      <c r="U396" s="106" t="s">
        <v>1405</v>
      </c>
      <c r="V396" s="256">
        <v>7.5</v>
      </c>
      <c r="W396" s="99"/>
      <c r="X396" s="256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300"/>
      <c r="AU396" s="93"/>
      <c r="AV396" s="300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">
        <v>1406</v>
      </c>
      <c r="B397" t="s">
        <v>219</v>
      </c>
      <c r="C397" s="52" t="s">
        <v>1400</v>
      </c>
      <c r="D397" s="52" t="s">
        <v>1400</v>
      </c>
      <c r="E397">
        <v>20</v>
      </c>
      <c r="F397">
        <v>20</v>
      </c>
      <c r="G397" s="64">
        <v>44844</v>
      </c>
      <c r="H397">
        <v>300</v>
      </c>
      <c r="I397">
        <v>300</v>
      </c>
      <c r="J397">
        <v>6</v>
      </c>
      <c r="K397">
        <v>4</v>
      </c>
      <c r="L397">
        <v>0</v>
      </c>
      <c r="M397">
        <v>24</v>
      </c>
      <c r="N397">
        <v>11</v>
      </c>
      <c r="O397">
        <v>0</v>
      </c>
      <c r="P397" s="69">
        <f t="shared" si="60"/>
        <v>104.16666666666667</v>
      </c>
      <c r="Q397" s="92" t="s">
        <v>1407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300"/>
      <c r="AU397" s="93"/>
      <c r="AV397" s="300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">
        <v>1408</v>
      </c>
      <c r="B398" t="s">
        <v>219</v>
      </c>
      <c r="C398" s="52" t="s">
        <v>1400</v>
      </c>
      <c r="D398" s="52" t="s">
        <v>1400</v>
      </c>
      <c r="E398">
        <v>160</v>
      </c>
      <c r="F398" t="s">
        <v>1409</v>
      </c>
      <c r="G398" s="64">
        <v>44844</v>
      </c>
      <c r="H398">
        <v>300</v>
      </c>
      <c r="I398">
        <v>300</v>
      </c>
      <c r="J398">
        <v>1</v>
      </c>
      <c r="K398">
        <v>2</v>
      </c>
      <c r="L398">
        <v>0</v>
      </c>
      <c r="M398">
        <v>9</v>
      </c>
      <c r="N398">
        <v>6</v>
      </c>
      <c r="O398">
        <v>0</v>
      </c>
      <c r="P398" s="69">
        <f t="shared" si="60"/>
        <v>10.416666666666666</v>
      </c>
      <c r="Q398" s="92" t="s">
        <v>685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300"/>
      <c r="AU398" s="93"/>
      <c r="AV398" s="300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">
        <v>1410</v>
      </c>
      <c r="B399" t="s">
        <v>219</v>
      </c>
      <c r="C399" s="52" t="s">
        <v>1400</v>
      </c>
      <c r="D399" s="52" t="s">
        <v>1400</v>
      </c>
      <c r="E399">
        <v>30</v>
      </c>
      <c r="F399" t="s">
        <v>1409</v>
      </c>
      <c r="G399" s="64">
        <v>44844</v>
      </c>
      <c r="H399">
        <v>300</v>
      </c>
      <c r="I399">
        <v>300</v>
      </c>
      <c r="J399">
        <v>6</v>
      </c>
      <c r="K399">
        <v>6</v>
      </c>
      <c r="L399">
        <v>0</v>
      </c>
      <c r="M399">
        <v>10</v>
      </c>
      <c r="N399">
        <v>9</v>
      </c>
      <c r="O399">
        <v>0</v>
      </c>
      <c r="P399" s="69">
        <f t="shared" si="60"/>
        <v>250</v>
      </c>
      <c r="Q399" s="81" t="s">
        <v>1411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300"/>
      <c r="AU399" s="93"/>
      <c r="AV399" s="300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">
        <v>1412</v>
      </c>
      <c r="B400" t="s">
        <v>219</v>
      </c>
      <c r="C400" s="52" t="s">
        <v>1400</v>
      </c>
      <c r="D400" s="52" t="s">
        <v>1400</v>
      </c>
      <c r="E400">
        <v>100</v>
      </c>
      <c r="F400">
        <v>100</v>
      </c>
      <c r="G400" s="64">
        <v>44844</v>
      </c>
      <c r="H400">
        <v>300</v>
      </c>
      <c r="I400">
        <v>300</v>
      </c>
      <c r="J400">
        <v>3</v>
      </c>
      <c r="K400">
        <v>2</v>
      </c>
      <c r="L400">
        <v>0</v>
      </c>
      <c r="M400">
        <v>16</v>
      </c>
      <c r="N400">
        <v>12</v>
      </c>
      <c r="O400"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300"/>
      <c r="AU400" s="93"/>
      <c r="AV400" s="300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">
        <v>1413</v>
      </c>
      <c r="B401" t="s">
        <v>218</v>
      </c>
      <c r="C401" s="52" t="s">
        <v>1414</v>
      </c>
      <c r="D401" s="52" t="s">
        <v>1414</v>
      </c>
      <c r="E401">
        <v>110</v>
      </c>
      <c r="F401">
        <v>100</v>
      </c>
      <c r="G401" s="64">
        <v>44362</v>
      </c>
      <c r="H401">
        <v>300</v>
      </c>
      <c r="I401">
        <v>300</v>
      </c>
      <c r="J401">
        <v>6</v>
      </c>
      <c r="K401">
        <v>4</v>
      </c>
      <c r="L401">
        <v>0</v>
      </c>
      <c r="M401">
        <v>9</v>
      </c>
      <c r="N401">
        <v>11</v>
      </c>
      <c r="O401"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300"/>
      <c r="AU401" s="93"/>
      <c r="AV401" s="300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">
        <v>1415</v>
      </c>
      <c r="B402" t="s">
        <v>218</v>
      </c>
      <c r="C402" s="52" t="s">
        <v>1414</v>
      </c>
      <c r="D402" s="52" t="s">
        <v>1414</v>
      </c>
      <c r="E402">
        <v>0</v>
      </c>
      <c r="F402">
        <v>0</v>
      </c>
      <c r="G402" s="64">
        <v>44362</v>
      </c>
      <c r="H402">
        <v>300</v>
      </c>
      <c r="I402">
        <v>300</v>
      </c>
      <c r="J402">
        <v>6</v>
      </c>
      <c r="K402">
        <v>10</v>
      </c>
      <c r="L402">
        <v>0</v>
      </c>
      <c r="M402">
        <v>18</v>
      </c>
      <c r="N402">
        <v>11</v>
      </c>
      <c r="O402"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300"/>
      <c r="AU402" s="93"/>
      <c r="AV402" s="300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">
        <v>1416</v>
      </c>
      <c r="B403" t="s">
        <v>221</v>
      </c>
      <c r="C403" s="52" t="s">
        <v>1417</v>
      </c>
      <c r="D403" s="52" t="s">
        <v>1417</v>
      </c>
      <c r="E403">
        <v>0</v>
      </c>
      <c r="F403">
        <v>0</v>
      </c>
      <c r="G403" s="64">
        <v>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300"/>
      <c r="AU403" s="93"/>
      <c r="AV403" s="300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">
        <v>1418</v>
      </c>
      <c r="B404" t="s">
        <v>222</v>
      </c>
      <c r="C404" s="52" t="s">
        <v>1419</v>
      </c>
      <c r="D404" s="52" t="s">
        <v>1419</v>
      </c>
      <c r="E404">
        <v>0</v>
      </c>
      <c r="F404">
        <v>0</v>
      </c>
      <c r="G404" s="64">
        <v>0</v>
      </c>
      <c r="H404">
        <v>300</v>
      </c>
      <c r="I404">
        <v>300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28</v>
      </c>
      <c r="P404" s="69">
        <f t="shared" si="60"/>
        <v>97.916666666666671</v>
      </c>
      <c r="Q404" s="89" t="s">
        <v>421</v>
      </c>
      <c r="R404" s="90">
        <v>1.8</v>
      </c>
      <c r="S404" s="89" t="s">
        <v>526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300"/>
      <c r="AU404" s="93"/>
      <c r="AV404" s="300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">
        <v>1420</v>
      </c>
      <c r="B405" t="s">
        <v>1421</v>
      </c>
      <c r="C405" s="52" t="s">
        <v>1422</v>
      </c>
      <c r="D405" s="52" t="s">
        <v>1422</v>
      </c>
      <c r="E405">
        <v>9.5</v>
      </c>
      <c r="F405">
        <v>6.9</v>
      </c>
      <c r="G405" s="64">
        <v>45335</v>
      </c>
      <c r="H405">
        <v>360</v>
      </c>
      <c r="I405">
        <v>360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69">
        <f t="shared" si="60"/>
        <v>318.74999999999994</v>
      </c>
      <c r="Q405" s="81" t="s">
        <v>738</v>
      </c>
      <c r="R405" s="82">
        <v>11.7</v>
      </c>
      <c r="S405" s="257" t="s">
        <v>739</v>
      </c>
      <c r="T405" s="256">
        <v>3.6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300"/>
      <c r="AU405" s="93"/>
      <c r="AV405" s="300"/>
      <c r="AW405" s="93"/>
      <c r="AX405" s="66">
        <f t="shared" si="56"/>
        <v>15.299999999999999</v>
      </c>
      <c r="AY405" s="78">
        <f t="shared" si="57"/>
        <v>318.74999999999994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168.87499999999997</v>
      </c>
      <c r="BC405" s="53">
        <f t="shared" si="59"/>
        <v>166.27499999999998</v>
      </c>
    </row>
    <row r="406" spans="1:55" ht="13.15">
      <c r="A406" t="s">
        <v>1423</v>
      </c>
      <c r="B406" t="s">
        <v>1421</v>
      </c>
      <c r="C406" s="52" t="s">
        <v>1422</v>
      </c>
      <c r="D406" s="52" t="s">
        <v>1422</v>
      </c>
      <c r="E406">
        <v>55</v>
      </c>
      <c r="F406">
        <v>55</v>
      </c>
      <c r="G406" s="64">
        <v>45000</v>
      </c>
      <c r="H406">
        <v>300</v>
      </c>
      <c r="I406">
        <v>300</v>
      </c>
      <c r="J406">
        <v>5</v>
      </c>
      <c r="K406">
        <v>4</v>
      </c>
      <c r="L406">
        <v>0</v>
      </c>
      <c r="M406">
        <v>13</v>
      </c>
      <c r="N406">
        <v>0</v>
      </c>
      <c r="O406"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300"/>
      <c r="AU406" s="93"/>
      <c r="AV406" s="300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">
        <v>1424</v>
      </c>
      <c r="B407" t="s">
        <v>253</v>
      </c>
      <c r="C407" s="52" t="s">
        <v>1425</v>
      </c>
      <c r="D407" s="52" t="s">
        <v>1425</v>
      </c>
      <c r="E407">
        <v>15</v>
      </c>
      <c r="F407">
        <v>15</v>
      </c>
      <c r="G407" s="64">
        <v>44399</v>
      </c>
      <c r="H407">
        <v>300</v>
      </c>
      <c r="I407">
        <v>300</v>
      </c>
      <c r="J407">
        <v>6</v>
      </c>
      <c r="K407">
        <v>8</v>
      </c>
      <c r="L407">
        <v>0</v>
      </c>
      <c r="M407">
        <v>22</v>
      </c>
      <c r="N407">
        <v>5</v>
      </c>
      <c r="O407"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300"/>
      <c r="AU407" s="93"/>
      <c r="AV407" s="300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">
        <v>1426</v>
      </c>
      <c r="B408" t="s">
        <v>63</v>
      </c>
      <c r="C408" s="52" t="s">
        <v>1427</v>
      </c>
      <c r="D408" s="52" t="s">
        <v>1427</v>
      </c>
      <c r="E408">
        <v>100</v>
      </c>
      <c r="F408">
        <v>100</v>
      </c>
      <c r="G408" s="64">
        <v>45068</v>
      </c>
      <c r="H408">
        <v>300</v>
      </c>
      <c r="I408">
        <v>300</v>
      </c>
      <c r="J408">
        <v>4</v>
      </c>
      <c r="K408">
        <v>0</v>
      </c>
      <c r="L408">
        <v>1</v>
      </c>
      <c r="M408">
        <v>7</v>
      </c>
      <c r="N408">
        <v>9</v>
      </c>
      <c r="O408"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300"/>
      <c r="AU408" s="93"/>
      <c r="AV408" s="300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">
        <v>1428</v>
      </c>
      <c r="B409" t="s">
        <v>63</v>
      </c>
      <c r="C409" s="52" t="s">
        <v>1427</v>
      </c>
      <c r="D409" s="52" t="s">
        <v>1427</v>
      </c>
      <c r="E409">
        <v>35</v>
      </c>
      <c r="F409">
        <v>35</v>
      </c>
      <c r="G409" s="64">
        <v>45295</v>
      </c>
      <c r="H409">
        <v>300</v>
      </c>
      <c r="I409">
        <v>300</v>
      </c>
      <c r="J409">
        <v>6</v>
      </c>
      <c r="K409">
        <v>0</v>
      </c>
      <c r="L409">
        <v>4</v>
      </c>
      <c r="M409">
        <v>20</v>
      </c>
      <c r="N409">
        <v>10</v>
      </c>
      <c r="O409">
        <v>0</v>
      </c>
      <c r="P409" s="69">
        <f t="shared" si="60"/>
        <v>83.333333333333329</v>
      </c>
      <c r="Q409" s="106" t="s">
        <v>401</v>
      </c>
      <c r="R409" s="256">
        <v>3</v>
      </c>
      <c r="S409" s="85" t="s">
        <v>402</v>
      </c>
      <c r="T409" s="86">
        <v>1</v>
      </c>
      <c r="U409" s="92"/>
      <c r="V409" s="80"/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300"/>
      <c r="AU409" s="93"/>
      <c r="AV409" s="300"/>
      <c r="AW409" s="93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76.666666666666657</v>
      </c>
      <c r="BC409" s="53">
        <f t="shared" si="59"/>
        <v>76.666666666666657</v>
      </c>
    </row>
    <row r="410" spans="1:55" ht="13.15">
      <c r="A410" t="s">
        <v>1429</v>
      </c>
      <c r="B410" t="s">
        <v>74</v>
      </c>
      <c r="C410" s="52" t="s">
        <v>1430</v>
      </c>
      <c r="D410" s="52" t="s">
        <v>1430</v>
      </c>
      <c r="E410">
        <v>120</v>
      </c>
      <c r="F410">
        <v>110</v>
      </c>
      <c r="G410" s="64">
        <v>44992</v>
      </c>
      <c r="H410">
        <v>300</v>
      </c>
      <c r="I410">
        <v>300</v>
      </c>
      <c r="J410">
        <v>2</v>
      </c>
      <c r="K410">
        <v>0</v>
      </c>
      <c r="L410">
        <v>0</v>
      </c>
      <c r="M410">
        <v>9</v>
      </c>
      <c r="N410">
        <v>8</v>
      </c>
      <c r="O410"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300"/>
      <c r="AU410" s="93"/>
      <c r="AV410" s="300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">
        <v>1431</v>
      </c>
      <c r="B411" t="s">
        <v>74</v>
      </c>
      <c r="C411" s="52" t="s">
        <v>1430</v>
      </c>
      <c r="D411" s="52" t="s">
        <v>1430</v>
      </c>
      <c r="E411">
        <v>65</v>
      </c>
      <c r="F411">
        <v>45</v>
      </c>
      <c r="G411" s="64">
        <v>44992</v>
      </c>
      <c r="H411">
        <v>300</v>
      </c>
      <c r="I411">
        <v>300</v>
      </c>
      <c r="J411">
        <v>2</v>
      </c>
      <c r="K411">
        <v>0</v>
      </c>
      <c r="L411">
        <v>5</v>
      </c>
      <c r="M411">
        <v>23</v>
      </c>
      <c r="N411">
        <v>12</v>
      </c>
      <c r="O411">
        <v>0</v>
      </c>
      <c r="P411" s="69">
        <f t="shared" si="60"/>
        <v>125</v>
      </c>
      <c r="Q411" s="81" t="s">
        <v>460</v>
      </c>
      <c r="R411" s="82">
        <v>5</v>
      </c>
      <c r="S411" s="99" t="s">
        <v>461</v>
      </c>
      <c r="T411" s="100">
        <v>1</v>
      </c>
      <c r="U411" s="92"/>
      <c r="V411" s="80"/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300"/>
      <c r="AU411" s="93"/>
      <c r="AV411" s="300"/>
      <c r="AW411" s="93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">
        <v>1432</v>
      </c>
      <c r="B412" t="s">
        <v>133</v>
      </c>
      <c r="C412" s="52" t="s">
        <v>1433</v>
      </c>
      <c r="D412" s="52" t="s">
        <v>1433</v>
      </c>
      <c r="E412">
        <v>75</v>
      </c>
      <c r="F412">
        <v>100</v>
      </c>
      <c r="G412" s="64">
        <v>45068</v>
      </c>
      <c r="H412">
        <v>200</v>
      </c>
      <c r="I412">
        <v>200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30</v>
      </c>
      <c r="P412" s="69">
        <f t="shared" si="60"/>
        <v>293.75000000000006</v>
      </c>
      <c r="Q412" s="81" t="s">
        <v>539</v>
      </c>
      <c r="R412" s="82">
        <v>4.4000000000000004</v>
      </c>
      <c r="S412" s="81" t="s">
        <v>540</v>
      </c>
      <c r="T412" s="82">
        <v>4.7</v>
      </c>
      <c r="U412" s="81" t="s">
        <v>541</v>
      </c>
      <c r="V412" s="82">
        <v>2.6</v>
      </c>
      <c r="W412" s="257" t="s">
        <v>542</v>
      </c>
      <c r="X412" s="256">
        <v>1.6</v>
      </c>
      <c r="Y412" s="311" t="s">
        <v>543</v>
      </c>
      <c r="Z412" s="319">
        <v>0.8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300"/>
      <c r="AU412" s="93"/>
      <c r="AV412" s="300"/>
      <c r="AW412" s="93"/>
      <c r="AX412" s="66">
        <f t="shared" si="56"/>
        <v>14.100000000000001</v>
      </c>
      <c r="AY412" s="78">
        <f t="shared" si="57"/>
        <v>293.75000000000006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221.87500000000003</v>
      </c>
      <c r="BC412" s="53">
        <f t="shared" si="59"/>
        <v>246.87500000000003</v>
      </c>
    </row>
    <row r="413" spans="1:55" ht="13.15">
      <c r="A413" t="s">
        <v>1434</v>
      </c>
      <c r="B413" t="s">
        <v>133</v>
      </c>
      <c r="C413" s="52" t="s">
        <v>1433</v>
      </c>
      <c r="D413" s="52" t="s">
        <v>1433</v>
      </c>
      <c r="E413">
        <v>140</v>
      </c>
      <c r="F413">
        <v>170</v>
      </c>
      <c r="G413" s="64">
        <v>45068</v>
      </c>
      <c r="H413">
        <v>300</v>
      </c>
      <c r="I413">
        <v>300</v>
      </c>
      <c r="J413">
        <v>3</v>
      </c>
      <c r="K413">
        <v>0</v>
      </c>
      <c r="L413">
        <v>1</v>
      </c>
      <c r="M413">
        <v>0</v>
      </c>
      <c r="N413">
        <v>8</v>
      </c>
      <c r="O413"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300"/>
      <c r="AU413" s="93"/>
      <c r="AV413" s="300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">
        <v>1435</v>
      </c>
      <c r="B414" t="s">
        <v>210</v>
      </c>
      <c r="C414" s="52" t="s">
        <v>1436</v>
      </c>
      <c r="D414" s="52" t="s">
        <v>1436</v>
      </c>
      <c r="E414">
        <v>30</v>
      </c>
      <c r="F414">
        <v>0</v>
      </c>
      <c r="G414" s="64">
        <v>44169</v>
      </c>
      <c r="H414">
        <v>300</v>
      </c>
      <c r="I414">
        <v>300</v>
      </c>
      <c r="J414">
        <v>6</v>
      </c>
      <c r="K414">
        <v>12</v>
      </c>
      <c r="L414">
        <v>0</v>
      </c>
      <c r="M414">
        <v>24</v>
      </c>
      <c r="N414">
        <v>7</v>
      </c>
      <c r="O414"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300"/>
      <c r="AU414" s="93"/>
      <c r="AV414" s="300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">
        <v>1437</v>
      </c>
      <c r="B415" t="s">
        <v>210</v>
      </c>
      <c r="C415" s="52" t="s">
        <v>1436</v>
      </c>
      <c r="D415" s="52" t="s">
        <v>1436</v>
      </c>
      <c r="E415">
        <v>40</v>
      </c>
      <c r="F415">
        <v>40</v>
      </c>
      <c r="G415" s="64">
        <v>44169</v>
      </c>
      <c r="H415">
        <v>300</v>
      </c>
      <c r="I415">
        <v>300</v>
      </c>
      <c r="J415">
        <v>6</v>
      </c>
      <c r="K415">
        <v>10</v>
      </c>
      <c r="L415">
        <v>0</v>
      </c>
      <c r="M415">
        <v>18</v>
      </c>
      <c r="N415">
        <v>10</v>
      </c>
      <c r="O415"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300"/>
      <c r="AU415" s="93"/>
      <c r="AV415" s="300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">
        <v>1438</v>
      </c>
      <c r="B416" t="s">
        <v>210</v>
      </c>
      <c r="C416" s="52" t="s">
        <v>1436</v>
      </c>
      <c r="D416" s="52" t="s">
        <v>1436</v>
      </c>
      <c r="E416">
        <v>60</v>
      </c>
      <c r="F416">
        <v>60</v>
      </c>
      <c r="G416" s="64">
        <v>44169</v>
      </c>
      <c r="H416">
        <v>300</v>
      </c>
      <c r="I416">
        <v>300</v>
      </c>
      <c r="J416">
        <v>6</v>
      </c>
      <c r="K416">
        <v>11</v>
      </c>
      <c r="L416">
        <v>0</v>
      </c>
      <c r="M416">
        <v>7</v>
      </c>
      <c r="N416">
        <v>1</v>
      </c>
      <c r="O416">
        <v>0</v>
      </c>
      <c r="P416" s="69">
        <f t="shared" si="60"/>
        <v>0</v>
      </c>
      <c r="Q416" s="92"/>
      <c r="R416" s="80"/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300"/>
      <c r="AU416" s="93"/>
      <c r="AV416" s="300"/>
      <c r="AW416" s="93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">
        <v>1439</v>
      </c>
      <c r="B417" t="s">
        <v>210</v>
      </c>
      <c r="C417" s="52" t="s">
        <v>1436</v>
      </c>
      <c r="D417" s="52" t="s">
        <v>1436</v>
      </c>
      <c r="E417">
        <v>50</v>
      </c>
      <c r="F417">
        <v>50</v>
      </c>
      <c r="G417" s="64">
        <v>44169</v>
      </c>
      <c r="H417">
        <v>300</v>
      </c>
      <c r="I417">
        <v>300</v>
      </c>
      <c r="J417">
        <v>6</v>
      </c>
      <c r="K417">
        <v>0</v>
      </c>
      <c r="L417">
        <v>0</v>
      </c>
      <c r="M417">
        <v>23</v>
      </c>
      <c r="N417">
        <v>11</v>
      </c>
      <c r="O417"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300"/>
      <c r="AU417" s="93"/>
      <c r="AV417" s="300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">
        <v>1440</v>
      </c>
      <c r="B418" t="s">
        <v>210</v>
      </c>
      <c r="C418" s="52" t="s">
        <v>1436</v>
      </c>
      <c r="D418" s="52" t="s">
        <v>1436</v>
      </c>
      <c r="E418">
        <v>20</v>
      </c>
      <c r="F418">
        <v>20</v>
      </c>
      <c r="G418" s="64">
        <v>44169</v>
      </c>
      <c r="H418">
        <v>300</v>
      </c>
      <c r="I418">
        <v>300</v>
      </c>
      <c r="J418">
        <v>6</v>
      </c>
      <c r="K418">
        <v>8</v>
      </c>
      <c r="L418">
        <v>0</v>
      </c>
      <c r="M418">
        <v>23</v>
      </c>
      <c r="N418">
        <v>12</v>
      </c>
      <c r="O418">
        <v>0</v>
      </c>
      <c r="P418" s="69">
        <f t="shared" si="60"/>
        <v>125</v>
      </c>
      <c r="Q418" s="81" t="s">
        <v>678</v>
      </c>
      <c r="R418" s="82">
        <v>5</v>
      </c>
      <c r="S418" s="305" t="s">
        <v>679</v>
      </c>
      <c r="T418" s="304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300"/>
      <c r="AU418" s="93"/>
      <c r="AV418" s="300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">
        <v>1441</v>
      </c>
      <c r="B419" t="s">
        <v>225</v>
      </c>
      <c r="C419" s="52" t="s">
        <v>275</v>
      </c>
      <c r="D419" s="52" t="s">
        <v>275</v>
      </c>
      <c r="E419">
        <v>210</v>
      </c>
      <c r="F419">
        <v>210</v>
      </c>
      <c r="G419" s="64">
        <v>45301</v>
      </c>
      <c r="H419">
        <v>240</v>
      </c>
      <c r="I419">
        <v>240</v>
      </c>
      <c r="J419">
        <v>1</v>
      </c>
      <c r="K419">
        <v>1</v>
      </c>
      <c r="L419">
        <v>0</v>
      </c>
      <c r="M419">
        <v>0</v>
      </c>
      <c r="N419">
        <v>5</v>
      </c>
      <c r="O419"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300"/>
      <c r="AU419" s="93"/>
      <c r="AV419" s="300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">
        <v>1442</v>
      </c>
      <c r="B420" t="s">
        <v>225</v>
      </c>
      <c r="C420" s="52" t="s">
        <v>275</v>
      </c>
      <c r="D420" s="52" t="s">
        <v>275</v>
      </c>
      <c r="E420">
        <v>30</v>
      </c>
      <c r="F420">
        <v>27</v>
      </c>
      <c r="G420" s="64">
        <v>44937</v>
      </c>
      <c r="H420">
        <v>300</v>
      </c>
      <c r="I420">
        <v>300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57</v>
      </c>
      <c r="P420" s="69">
        <f t="shared" si="60"/>
        <v>145.83333333333334</v>
      </c>
      <c r="Q420" s="81" t="s">
        <v>701</v>
      </c>
      <c r="R420" s="82">
        <v>5</v>
      </c>
      <c r="S420" s="81" t="s">
        <v>702</v>
      </c>
      <c r="T420" s="82">
        <v>1</v>
      </c>
      <c r="U420" s="101" t="s">
        <v>703</v>
      </c>
      <c r="V420" s="100">
        <v>1</v>
      </c>
      <c r="W420" s="93"/>
      <c r="X420" s="80"/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300"/>
      <c r="AU420" s="93"/>
      <c r="AV420" s="300"/>
      <c r="AW420" s="93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">
        <v>1443</v>
      </c>
      <c r="B421" t="s">
        <v>264</v>
      </c>
      <c r="C421" s="52" t="s">
        <v>1444</v>
      </c>
      <c r="D421" s="52" t="s">
        <v>1444</v>
      </c>
      <c r="E421">
        <v>25</v>
      </c>
      <c r="F421">
        <v>25</v>
      </c>
      <c r="G421" s="64">
        <v>44092</v>
      </c>
      <c r="H421">
        <v>300</v>
      </c>
      <c r="I421">
        <v>300</v>
      </c>
      <c r="J421">
        <v>6</v>
      </c>
      <c r="K421">
        <v>5</v>
      </c>
      <c r="L421">
        <v>12</v>
      </c>
      <c r="M421">
        <v>15</v>
      </c>
      <c r="N421">
        <v>12</v>
      </c>
      <c r="O421"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300"/>
      <c r="AU421" s="93"/>
      <c r="AV421" s="300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">
        <v>1445</v>
      </c>
      <c r="B422" t="s">
        <v>264</v>
      </c>
      <c r="C422" s="52" t="s">
        <v>1444</v>
      </c>
      <c r="D422" s="52" t="s">
        <v>1444</v>
      </c>
      <c r="E422">
        <v>20</v>
      </c>
      <c r="F422">
        <v>20</v>
      </c>
      <c r="G422" s="64">
        <v>0</v>
      </c>
      <c r="H422">
        <v>300</v>
      </c>
      <c r="I422">
        <v>300</v>
      </c>
      <c r="J422">
        <v>6</v>
      </c>
      <c r="K422">
        <v>2</v>
      </c>
      <c r="L422">
        <v>7</v>
      </c>
      <c r="M422">
        <v>23</v>
      </c>
      <c r="N422">
        <v>11</v>
      </c>
      <c r="O422">
        <v>0</v>
      </c>
      <c r="P422" s="69">
        <f t="shared" si="60"/>
        <v>104.16666666666667</v>
      </c>
      <c r="Q422" s="81" t="s">
        <v>761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300"/>
      <c r="AU422" s="93"/>
      <c r="AV422" s="300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">
        <v>1446</v>
      </c>
      <c r="B423" t="s">
        <v>32</v>
      </c>
      <c r="C423" s="52" t="s">
        <v>1447</v>
      </c>
      <c r="D423" s="52" t="s">
        <v>1447</v>
      </c>
      <c r="E423">
        <v>20</v>
      </c>
      <c r="F423">
        <v>20</v>
      </c>
      <c r="G423" s="64">
        <v>44119</v>
      </c>
      <c r="H423">
        <v>300</v>
      </c>
      <c r="I423">
        <v>300</v>
      </c>
      <c r="J423">
        <v>6</v>
      </c>
      <c r="K423">
        <v>5</v>
      </c>
      <c r="L423">
        <v>7</v>
      </c>
      <c r="M423">
        <v>23</v>
      </c>
      <c r="N423">
        <v>12</v>
      </c>
      <c r="O423"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300"/>
      <c r="AU423" s="93"/>
      <c r="AV423" s="300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">
        <v>1448</v>
      </c>
      <c r="B424" t="s">
        <v>32</v>
      </c>
      <c r="C424" s="52" t="s">
        <v>1447</v>
      </c>
      <c r="D424" s="52" t="s">
        <v>1447</v>
      </c>
      <c r="E424">
        <v>0</v>
      </c>
      <c r="F424">
        <v>0</v>
      </c>
      <c r="G424" s="64">
        <v>44119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24</v>
      </c>
      <c r="N424">
        <v>12</v>
      </c>
      <c r="O424"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300"/>
      <c r="AU424" s="93"/>
      <c r="AV424" s="300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">
        <v>1449</v>
      </c>
      <c r="B425" t="s">
        <v>54</v>
      </c>
      <c r="C425" s="52" t="s">
        <v>1450</v>
      </c>
      <c r="D425" s="52" t="s">
        <v>1450</v>
      </c>
      <c r="E425">
        <v>295</v>
      </c>
      <c r="F425">
        <v>295</v>
      </c>
      <c r="G425" s="64">
        <v>44470</v>
      </c>
      <c r="H425">
        <v>300</v>
      </c>
      <c r="I425">
        <v>300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20</v>
      </c>
      <c r="P425" s="69">
        <f t="shared" si="60"/>
        <v>0</v>
      </c>
      <c r="Q425" s="92"/>
      <c r="R425" s="80"/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300"/>
      <c r="AU425" s="93"/>
      <c r="AV425" s="300"/>
      <c r="AW425" s="93"/>
      <c r="AX425" s="66">
        <f t="shared" si="56"/>
        <v>0</v>
      </c>
      <c r="AY425" s="78">
        <f t="shared" si="57"/>
        <v>0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295</v>
      </c>
      <c r="BC425" s="53">
        <f t="shared" si="59"/>
        <v>295</v>
      </c>
    </row>
    <row r="426" spans="1:55" ht="13.15">
      <c r="A426" t="s">
        <v>1451</v>
      </c>
      <c r="B426" t="s">
        <v>53</v>
      </c>
      <c r="C426" s="52" t="s">
        <v>1450</v>
      </c>
      <c r="D426" s="52" t="s">
        <v>1450</v>
      </c>
      <c r="E426">
        <v>100</v>
      </c>
      <c r="F426">
        <v>110</v>
      </c>
      <c r="G426" s="64">
        <v>44470</v>
      </c>
      <c r="H426">
        <v>300</v>
      </c>
      <c r="I426">
        <v>300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48</v>
      </c>
      <c r="P426" s="69">
        <f t="shared" si="60"/>
        <v>183.33333333333334</v>
      </c>
      <c r="Q426" s="89" t="s">
        <v>374</v>
      </c>
      <c r="R426" s="90">
        <v>2</v>
      </c>
      <c r="S426" s="89" t="s">
        <v>375</v>
      </c>
      <c r="T426" s="90">
        <v>2.9</v>
      </c>
      <c r="U426" s="89" t="s">
        <v>376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300"/>
      <c r="AU426" s="93"/>
      <c r="AV426" s="300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">
        <v>1452</v>
      </c>
      <c r="B427" t="s">
        <v>53</v>
      </c>
      <c r="C427" s="52" t="s">
        <v>1450</v>
      </c>
      <c r="D427" s="52" t="s">
        <v>1450</v>
      </c>
      <c r="E427">
        <v>120</v>
      </c>
      <c r="F427">
        <v>120</v>
      </c>
      <c r="G427" s="64">
        <v>44484</v>
      </c>
      <c r="H427">
        <v>300</v>
      </c>
      <c r="I427">
        <v>300</v>
      </c>
      <c r="J427">
        <v>3</v>
      </c>
      <c r="K427">
        <v>6</v>
      </c>
      <c r="L427">
        <v>0</v>
      </c>
      <c r="M427">
        <v>13</v>
      </c>
      <c r="N427">
        <v>10</v>
      </c>
      <c r="O427">
        <v>7</v>
      </c>
      <c r="P427" s="69">
        <f t="shared" si="60"/>
        <v>125</v>
      </c>
      <c r="Q427" s="254" t="s">
        <v>390</v>
      </c>
      <c r="R427" s="255">
        <v>2</v>
      </c>
      <c r="S427" s="112" t="s">
        <v>391</v>
      </c>
      <c r="T427" s="114">
        <v>2</v>
      </c>
      <c r="U427" s="308" t="s">
        <v>392</v>
      </c>
      <c r="V427" s="309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300"/>
      <c r="AU427" s="93"/>
      <c r="AV427" s="300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">
        <v>1453</v>
      </c>
      <c r="B428" t="s">
        <v>54</v>
      </c>
      <c r="C428" s="52" t="s">
        <v>1450</v>
      </c>
      <c r="D428" s="52" t="s">
        <v>1450</v>
      </c>
      <c r="E428">
        <v>90</v>
      </c>
      <c r="F428">
        <v>85</v>
      </c>
      <c r="G428" s="64">
        <v>44470</v>
      </c>
      <c r="H428">
        <v>300</v>
      </c>
      <c r="I428">
        <v>300</v>
      </c>
      <c r="J428">
        <v>5</v>
      </c>
      <c r="K428">
        <v>5</v>
      </c>
      <c r="L428">
        <v>0</v>
      </c>
      <c r="M428">
        <v>3</v>
      </c>
      <c r="N428">
        <v>12</v>
      </c>
      <c r="O428"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300"/>
      <c r="AU428" s="93"/>
      <c r="AV428" s="300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">
        <v>1454</v>
      </c>
      <c r="B429" t="s">
        <v>1455</v>
      </c>
      <c r="C429" s="52" t="s">
        <v>1450</v>
      </c>
      <c r="D429" s="52" t="s">
        <v>1450</v>
      </c>
      <c r="E429">
        <v>190</v>
      </c>
      <c r="F429">
        <v>195</v>
      </c>
      <c r="G429" s="64">
        <v>44470</v>
      </c>
      <c r="H429">
        <v>300</v>
      </c>
      <c r="I429">
        <v>300</v>
      </c>
      <c r="J429">
        <v>2</v>
      </c>
      <c r="K429">
        <v>3</v>
      </c>
      <c r="L429">
        <v>0</v>
      </c>
      <c r="M429">
        <v>10</v>
      </c>
      <c r="N429">
        <v>12</v>
      </c>
      <c r="O429">
        <v>0</v>
      </c>
      <c r="P429" s="69">
        <f t="shared" si="60"/>
        <v>93.75</v>
      </c>
      <c r="Q429" s="106" t="s">
        <v>1456</v>
      </c>
      <c r="R429" s="256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300"/>
      <c r="AU429" s="93"/>
      <c r="AV429" s="300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">
        <v>1457</v>
      </c>
      <c r="B430" t="s">
        <v>1455</v>
      </c>
      <c r="C430" s="52" t="s">
        <v>1450</v>
      </c>
      <c r="D430" s="52" t="s">
        <v>1450</v>
      </c>
      <c r="E430">
        <v>115</v>
      </c>
      <c r="F430">
        <v>100</v>
      </c>
      <c r="G430" s="64">
        <v>44470</v>
      </c>
      <c r="H430">
        <v>300</v>
      </c>
      <c r="I430">
        <v>300</v>
      </c>
      <c r="J430">
        <v>0</v>
      </c>
      <c r="K430">
        <v>0</v>
      </c>
      <c r="L430">
        <v>0</v>
      </c>
      <c r="M430">
        <v>17</v>
      </c>
      <c r="N430">
        <v>6</v>
      </c>
      <c r="O430">
        <v>0</v>
      </c>
      <c r="P430" s="69">
        <f t="shared" si="60"/>
        <v>20.833333333333332</v>
      </c>
      <c r="Q430" s="83" t="s">
        <v>1458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300"/>
      <c r="AU430" s="93"/>
      <c r="AV430" s="300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">
        <v>1459</v>
      </c>
      <c r="B431" t="s">
        <v>54</v>
      </c>
      <c r="C431" s="52" t="s">
        <v>1450</v>
      </c>
      <c r="D431" s="52" t="s">
        <v>1450</v>
      </c>
      <c r="E431">
        <v>135</v>
      </c>
      <c r="F431">
        <v>140</v>
      </c>
      <c r="G431" s="64">
        <v>44470</v>
      </c>
      <c r="H431">
        <v>300</v>
      </c>
      <c r="I431">
        <v>300</v>
      </c>
      <c r="J431">
        <v>0</v>
      </c>
      <c r="K431">
        <v>0</v>
      </c>
      <c r="L431">
        <v>0</v>
      </c>
      <c r="M431">
        <v>20</v>
      </c>
      <c r="N431">
        <v>8</v>
      </c>
      <c r="O431">
        <v>0</v>
      </c>
      <c r="P431" s="69">
        <f t="shared" si="60"/>
        <v>0</v>
      </c>
      <c r="Q431" s="92"/>
      <c r="R431" s="80"/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300"/>
      <c r="AU431" s="93"/>
      <c r="AV431" s="300"/>
      <c r="AW431" s="93"/>
      <c r="AX431" s="66">
        <f t="shared" si="56"/>
        <v>0</v>
      </c>
      <c r="AY431" s="78">
        <f t="shared" si="57"/>
        <v>0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135</v>
      </c>
      <c r="BC431" s="53">
        <f t="shared" si="59"/>
        <v>140</v>
      </c>
    </row>
    <row r="432" spans="1:55" ht="13.15">
      <c r="A432" t="s">
        <v>1460</v>
      </c>
      <c r="B432" t="s">
        <v>54</v>
      </c>
      <c r="C432" s="52" t="s">
        <v>1450</v>
      </c>
      <c r="D432" s="52" t="s">
        <v>1450</v>
      </c>
      <c r="E432">
        <v>105</v>
      </c>
      <c r="F432">
        <v>110</v>
      </c>
      <c r="G432" s="64">
        <v>44473</v>
      </c>
      <c r="H432">
        <v>300</v>
      </c>
      <c r="I432">
        <v>300</v>
      </c>
      <c r="J432">
        <v>4</v>
      </c>
      <c r="K432">
        <v>6</v>
      </c>
      <c r="L432">
        <v>0</v>
      </c>
      <c r="M432">
        <v>11</v>
      </c>
      <c r="N432">
        <v>10</v>
      </c>
      <c r="O432"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300"/>
      <c r="AU432" s="93"/>
      <c r="AV432" s="300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">
        <v>1461</v>
      </c>
      <c r="B433" t="s">
        <v>1455</v>
      </c>
      <c r="C433" s="52" t="s">
        <v>1450</v>
      </c>
      <c r="D433" s="52" t="s">
        <v>1450</v>
      </c>
      <c r="E433">
        <v>115</v>
      </c>
      <c r="F433">
        <v>140</v>
      </c>
      <c r="G433" s="64">
        <v>44470</v>
      </c>
      <c r="H433">
        <v>300</v>
      </c>
      <c r="I433">
        <v>300</v>
      </c>
      <c r="J433">
        <v>6</v>
      </c>
      <c r="K433">
        <v>2</v>
      </c>
      <c r="L433">
        <v>0</v>
      </c>
      <c r="M433">
        <v>11</v>
      </c>
      <c r="N433">
        <v>11</v>
      </c>
      <c r="O433">
        <v>0</v>
      </c>
      <c r="P433" s="69">
        <f t="shared" si="60"/>
        <v>0</v>
      </c>
      <c r="Q433" s="92"/>
      <c r="R433" s="80"/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300"/>
      <c r="AU433" s="93"/>
      <c r="AV433" s="300"/>
      <c r="AW433" s="93"/>
      <c r="AX433" s="66">
        <f t="shared" si="56"/>
        <v>0</v>
      </c>
      <c r="AY433" s="78">
        <f t="shared" si="57"/>
        <v>0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115</v>
      </c>
      <c r="BC433" s="53">
        <f t="shared" si="59"/>
        <v>140</v>
      </c>
    </row>
    <row r="434" spans="1:55" ht="13.15">
      <c r="A434" t="s">
        <v>1462</v>
      </c>
      <c r="B434" t="s">
        <v>54</v>
      </c>
      <c r="C434" s="52" t="s">
        <v>1450</v>
      </c>
      <c r="D434" s="52" t="s">
        <v>1450</v>
      </c>
      <c r="E434">
        <v>210</v>
      </c>
      <c r="F434">
        <v>200</v>
      </c>
      <c r="G434" s="64">
        <v>44470</v>
      </c>
      <c r="H434">
        <v>300</v>
      </c>
      <c r="I434">
        <v>300</v>
      </c>
      <c r="J434">
        <v>6</v>
      </c>
      <c r="K434">
        <v>1</v>
      </c>
      <c r="L434">
        <v>0</v>
      </c>
      <c r="M434">
        <v>10</v>
      </c>
      <c r="N434">
        <v>12</v>
      </c>
      <c r="O434"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300"/>
      <c r="AU434" s="93"/>
      <c r="AV434" s="300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">
        <v>1463</v>
      </c>
      <c r="B435" t="s">
        <v>1455</v>
      </c>
      <c r="C435" s="52" t="s">
        <v>1450</v>
      </c>
      <c r="D435" s="52" t="s">
        <v>1450</v>
      </c>
      <c r="E435">
        <v>135</v>
      </c>
      <c r="F435">
        <v>140</v>
      </c>
      <c r="G435" s="64">
        <v>44470</v>
      </c>
      <c r="H435">
        <v>300</v>
      </c>
      <c r="I435">
        <v>300</v>
      </c>
      <c r="J435">
        <v>4</v>
      </c>
      <c r="K435">
        <v>0</v>
      </c>
      <c r="L435">
        <v>0</v>
      </c>
      <c r="M435">
        <v>11</v>
      </c>
      <c r="N435">
        <v>8</v>
      </c>
      <c r="O435"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300"/>
      <c r="AU435" s="93"/>
      <c r="AV435" s="300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">
        <v>1464</v>
      </c>
      <c r="B436" t="s">
        <v>1455</v>
      </c>
      <c r="C436" s="52" t="s">
        <v>1450</v>
      </c>
      <c r="D436" s="52" t="s">
        <v>1450</v>
      </c>
      <c r="E436">
        <v>10.6</v>
      </c>
      <c r="F436" t="s">
        <v>1182</v>
      </c>
      <c r="G436" s="64">
        <v>44824</v>
      </c>
      <c r="H436">
        <v>300</v>
      </c>
      <c r="I436">
        <v>300</v>
      </c>
      <c r="J436">
        <v>3</v>
      </c>
      <c r="K436">
        <v>0</v>
      </c>
      <c r="L436">
        <v>0</v>
      </c>
      <c r="M436">
        <v>3</v>
      </c>
      <c r="N436">
        <v>4</v>
      </c>
      <c r="O436">
        <v>0</v>
      </c>
      <c r="P436" s="69">
        <f t="shared" si="60"/>
        <v>102.29166666666667</v>
      </c>
      <c r="Q436" s="101" t="s">
        <v>395</v>
      </c>
      <c r="R436" s="117">
        <v>4.91</v>
      </c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300"/>
      <c r="AU436" s="93"/>
      <c r="AV436" s="300"/>
      <c r="AW436" s="93"/>
      <c r="AX436" s="66">
        <f t="shared" si="56"/>
        <v>4.91</v>
      </c>
      <c r="AY436" s="78">
        <f t="shared" si="57"/>
        <v>102.29166666666667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61.745833333333337</v>
      </c>
      <c r="BC436" s="53" t="e">
        <f t="shared" si="59"/>
        <v>#VALUE!</v>
      </c>
    </row>
    <row r="437" spans="1:55" ht="13.15">
      <c r="A437" t="s">
        <v>1465</v>
      </c>
      <c r="B437" t="s">
        <v>53</v>
      </c>
      <c r="C437" s="52" t="s">
        <v>1450</v>
      </c>
      <c r="D437" s="52" t="s">
        <v>1450</v>
      </c>
      <c r="E437">
        <v>160</v>
      </c>
      <c r="F437">
        <v>165</v>
      </c>
      <c r="G437" s="64">
        <v>44470</v>
      </c>
      <c r="H437">
        <v>300</v>
      </c>
      <c r="I437">
        <v>300</v>
      </c>
      <c r="J437">
        <v>0</v>
      </c>
      <c r="K437">
        <v>1</v>
      </c>
      <c r="L437">
        <v>0</v>
      </c>
      <c r="M437">
        <v>19</v>
      </c>
      <c r="N437">
        <v>12</v>
      </c>
      <c r="O437"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300"/>
      <c r="AU437" s="93"/>
      <c r="AV437" s="300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">
        <v>1466</v>
      </c>
      <c r="B438" t="s">
        <v>53</v>
      </c>
      <c r="C438" s="52" t="s">
        <v>1450</v>
      </c>
      <c r="D438" s="52" t="s">
        <v>1450</v>
      </c>
      <c r="E438">
        <v>85</v>
      </c>
      <c r="F438">
        <v>80</v>
      </c>
      <c r="G438" s="64">
        <v>44441</v>
      </c>
      <c r="H438">
        <v>300</v>
      </c>
      <c r="I438">
        <v>300</v>
      </c>
      <c r="J438">
        <v>5</v>
      </c>
      <c r="K438">
        <v>10</v>
      </c>
      <c r="L438">
        <v>0</v>
      </c>
      <c r="M438">
        <v>16</v>
      </c>
      <c r="N438">
        <v>3</v>
      </c>
      <c r="O438"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300"/>
      <c r="AU438" s="93"/>
      <c r="AV438" s="300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">
        <v>1467</v>
      </c>
      <c r="B439" t="s">
        <v>1468</v>
      </c>
      <c r="C439" s="52" t="s">
        <v>1469</v>
      </c>
      <c r="D439" s="52" t="s">
        <v>1469</v>
      </c>
      <c r="E439">
        <v>362.59999999999997</v>
      </c>
      <c r="F439">
        <v>106</v>
      </c>
      <c r="G439" s="64">
        <v>45335</v>
      </c>
      <c r="H439">
        <v>1200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69">
        <f t="shared" ref="P439:P471" si="71">SUM(AY439+BA439)</f>
        <v>1195.8333333333333</v>
      </c>
      <c r="Q439" s="112"/>
      <c r="R439" s="114"/>
      <c r="S439" s="89" t="s">
        <v>388</v>
      </c>
      <c r="T439" s="284">
        <v>0.9</v>
      </c>
      <c r="U439" s="87" t="s">
        <v>382</v>
      </c>
      <c r="V439" s="283">
        <v>1</v>
      </c>
      <c r="W439" s="87" t="s">
        <v>383</v>
      </c>
      <c r="X439" s="283">
        <v>1</v>
      </c>
      <c r="Y439" s="81" t="s">
        <v>384</v>
      </c>
      <c r="Z439" s="281">
        <v>0.9</v>
      </c>
      <c r="AA439" s="81" t="s">
        <v>379</v>
      </c>
      <c r="AB439" s="281">
        <v>53.6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300"/>
      <c r="AU439" s="93"/>
      <c r="AV439" s="300"/>
      <c r="AW439" s="93"/>
      <c r="AX439" s="66">
        <f t="shared" si="67"/>
        <v>57.4</v>
      </c>
      <c r="AY439" s="78">
        <f t="shared" si="68"/>
        <v>1195.8333333333333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960.51666666666665</v>
      </c>
      <c r="BC439" s="53">
        <f t="shared" si="70"/>
        <v>703.91666666666663</v>
      </c>
    </row>
    <row r="440" spans="1:55" ht="13.15">
      <c r="A440" t="s">
        <v>1470</v>
      </c>
      <c r="B440" t="s">
        <v>1468</v>
      </c>
      <c r="C440" s="52" t="s">
        <v>1469</v>
      </c>
      <c r="D440" s="52" t="s">
        <v>1469</v>
      </c>
      <c r="E440">
        <v>209.40000000000003</v>
      </c>
      <c r="F440">
        <v>26.200000000000003</v>
      </c>
      <c r="G440" s="64">
        <v>45335</v>
      </c>
      <c r="H440">
        <v>1200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69">
        <f t="shared" si="71"/>
        <v>56.25</v>
      </c>
      <c r="Q440" s="81" t="s">
        <v>380</v>
      </c>
      <c r="R440" s="281">
        <v>2</v>
      </c>
      <c r="S440" s="81" t="s">
        <v>381</v>
      </c>
      <c r="T440" s="281">
        <v>0.7</v>
      </c>
      <c r="U440" s="92"/>
      <c r="V440" s="80"/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300"/>
      <c r="AU440" s="93"/>
      <c r="AV440" s="300"/>
      <c r="AW440" s="93"/>
      <c r="AX440" s="66">
        <f t="shared" si="67"/>
        <v>2.7</v>
      </c>
      <c r="AY440" s="78">
        <f t="shared" si="68"/>
        <v>56.25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237.52500000000003</v>
      </c>
      <c r="BC440" s="53">
        <f t="shared" si="70"/>
        <v>54.325000000000003</v>
      </c>
    </row>
    <row r="441" spans="1:55" ht="13.15">
      <c r="A441" t="s">
        <v>1471</v>
      </c>
      <c r="B441" t="s">
        <v>1468</v>
      </c>
      <c r="C441" s="52" t="s">
        <v>1469</v>
      </c>
      <c r="D441" s="52" t="s">
        <v>1469</v>
      </c>
      <c r="E441">
        <v>252.59999999999997</v>
      </c>
      <c r="F441">
        <v>52.9</v>
      </c>
      <c r="G441" s="64">
        <v>45335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69">
        <f t="shared" si="71"/>
        <v>1122.9166666666667</v>
      </c>
      <c r="Q441" s="81" t="s">
        <v>378</v>
      </c>
      <c r="R441" s="281">
        <v>36.200000000000003</v>
      </c>
      <c r="S441" s="89" t="s">
        <v>387</v>
      </c>
      <c r="T441" s="284">
        <v>1.8</v>
      </c>
      <c r="U441" s="81" t="s">
        <v>389</v>
      </c>
      <c r="V441" s="281">
        <v>2.8</v>
      </c>
      <c r="W441" s="81" t="s">
        <v>385</v>
      </c>
      <c r="X441" s="281">
        <v>0.5</v>
      </c>
      <c r="Y441" s="81" t="s">
        <v>386</v>
      </c>
      <c r="Z441" s="281">
        <v>0.5</v>
      </c>
      <c r="AA441" s="254" t="s">
        <v>393</v>
      </c>
      <c r="AB441" s="302">
        <v>12.1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300"/>
      <c r="AU441" s="93"/>
      <c r="AV441" s="300"/>
      <c r="AW441" s="93"/>
      <c r="AX441" s="66">
        <f t="shared" si="67"/>
        <v>53.9</v>
      </c>
      <c r="AY441" s="78">
        <f t="shared" si="68"/>
        <v>1122.9166666666667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814.05833333333339</v>
      </c>
      <c r="BC441" s="53">
        <f t="shared" si="70"/>
        <v>614.35833333333335</v>
      </c>
    </row>
    <row r="442" spans="1:55" ht="13.15">
      <c r="A442" t="s">
        <v>1472</v>
      </c>
      <c r="B442" t="s">
        <v>102</v>
      </c>
      <c r="C442" s="52" t="s">
        <v>1473</v>
      </c>
      <c r="D442" s="52" t="s">
        <v>1473</v>
      </c>
      <c r="E442">
        <v>0</v>
      </c>
      <c r="F442">
        <v>0</v>
      </c>
      <c r="G442" s="64">
        <v>0</v>
      </c>
      <c r="H442">
        <v>300</v>
      </c>
      <c r="I442">
        <v>300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69">
        <f t="shared" si="71"/>
        <v>91.666666666666671</v>
      </c>
      <c r="Q442" s="83" t="s">
        <v>496</v>
      </c>
      <c r="R442" s="286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300"/>
      <c r="AU442" s="93"/>
      <c r="AV442" s="300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">
        <v>1474</v>
      </c>
      <c r="B443" t="s">
        <v>129</v>
      </c>
      <c r="C443" s="52" t="s">
        <v>1475</v>
      </c>
      <c r="D443" s="52" t="s">
        <v>1475</v>
      </c>
      <c r="E443" t="s">
        <v>1476</v>
      </c>
      <c r="F443" t="s">
        <v>1476</v>
      </c>
      <c r="G443" s="64">
        <v>44084</v>
      </c>
      <c r="H443">
        <v>250</v>
      </c>
      <c r="I443">
        <v>250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300"/>
      <c r="AU443" s="93"/>
      <c r="AV443" s="300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">
        <v>1477</v>
      </c>
      <c r="B444" t="s">
        <v>153</v>
      </c>
      <c r="C444" s="52" t="s">
        <v>1478</v>
      </c>
      <c r="D444" s="52" t="s">
        <v>1478</v>
      </c>
      <c r="E444">
        <v>42</v>
      </c>
      <c r="F444">
        <v>42</v>
      </c>
      <c r="G444" s="64">
        <v>44113</v>
      </c>
      <c r="H444" t="s">
        <v>1479</v>
      </c>
      <c r="I444" t="s">
        <v>1479</v>
      </c>
      <c r="J444">
        <v>0</v>
      </c>
      <c r="K444">
        <v>0</v>
      </c>
      <c r="L444">
        <v>3</v>
      </c>
      <c r="M444">
        <v>3</v>
      </c>
      <c r="N444">
        <v>3</v>
      </c>
      <c r="O444"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300"/>
      <c r="AU444" s="93"/>
      <c r="AV444" s="300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">
        <v>1480</v>
      </c>
      <c r="B445" t="s">
        <v>181</v>
      </c>
      <c r="C445" s="52" t="s">
        <v>1481</v>
      </c>
      <c r="D445" s="52" t="s">
        <v>1481</v>
      </c>
      <c r="E445">
        <v>60</v>
      </c>
      <c r="F445">
        <v>60</v>
      </c>
      <c r="G445" s="64">
        <v>44991</v>
      </c>
      <c r="H445">
        <v>300</v>
      </c>
      <c r="I445" t="s">
        <v>1482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300"/>
      <c r="AU445" s="93"/>
      <c r="AV445" s="300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">
        <v>1483</v>
      </c>
      <c r="B446" t="s">
        <v>181</v>
      </c>
      <c r="C446" s="52" t="s">
        <v>1481</v>
      </c>
      <c r="D446" s="52" t="s">
        <v>1481</v>
      </c>
      <c r="E446">
        <v>180</v>
      </c>
      <c r="F446">
        <v>0</v>
      </c>
      <c r="G446" s="64">
        <v>44991</v>
      </c>
      <c r="H446">
        <v>300</v>
      </c>
      <c r="I446">
        <v>300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s="69">
        <f t="shared" si="71"/>
        <v>10.416666666666666</v>
      </c>
      <c r="Q446" s="92" t="s">
        <v>650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300"/>
      <c r="AU446" s="93"/>
      <c r="AV446" s="300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">
        <v>1484</v>
      </c>
      <c r="B447" t="s">
        <v>203</v>
      </c>
      <c r="C447" s="52" t="s">
        <v>1485</v>
      </c>
      <c r="D447" s="52" t="s">
        <v>1485</v>
      </c>
      <c r="E447">
        <v>53.7</v>
      </c>
      <c r="F447">
        <v>2.2999999999999998</v>
      </c>
      <c r="G447" s="64">
        <v>45335</v>
      </c>
      <c r="H447">
        <v>360</v>
      </c>
      <c r="I447">
        <v>360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69">
        <f t="shared" si="71"/>
        <v>454.16666666666669</v>
      </c>
      <c r="Q447" s="81" t="s">
        <v>1486</v>
      </c>
      <c r="R447" s="82">
        <v>5</v>
      </c>
      <c r="S447" s="81" t="s">
        <v>1380</v>
      </c>
      <c r="T447" s="82">
        <v>11.7</v>
      </c>
      <c r="U447" s="83" t="s">
        <v>671</v>
      </c>
      <c r="V447" s="84">
        <v>2</v>
      </c>
      <c r="W447" s="85" t="s">
        <v>671</v>
      </c>
      <c r="X447" s="86">
        <v>1.8</v>
      </c>
      <c r="Y447" s="92" t="s">
        <v>672</v>
      </c>
      <c r="Z447" s="80">
        <v>1.3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300"/>
      <c r="AU447" s="93"/>
      <c r="AV447" s="300"/>
      <c r="AW447" s="93"/>
      <c r="AX447" s="66">
        <f t="shared" si="67"/>
        <v>21.8</v>
      </c>
      <c r="AY447" s="78">
        <f t="shared" si="68"/>
        <v>454.16666666666669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280.78333333333336</v>
      </c>
      <c r="BC447" s="53">
        <f t="shared" si="70"/>
        <v>229.38333333333335</v>
      </c>
    </row>
    <row r="448" spans="1:55" ht="13.15">
      <c r="A448" t="s">
        <v>1487</v>
      </c>
      <c r="B448" t="s">
        <v>203</v>
      </c>
      <c r="C448" s="52" t="s">
        <v>1485</v>
      </c>
      <c r="D448" s="52" t="s">
        <v>1485</v>
      </c>
      <c r="E448">
        <v>140</v>
      </c>
      <c r="F448">
        <v>40</v>
      </c>
      <c r="G448" s="64">
        <v>44991</v>
      </c>
      <c r="H448">
        <v>300</v>
      </c>
      <c r="I448">
        <v>300</v>
      </c>
      <c r="J448">
        <v>6</v>
      </c>
      <c r="K448">
        <v>2</v>
      </c>
      <c r="L448">
        <v>0</v>
      </c>
      <c r="M448">
        <v>14</v>
      </c>
      <c r="N448">
        <v>7</v>
      </c>
      <c r="O448"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300"/>
      <c r="AU448" s="93"/>
      <c r="AV448" s="300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">
        <v>1488</v>
      </c>
      <c r="B449" t="s">
        <v>203</v>
      </c>
      <c r="C449" s="52" t="s">
        <v>1485</v>
      </c>
      <c r="D449" s="52" t="s">
        <v>1485</v>
      </c>
      <c r="E449">
        <v>80</v>
      </c>
      <c r="F449">
        <v>15</v>
      </c>
      <c r="G449" s="64">
        <v>44991</v>
      </c>
      <c r="H449">
        <v>300</v>
      </c>
      <c r="I449">
        <v>300</v>
      </c>
      <c r="J449">
        <v>6</v>
      </c>
      <c r="K449">
        <v>1</v>
      </c>
      <c r="L449">
        <v>2</v>
      </c>
      <c r="M449">
        <v>24</v>
      </c>
      <c r="N449">
        <v>11</v>
      </c>
      <c r="O449">
        <v>0</v>
      </c>
      <c r="P449" s="69">
        <f t="shared" si="71"/>
        <v>31.25</v>
      </c>
      <c r="Q449" s="81" t="s">
        <v>669</v>
      </c>
      <c r="R449" s="82">
        <v>0.5</v>
      </c>
      <c r="S449" s="85" t="s">
        <v>1489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300"/>
      <c r="AU449" s="93"/>
      <c r="AV449" s="300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">
        <v>1490</v>
      </c>
      <c r="B450" t="s">
        <v>215</v>
      </c>
      <c r="C450" s="52" t="s">
        <v>1491</v>
      </c>
      <c r="D450" s="52" t="s">
        <v>1491</v>
      </c>
      <c r="E450">
        <v>125</v>
      </c>
      <c r="F450">
        <v>125</v>
      </c>
      <c r="G450" s="64">
        <v>44991</v>
      </c>
      <c r="H450">
        <v>300</v>
      </c>
      <c r="I450">
        <v>300</v>
      </c>
      <c r="J450">
        <v>5</v>
      </c>
      <c r="K450">
        <v>0</v>
      </c>
      <c r="L450">
        <v>0</v>
      </c>
      <c r="M450">
        <v>9</v>
      </c>
      <c r="N450">
        <v>9</v>
      </c>
      <c r="O450"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300"/>
      <c r="AU450" s="93"/>
      <c r="AV450" s="300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">
        <v>1492</v>
      </c>
      <c r="B451" t="s">
        <v>1493</v>
      </c>
      <c r="C451" s="52" t="s">
        <v>1494</v>
      </c>
      <c r="D451" s="52" t="s">
        <v>1494</v>
      </c>
      <c r="E451">
        <v>0</v>
      </c>
      <c r="F451">
        <v>0</v>
      </c>
      <c r="G451" s="64">
        <v>0</v>
      </c>
      <c r="H451">
        <v>300</v>
      </c>
      <c r="I451">
        <v>300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300"/>
      <c r="AU451" s="93"/>
      <c r="AV451" s="300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">
        <v>1495</v>
      </c>
      <c r="B452" t="s">
        <v>1493</v>
      </c>
      <c r="C452" s="52" t="s">
        <v>1496</v>
      </c>
      <c r="D452" s="52" t="s">
        <v>1496</v>
      </c>
      <c r="E452">
        <v>50</v>
      </c>
      <c r="F452">
        <v>50</v>
      </c>
      <c r="G452" s="64">
        <v>44162</v>
      </c>
      <c r="H452">
        <v>300</v>
      </c>
      <c r="I452">
        <v>300</v>
      </c>
      <c r="J452">
        <v>4</v>
      </c>
      <c r="K452">
        <v>0</v>
      </c>
      <c r="L452">
        <v>0</v>
      </c>
      <c r="M452">
        <v>3</v>
      </c>
      <c r="N452">
        <v>1</v>
      </c>
      <c r="O452"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300"/>
      <c r="AU452" s="93"/>
      <c r="AV452" s="300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">
        <v>1497</v>
      </c>
      <c r="B453" t="s">
        <v>226</v>
      </c>
      <c r="C453" s="52" t="s">
        <v>1498</v>
      </c>
      <c r="D453" s="52" t="s">
        <v>1498</v>
      </c>
      <c r="E453">
        <v>160</v>
      </c>
      <c r="F453">
        <v>160</v>
      </c>
      <c r="G453" s="64">
        <v>45068</v>
      </c>
      <c r="H453">
        <v>300</v>
      </c>
      <c r="I453">
        <v>300</v>
      </c>
      <c r="J453">
        <v>5</v>
      </c>
      <c r="K453">
        <v>1</v>
      </c>
      <c r="L453">
        <v>0</v>
      </c>
      <c r="M453">
        <v>2</v>
      </c>
      <c r="N453">
        <v>9</v>
      </c>
      <c r="O453">
        <v>0</v>
      </c>
      <c r="P453" s="69">
        <f t="shared" si="71"/>
        <v>62.5</v>
      </c>
      <c r="Q453" s="257" t="s">
        <v>563</v>
      </c>
      <c r="R453" s="256">
        <v>2</v>
      </c>
      <c r="S453" s="99" t="s">
        <v>702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300"/>
      <c r="AU453" s="93"/>
      <c r="AV453" s="300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">
        <v>1499</v>
      </c>
      <c r="B454" t="s">
        <v>226</v>
      </c>
      <c r="C454" s="52" t="s">
        <v>1498</v>
      </c>
      <c r="D454" s="52" t="s">
        <v>1498</v>
      </c>
      <c r="E454">
        <v>170</v>
      </c>
      <c r="F454">
        <v>170</v>
      </c>
      <c r="G454" s="64">
        <v>45068</v>
      </c>
      <c r="H454">
        <v>300</v>
      </c>
      <c r="I454">
        <v>300</v>
      </c>
      <c r="J454">
        <v>4</v>
      </c>
      <c r="K454">
        <v>0</v>
      </c>
      <c r="L454">
        <v>0</v>
      </c>
      <c r="M454">
        <v>4</v>
      </c>
      <c r="N454">
        <v>6</v>
      </c>
      <c r="O454">
        <v>0</v>
      </c>
      <c r="P454" s="69">
        <f t="shared" si="71"/>
        <v>10.416666666666666</v>
      </c>
      <c r="Q454" s="81" t="s">
        <v>704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300"/>
      <c r="AU454" s="93"/>
      <c r="AV454" s="300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">
        <v>1500</v>
      </c>
      <c r="B455" t="s">
        <v>263</v>
      </c>
      <c r="C455" s="52" t="s">
        <v>1501</v>
      </c>
      <c r="D455" s="52" t="s">
        <v>1501</v>
      </c>
      <c r="E455">
        <v>80</v>
      </c>
      <c r="F455">
        <v>90</v>
      </c>
      <c r="G455" s="64">
        <v>44042</v>
      </c>
      <c r="H455">
        <v>300</v>
      </c>
      <c r="I455">
        <v>300</v>
      </c>
      <c r="J455">
        <v>0</v>
      </c>
      <c r="K455">
        <v>8</v>
      </c>
      <c r="L455">
        <v>0</v>
      </c>
      <c r="M455">
        <v>17</v>
      </c>
      <c r="N455">
        <v>11</v>
      </c>
      <c r="O455"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300"/>
      <c r="AU455" s="93"/>
      <c r="AV455" s="300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">
        <v>1502</v>
      </c>
      <c r="B456" t="s">
        <v>263</v>
      </c>
      <c r="C456" s="52" t="s">
        <v>1501</v>
      </c>
      <c r="D456" s="52" t="s">
        <v>1501</v>
      </c>
      <c r="E456">
        <v>80</v>
      </c>
      <c r="F456">
        <v>70</v>
      </c>
      <c r="G456" s="64">
        <v>44042</v>
      </c>
      <c r="H456">
        <v>0</v>
      </c>
      <c r="I456">
        <v>0</v>
      </c>
      <c r="J456">
        <v>5</v>
      </c>
      <c r="K456">
        <v>10</v>
      </c>
      <c r="L456">
        <v>0</v>
      </c>
      <c r="M456">
        <v>6</v>
      </c>
      <c r="N456">
        <v>11</v>
      </c>
      <c r="O456"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300"/>
      <c r="AU456" s="93"/>
      <c r="AV456" s="300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">
        <v>1503</v>
      </c>
      <c r="B457" t="s">
        <v>263</v>
      </c>
      <c r="C457" s="52" t="s">
        <v>1501</v>
      </c>
      <c r="D457" s="52" t="s">
        <v>1501</v>
      </c>
      <c r="E457">
        <v>90</v>
      </c>
      <c r="F457">
        <v>90</v>
      </c>
      <c r="G457" s="64">
        <v>42983</v>
      </c>
      <c r="H457">
        <v>300</v>
      </c>
      <c r="I457">
        <v>300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12</v>
      </c>
      <c r="P457" s="69">
        <f t="shared" si="71"/>
        <v>20.833333333333332</v>
      </c>
      <c r="Q457" s="303" t="s">
        <v>760</v>
      </c>
      <c r="R457" s="304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300"/>
      <c r="AU457" s="93"/>
      <c r="AV457" s="300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">
        <v>1504</v>
      </c>
      <c r="B458" t="s">
        <v>193</v>
      </c>
      <c r="C458" s="52" t="s">
        <v>1505</v>
      </c>
      <c r="D458" s="52" t="s">
        <v>1505</v>
      </c>
      <c r="E458" t="s">
        <v>840</v>
      </c>
      <c r="F458" t="s">
        <v>840</v>
      </c>
      <c r="G458" s="64">
        <v>44998</v>
      </c>
      <c r="H458">
        <v>300</v>
      </c>
      <c r="I458">
        <v>300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300"/>
      <c r="AU458" s="93"/>
      <c r="AV458" s="300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">
        <v>1506</v>
      </c>
      <c r="B459" t="s">
        <v>193</v>
      </c>
      <c r="C459" s="52" t="s">
        <v>1505</v>
      </c>
      <c r="D459" s="52" t="s">
        <v>1505</v>
      </c>
      <c r="E459">
        <v>0</v>
      </c>
      <c r="F459">
        <v>50</v>
      </c>
      <c r="G459" s="64">
        <v>44998</v>
      </c>
      <c r="H459">
        <v>300</v>
      </c>
      <c r="I459">
        <v>300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69">
        <f t="shared" si="71"/>
        <v>41.666666666666664</v>
      </c>
      <c r="Q459" s="81" t="s">
        <v>660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300"/>
      <c r="AU459" s="93"/>
      <c r="AV459" s="300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">
        <v>1507</v>
      </c>
      <c r="B460" t="s">
        <v>192</v>
      </c>
      <c r="C460" s="52" t="s">
        <v>1505</v>
      </c>
      <c r="D460" s="52" t="s">
        <v>1505</v>
      </c>
      <c r="E460">
        <v>45</v>
      </c>
      <c r="F460">
        <v>0</v>
      </c>
      <c r="G460" s="64">
        <v>44998</v>
      </c>
      <c r="H460">
        <v>300</v>
      </c>
      <c r="I460">
        <v>300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300"/>
      <c r="AU460" s="93"/>
      <c r="AV460" s="300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">
        <v>1508</v>
      </c>
      <c r="B461" t="s">
        <v>193</v>
      </c>
      <c r="C461" s="52" t="s">
        <v>1505</v>
      </c>
      <c r="D461" s="52" t="s">
        <v>1505</v>
      </c>
      <c r="E461">
        <v>0</v>
      </c>
      <c r="F461">
        <v>85</v>
      </c>
      <c r="G461" s="64">
        <v>44998</v>
      </c>
      <c r="H461">
        <v>300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300"/>
      <c r="AU461" s="93"/>
      <c r="AV461" s="300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">
        <v>1509</v>
      </c>
      <c r="B462" t="s">
        <v>192</v>
      </c>
      <c r="C462" s="52" t="s">
        <v>1505</v>
      </c>
      <c r="D462" s="52" t="s">
        <v>1505</v>
      </c>
      <c r="E462">
        <v>80</v>
      </c>
      <c r="F462">
        <v>7</v>
      </c>
      <c r="G462" s="64">
        <v>42914</v>
      </c>
      <c r="H462">
        <v>300</v>
      </c>
      <c r="I462">
        <v>300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300"/>
      <c r="AU462" s="93"/>
      <c r="AV462" s="300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">
        <v>1510</v>
      </c>
      <c r="B463" t="s">
        <v>241</v>
      </c>
      <c r="C463" s="52" t="s">
        <v>1511</v>
      </c>
      <c r="D463" s="52" t="s">
        <v>1511</v>
      </c>
      <c r="E463">
        <v>61</v>
      </c>
      <c r="F463">
        <v>93</v>
      </c>
      <c r="G463" s="64">
        <v>44999</v>
      </c>
      <c r="H463">
        <v>300</v>
      </c>
      <c r="I463">
        <v>300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29</v>
      </c>
      <c r="P463" s="69">
        <f t="shared" si="71"/>
        <v>125</v>
      </c>
      <c r="Q463" s="81" t="s">
        <v>728</v>
      </c>
      <c r="R463" s="82">
        <v>5</v>
      </c>
      <c r="S463" s="99" t="s">
        <v>729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300"/>
      <c r="AU463" s="93"/>
      <c r="AV463" s="300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">
        <v>1512</v>
      </c>
      <c r="B464" t="s">
        <v>241</v>
      </c>
      <c r="C464" s="52" t="s">
        <v>1511</v>
      </c>
      <c r="D464" s="52" t="s">
        <v>1511</v>
      </c>
      <c r="E464">
        <v>0</v>
      </c>
      <c r="F464">
        <v>0</v>
      </c>
      <c r="G464" s="64">
        <v>39873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300"/>
      <c r="AU464" s="93"/>
      <c r="AV464" s="300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">
        <v>1513</v>
      </c>
      <c r="B465" t="s">
        <v>907</v>
      </c>
      <c r="C465" s="52" t="s">
        <v>904</v>
      </c>
      <c r="D465" s="52" t="s">
        <v>904</v>
      </c>
      <c r="E465">
        <v>63</v>
      </c>
      <c r="F465">
        <v>59</v>
      </c>
      <c r="G465" s="64">
        <v>45034</v>
      </c>
      <c r="H465">
        <v>300</v>
      </c>
      <c r="I465">
        <v>300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36</v>
      </c>
      <c r="P465" s="69">
        <f t="shared" si="71"/>
        <v>333.33333333333331</v>
      </c>
      <c r="Q465" s="106" t="s">
        <v>723</v>
      </c>
      <c r="R465" s="320">
        <v>2.5</v>
      </c>
      <c r="S465" s="106" t="s">
        <v>724</v>
      </c>
      <c r="T465" s="320">
        <v>2.5</v>
      </c>
      <c r="U465" s="83" t="s">
        <v>725</v>
      </c>
      <c r="V465" s="286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300"/>
      <c r="AU465" s="93"/>
      <c r="AV465" s="300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">
        <v>1514</v>
      </c>
      <c r="B466" t="s">
        <v>164</v>
      </c>
      <c r="C466" s="52" t="s">
        <v>1157</v>
      </c>
      <c r="D466" s="52" t="s">
        <v>1157</v>
      </c>
      <c r="E466">
        <v>97</v>
      </c>
      <c r="F466">
        <v>101</v>
      </c>
      <c r="G466" s="64">
        <v>0</v>
      </c>
      <c r="H466">
        <v>300</v>
      </c>
      <c r="I466">
        <v>300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300"/>
      <c r="AU466" s="93"/>
      <c r="AV466" s="300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">
        <v>1515</v>
      </c>
      <c r="B467" t="s">
        <v>65</v>
      </c>
      <c r="C467" s="52" t="s">
        <v>1042</v>
      </c>
      <c r="D467" s="52" t="s">
        <v>1042</v>
      </c>
      <c r="E467">
        <v>109.7</v>
      </c>
      <c r="F467">
        <v>115.5</v>
      </c>
      <c r="G467" s="64">
        <v>45337</v>
      </c>
      <c r="H467">
        <v>200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69">
        <f t="shared" si="71"/>
        <v>285.41666666666669</v>
      </c>
      <c r="Q467" s="81" t="s">
        <v>413</v>
      </c>
      <c r="R467" s="82">
        <v>1.4</v>
      </c>
      <c r="S467" s="89" t="s">
        <v>411</v>
      </c>
      <c r="T467" s="90">
        <v>2.2000000000000002</v>
      </c>
      <c r="U467" s="89" t="s">
        <v>412</v>
      </c>
      <c r="V467" s="90">
        <v>2</v>
      </c>
      <c r="W467" s="99" t="s">
        <v>416</v>
      </c>
      <c r="X467" s="117">
        <v>4</v>
      </c>
      <c r="Y467" s="264" t="s">
        <v>415</v>
      </c>
      <c r="Z467" s="90">
        <v>2.2999999999999998</v>
      </c>
      <c r="AA467" s="89" t="s">
        <v>410</v>
      </c>
      <c r="AB467" s="90">
        <v>1.8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300"/>
      <c r="AU467" s="93"/>
      <c r="AV467" s="300"/>
      <c r="AW467" s="93"/>
      <c r="AX467" s="66">
        <f t="shared" si="67"/>
        <v>13.7</v>
      </c>
      <c r="AY467" s="78">
        <f t="shared" si="68"/>
        <v>285.41666666666669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252.40833333333336</v>
      </c>
      <c r="BC467" s="53">
        <f t="shared" si="70"/>
        <v>258.20833333333337</v>
      </c>
    </row>
    <row r="468" spans="1:55" ht="13.15">
      <c r="A468" t="s">
        <v>1516</v>
      </c>
      <c r="B468" t="s">
        <v>73</v>
      </c>
      <c r="C468" s="52" t="s">
        <v>1336</v>
      </c>
      <c r="D468" s="52" t="s">
        <v>1336</v>
      </c>
      <c r="E468">
        <v>18</v>
      </c>
      <c r="F468">
        <v>17.899999999999999</v>
      </c>
      <c r="G468" s="64">
        <v>45337</v>
      </c>
      <c r="H468">
        <v>360</v>
      </c>
      <c r="I468">
        <v>360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69">
        <f t="shared" si="71"/>
        <v>510.41666666666669</v>
      </c>
      <c r="Q468" s="106" t="s">
        <v>456</v>
      </c>
      <c r="R468" s="256">
        <v>1.7</v>
      </c>
      <c r="S468" s="257" t="s">
        <v>1517</v>
      </c>
      <c r="T468" s="256">
        <v>7.5</v>
      </c>
      <c r="U468" s="83" t="s">
        <v>459</v>
      </c>
      <c r="V468" s="286">
        <v>2</v>
      </c>
      <c r="W468" s="106" t="s">
        <v>1518</v>
      </c>
      <c r="X468" s="296">
        <v>2.9</v>
      </c>
      <c r="Y468" s="92" t="s">
        <v>455</v>
      </c>
      <c r="Z468" s="80">
        <v>10.4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300"/>
      <c r="AU468" s="93"/>
      <c r="AV468" s="300"/>
      <c r="AW468" s="93"/>
      <c r="AX468" s="66">
        <f t="shared" si="67"/>
        <v>24.5</v>
      </c>
      <c r="AY468" s="78">
        <f t="shared" si="68"/>
        <v>510.41666666666669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273.20833333333337</v>
      </c>
      <c r="BC468" s="53">
        <f t="shared" si="70"/>
        <v>273.10833333333335</v>
      </c>
    </row>
    <row r="469" spans="1:55" ht="13.15">
      <c r="A469" t="s">
        <v>1519</v>
      </c>
      <c r="B469" t="s">
        <v>159</v>
      </c>
      <c r="C469" s="52" t="s">
        <v>1070</v>
      </c>
      <c r="D469" s="52" t="s">
        <v>1070</v>
      </c>
      <c r="E469">
        <v>10.600000000000001</v>
      </c>
      <c r="F469">
        <v>0</v>
      </c>
      <c r="G469" s="64">
        <v>45335</v>
      </c>
      <c r="H469">
        <v>360</v>
      </c>
      <c r="I469">
        <v>360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69">
        <f t="shared" si="71"/>
        <v>304.16666666666669</v>
      </c>
      <c r="Q469" s="101"/>
      <c r="R469" s="100"/>
      <c r="S469" s="257" t="s">
        <v>1520</v>
      </c>
      <c r="T469" s="256">
        <v>1</v>
      </c>
      <c r="U469" s="106" t="s">
        <v>597</v>
      </c>
      <c r="V469" s="270">
        <v>3.7</v>
      </c>
      <c r="W469" s="313" t="s">
        <v>1521</v>
      </c>
      <c r="X469" s="270">
        <v>3.9</v>
      </c>
      <c r="Y469" s="316" t="s">
        <v>599</v>
      </c>
      <c r="Z469" s="317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300"/>
      <c r="AU469" s="93"/>
      <c r="AV469" s="300"/>
      <c r="AW469" s="93"/>
      <c r="AX469" s="66">
        <f t="shared" si="67"/>
        <v>14.6</v>
      </c>
      <c r="AY469" s="78">
        <f t="shared" si="68"/>
        <v>304.16666666666669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162.68333333333334</v>
      </c>
      <c r="BC469" s="53">
        <f t="shared" si="70"/>
        <v>152.08333333333334</v>
      </c>
    </row>
    <row r="470" spans="1:55" ht="13.15">
      <c r="A470" t="s">
        <v>1522</v>
      </c>
      <c r="B470" t="s">
        <v>171</v>
      </c>
      <c r="C470" s="52" t="s">
        <v>1188</v>
      </c>
      <c r="D470" s="52" t="s">
        <v>1188</v>
      </c>
      <c r="E470">
        <v>5.5</v>
      </c>
      <c r="F470">
        <v>5.3</v>
      </c>
      <c r="G470" s="64">
        <v>45335</v>
      </c>
      <c r="H470">
        <v>360</v>
      </c>
      <c r="I470">
        <v>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69">
        <f t="shared" si="71"/>
        <v>179.16666666666666</v>
      </c>
      <c r="Q470" s="313" t="s">
        <v>1523</v>
      </c>
      <c r="R470" s="320">
        <v>3.6</v>
      </c>
      <c r="S470" s="89" t="s">
        <v>625</v>
      </c>
      <c r="T470" s="304">
        <v>5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300"/>
      <c r="AU470" s="93"/>
      <c r="AV470" s="300"/>
      <c r="AW470" s="93"/>
      <c r="AX470" s="66">
        <f t="shared" si="67"/>
        <v>8.6</v>
      </c>
      <c r="AY470" s="78">
        <f t="shared" si="68"/>
        <v>179.16666666666666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95.083333333333329</v>
      </c>
      <c r="BC470" s="53">
        <f t="shared" si="70"/>
        <v>94.883333333333326</v>
      </c>
    </row>
    <row r="471" spans="1:55" ht="13.15">
      <c r="A471" t="s">
        <v>1524</v>
      </c>
      <c r="B471" t="s">
        <v>903</v>
      </c>
      <c r="C471" s="52" t="s">
        <v>904</v>
      </c>
      <c r="D471" s="52" t="s">
        <v>904</v>
      </c>
      <c r="E471">
        <v>0</v>
      </c>
      <c r="F471">
        <v>0</v>
      </c>
      <c r="G471" s="64">
        <v>0</v>
      </c>
      <c r="H471">
        <v>600</v>
      </c>
      <c r="I471">
        <v>600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300"/>
      <c r="AU471" s="93"/>
      <c r="AV471" s="300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">
        <v>1525</v>
      </c>
      <c r="B472" t="s">
        <v>88</v>
      </c>
      <c r="C472" s="52" t="s">
        <v>842</v>
      </c>
      <c r="D472" s="52" t="s">
        <v>842</v>
      </c>
      <c r="E472">
        <v>0</v>
      </c>
      <c r="F472">
        <v>0.3</v>
      </c>
      <c r="G472" s="64">
        <v>0</v>
      </c>
      <c r="H472">
        <v>600</v>
      </c>
      <c r="I472">
        <v>600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300"/>
      <c r="AU472" s="93"/>
      <c r="AV472" s="300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">
        <v>1526</v>
      </c>
      <c r="B473" t="s">
        <v>240</v>
      </c>
      <c r="C473" s="52" t="s">
        <v>1280</v>
      </c>
      <c r="D473" s="52" t="s">
        <v>1280</v>
      </c>
      <c r="E473">
        <v>0</v>
      </c>
      <c r="F473">
        <v>0</v>
      </c>
      <c r="G473" s="64">
        <v>44860</v>
      </c>
      <c r="H473">
        <v>300</v>
      </c>
      <c r="I473">
        <v>300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300"/>
      <c r="AU473" s="93"/>
      <c r="AV473" s="300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">
        <v>1527</v>
      </c>
      <c r="B474" t="s">
        <v>224</v>
      </c>
      <c r="C474" s="52" t="s">
        <v>1528</v>
      </c>
      <c r="D474" s="52" t="s">
        <v>1528</v>
      </c>
      <c r="E474">
        <v>140</v>
      </c>
      <c r="F474">
        <v>137</v>
      </c>
      <c r="G474" s="64">
        <v>44971</v>
      </c>
      <c r="H474">
        <v>300</v>
      </c>
      <c r="I474">
        <v>300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</v>
      </c>
      <c r="P474" s="69">
        <f t="shared" si="84"/>
        <v>114.58333333333333</v>
      </c>
      <c r="Q474" s="83" t="s">
        <v>700</v>
      </c>
      <c r="R474" s="286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300"/>
      <c r="AU474" s="93"/>
      <c r="AV474" s="300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">
        <v>1529</v>
      </c>
      <c r="B475" t="s">
        <v>224</v>
      </c>
      <c r="C475" s="52" t="s">
        <v>1528</v>
      </c>
      <c r="D475" s="52" t="s">
        <v>1528</v>
      </c>
      <c r="E475">
        <v>3</v>
      </c>
      <c r="F475">
        <v>2.7</v>
      </c>
      <c r="G475" s="64">
        <v>44971</v>
      </c>
      <c r="H475">
        <v>80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300"/>
      <c r="AU475" s="93"/>
      <c r="AV475" s="300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">
        <v>1530</v>
      </c>
      <c r="B476" t="s">
        <v>224</v>
      </c>
      <c r="C476" s="52" t="s">
        <v>1528</v>
      </c>
      <c r="D476" s="52" t="s">
        <v>1528</v>
      </c>
      <c r="E476" t="s">
        <v>840</v>
      </c>
      <c r="F476" t="s">
        <v>840</v>
      </c>
      <c r="G476" s="64">
        <v>44971</v>
      </c>
      <c r="H476">
        <v>80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300"/>
      <c r="AU476" s="93"/>
      <c r="AV476" s="300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">
        <v>1531</v>
      </c>
      <c r="B477" t="s">
        <v>224</v>
      </c>
      <c r="C477" s="52" t="s">
        <v>1528</v>
      </c>
      <c r="D477" s="52" t="s">
        <v>1528</v>
      </c>
      <c r="E477">
        <v>2.5</v>
      </c>
      <c r="F477">
        <v>2.5</v>
      </c>
      <c r="G477" s="64">
        <v>44971</v>
      </c>
      <c r="H477">
        <v>80</v>
      </c>
      <c r="I477">
        <v>80</v>
      </c>
      <c r="J477">
        <v>0</v>
      </c>
      <c r="K477">
        <v>0</v>
      </c>
      <c r="L477">
        <v>0</v>
      </c>
      <c r="M477">
        <v>1</v>
      </c>
      <c r="N477">
        <v>6</v>
      </c>
      <c r="O477"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300"/>
      <c r="AU477" s="93"/>
      <c r="AV477" s="300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">
        <v>1532</v>
      </c>
      <c r="B478" t="s">
        <v>224</v>
      </c>
      <c r="C478" s="52" t="s">
        <v>1528</v>
      </c>
      <c r="D478" s="52" t="s">
        <v>1528</v>
      </c>
      <c r="E478">
        <v>2.8</v>
      </c>
      <c r="F478">
        <v>1.9</v>
      </c>
      <c r="G478" s="64">
        <v>44971</v>
      </c>
      <c r="H478">
        <v>80</v>
      </c>
      <c r="I478">
        <v>80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300"/>
      <c r="AU478" s="93"/>
      <c r="AV478" s="300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">
        <v>1533</v>
      </c>
      <c r="B479" t="s">
        <v>224</v>
      </c>
      <c r="C479" s="52" t="s">
        <v>1528</v>
      </c>
      <c r="D479" s="52" t="s">
        <v>1528</v>
      </c>
      <c r="E479">
        <v>13.2</v>
      </c>
      <c r="F479">
        <v>10.8</v>
      </c>
      <c r="G479" s="64">
        <v>44971</v>
      </c>
      <c r="H479">
        <v>80</v>
      </c>
      <c r="I479">
        <v>80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300"/>
      <c r="AU479" s="93"/>
      <c r="AV479" s="300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">
        <v>1534</v>
      </c>
      <c r="B480" t="s">
        <v>224</v>
      </c>
      <c r="C480" s="52" t="s">
        <v>1528</v>
      </c>
      <c r="D480" s="52" t="s">
        <v>1528</v>
      </c>
      <c r="E480">
        <v>9.6</v>
      </c>
      <c r="F480">
        <v>9.1</v>
      </c>
      <c r="G480" s="64">
        <v>44971</v>
      </c>
      <c r="H480">
        <v>80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300"/>
      <c r="AU480" s="93"/>
      <c r="AV480" s="300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">
        <v>1535</v>
      </c>
      <c r="B481" t="s">
        <v>224</v>
      </c>
      <c r="C481" s="52" t="s">
        <v>1528</v>
      </c>
      <c r="D481" s="52" t="s">
        <v>1528</v>
      </c>
      <c r="E481">
        <v>30.4</v>
      </c>
      <c r="F481">
        <v>31.4</v>
      </c>
      <c r="G481" s="64">
        <v>44971</v>
      </c>
      <c r="H481">
        <v>80</v>
      </c>
      <c r="I481">
        <v>80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300"/>
      <c r="AU481" s="93"/>
      <c r="AV481" s="300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">
        <v>1536</v>
      </c>
      <c r="B482" t="s">
        <v>224</v>
      </c>
      <c r="C482" s="52" t="s">
        <v>1528</v>
      </c>
      <c r="D482" s="52" t="s">
        <v>1528</v>
      </c>
      <c r="E482">
        <v>25.7</v>
      </c>
      <c r="F482">
        <v>25.7</v>
      </c>
      <c r="G482" s="64">
        <v>44971</v>
      </c>
      <c r="H482">
        <v>80</v>
      </c>
      <c r="I482">
        <v>80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300"/>
      <c r="AU482" s="93"/>
      <c r="AV482" s="300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">
        <v>1537</v>
      </c>
      <c r="B483" t="s">
        <v>224</v>
      </c>
      <c r="C483" s="52" t="s">
        <v>1528</v>
      </c>
      <c r="D483" s="52" t="s">
        <v>1528</v>
      </c>
      <c r="E483">
        <v>0</v>
      </c>
      <c r="F483">
        <v>0</v>
      </c>
      <c r="G483" s="64">
        <v>44971</v>
      </c>
      <c r="H483">
        <v>80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300"/>
      <c r="AU483" s="93"/>
      <c r="AV483" s="300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300"/>
      <c r="AU484" s="93"/>
      <c r="AV484" s="300"/>
      <c r="AW484" s="93"/>
    </row>
  </sheetData>
  <sheetProtection algorithmName="SHA-512" hashValue="fmXpgcXvXoURPci6MKjpl5oUm6Htp7TZaCnuZie+DShSfHSv6Wya73cykxz69AmURC7vOdtLE+mAXbegmLcONA==" saltValue="t8mhmaC/LerRKCqoTRKGfw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80" zoomScaleNormal="80" workbookViewId="0">
      <pane xSplit="1" ySplit="7" topLeftCell="B203" activePane="bottomRight" state="frozen"/>
      <selection pane="bottomRight" activeCell="D247" sqref="D247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1" width="9.28515625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1538</v>
      </c>
      <c r="B1" s="64">
        <f ca="1">TODAY()-365</f>
        <v>45349</v>
      </c>
    </row>
    <row r="2" spans="1:53">
      <c r="A2" s="52" t="s">
        <v>1539</v>
      </c>
      <c r="B2">
        <f ca="1">COUNTIF(K8:K254,"&lt;="&amp;B1)+COUNTIF(K8:K254,"")</f>
        <v>247</v>
      </c>
    </row>
    <row r="5" spans="1:53">
      <c r="A5" s="71" t="s">
        <v>1540</v>
      </c>
      <c r="B5" s="71" t="s">
        <v>1540</v>
      </c>
      <c r="C5" s="71" t="s">
        <v>1540</v>
      </c>
      <c r="D5" s="71" t="s">
        <v>1540</v>
      </c>
      <c r="E5" s="71" t="s">
        <v>1540</v>
      </c>
      <c r="F5" s="71" t="s">
        <v>1540</v>
      </c>
      <c r="G5" s="71" t="s">
        <v>1540</v>
      </c>
      <c r="H5" s="71" t="s">
        <v>1540</v>
      </c>
      <c r="I5" s="71" t="s">
        <v>1540</v>
      </c>
      <c r="J5" s="71" t="s">
        <v>1540</v>
      </c>
      <c r="K5" s="71" t="s">
        <v>1540</v>
      </c>
      <c r="L5" s="71" t="s">
        <v>1540</v>
      </c>
      <c r="M5" s="71" t="s">
        <v>1540</v>
      </c>
      <c r="N5" s="71" t="s">
        <v>1540</v>
      </c>
      <c r="O5" s="71" t="s">
        <v>1540</v>
      </c>
      <c r="P5" s="71" t="s">
        <v>1540</v>
      </c>
      <c r="Q5" s="71" t="s">
        <v>1540</v>
      </c>
      <c r="R5" s="71" t="s">
        <v>1540</v>
      </c>
      <c r="S5" s="71" t="s">
        <v>1540</v>
      </c>
      <c r="T5" s="71" t="s">
        <v>1540</v>
      </c>
      <c r="U5" s="71" t="s">
        <v>1540</v>
      </c>
      <c r="V5" s="71" t="s">
        <v>1540</v>
      </c>
      <c r="W5" s="71" t="s">
        <v>1540</v>
      </c>
      <c r="X5" s="71" t="s">
        <v>1540</v>
      </c>
      <c r="Y5" s="71" t="s">
        <v>1540</v>
      </c>
      <c r="Z5" s="71" t="s">
        <v>1540</v>
      </c>
    </row>
    <row r="6" spans="1:53">
      <c r="A6" s="72" t="s">
        <v>1541</v>
      </c>
      <c r="B6" s="72" t="s">
        <v>1541</v>
      </c>
      <c r="C6" s="72" t="s">
        <v>1541</v>
      </c>
      <c r="D6" s="72" t="s">
        <v>1541</v>
      </c>
      <c r="E6" s="72" t="s">
        <v>1541</v>
      </c>
      <c r="F6" s="73" t="s">
        <v>1542</v>
      </c>
      <c r="G6" s="73" t="s">
        <v>1542</v>
      </c>
      <c r="H6" s="73" t="s">
        <v>1542</v>
      </c>
      <c r="I6" s="73" t="s">
        <v>1542</v>
      </c>
      <c r="J6" s="73" t="s">
        <v>1542</v>
      </c>
      <c r="K6" s="73" t="s">
        <v>1542</v>
      </c>
      <c r="L6" s="73" t="s">
        <v>1542</v>
      </c>
      <c r="M6" s="73" t="s">
        <v>1542</v>
      </c>
      <c r="N6" s="73" t="s">
        <v>1542</v>
      </c>
      <c r="O6" s="73" t="s">
        <v>1542</v>
      </c>
      <c r="P6" s="74" t="s">
        <v>1543</v>
      </c>
      <c r="Q6" s="74" t="s">
        <v>1543</v>
      </c>
      <c r="R6" s="74" t="s">
        <v>1543</v>
      </c>
      <c r="S6" s="74" t="s">
        <v>1543</v>
      </c>
      <c r="T6" s="74" t="s">
        <v>1543</v>
      </c>
      <c r="U6" s="75" t="s">
        <v>1544</v>
      </c>
      <c r="V6" s="75" t="s">
        <v>1544</v>
      </c>
      <c r="W6" s="75" t="s">
        <v>1544</v>
      </c>
      <c r="X6" s="75" t="s">
        <v>1544</v>
      </c>
      <c r="Y6" s="76" t="s">
        <v>8</v>
      </c>
      <c r="Z6" s="76" t="s">
        <v>8</v>
      </c>
      <c r="AA6" s="73" t="s">
        <v>1542</v>
      </c>
      <c r="AB6" s="73" t="s">
        <v>1542</v>
      </c>
      <c r="AC6" s="73" t="s">
        <v>1542</v>
      </c>
      <c r="AD6" s="73" t="s">
        <v>1542</v>
      </c>
      <c r="AE6" s="73" t="s">
        <v>1542</v>
      </c>
      <c r="AF6" s="74" t="s">
        <v>1543</v>
      </c>
      <c r="AG6" s="74" t="s">
        <v>1543</v>
      </c>
      <c r="AH6" s="75" t="s">
        <v>1544</v>
      </c>
      <c r="AI6" s="75" t="s">
        <v>1544</v>
      </c>
      <c r="AJ6" s="75" t="s">
        <v>1544</v>
      </c>
      <c r="AK6" s="75" t="s">
        <v>1544</v>
      </c>
      <c r="AL6" s="75" t="s">
        <v>1544</v>
      </c>
      <c r="AM6" s="75" t="s">
        <v>1544</v>
      </c>
    </row>
    <row r="7" spans="1:53" ht="91.15">
      <c r="A7" t="s">
        <v>1545</v>
      </c>
      <c r="B7" t="s">
        <v>6</v>
      </c>
      <c r="C7" t="s">
        <v>1546</v>
      </c>
      <c r="D7" t="s">
        <v>1547</v>
      </c>
      <c r="E7" t="s">
        <v>1548</v>
      </c>
      <c r="F7" t="s">
        <v>1549</v>
      </c>
      <c r="G7" t="s">
        <v>1550</v>
      </c>
      <c r="H7" t="s">
        <v>1551</v>
      </c>
      <c r="I7" t="s">
        <v>1552</v>
      </c>
      <c r="J7" t="s">
        <v>1553</v>
      </c>
      <c r="K7" t="s">
        <v>289</v>
      </c>
      <c r="L7" t="s">
        <v>1554</v>
      </c>
      <c r="M7" t="s">
        <v>1555</v>
      </c>
      <c r="N7" t="s">
        <v>1556</v>
      </c>
      <c r="O7" t="s">
        <v>1557</v>
      </c>
      <c r="P7" t="s">
        <v>1558</v>
      </c>
      <c r="Q7" t="s">
        <v>1559</v>
      </c>
      <c r="R7" t="s">
        <v>1560</v>
      </c>
      <c r="S7" t="s">
        <v>1561</v>
      </c>
      <c r="T7" t="s">
        <v>1562</v>
      </c>
      <c r="U7" t="s">
        <v>1563</v>
      </c>
      <c r="V7" t="s">
        <v>1564</v>
      </c>
      <c r="W7" t="s">
        <v>1565</v>
      </c>
      <c r="X7" t="s">
        <v>1566</v>
      </c>
      <c r="Y7" t="s">
        <v>1567</v>
      </c>
      <c r="Z7" t="s">
        <v>1568</v>
      </c>
      <c r="AA7" s="15" t="s">
        <v>22</v>
      </c>
      <c r="AB7" s="16" t="s">
        <v>1569</v>
      </c>
      <c r="AC7" s="16" t="s">
        <v>1570</v>
      </c>
      <c r="AD7" s="16" t="s">
        <v>1571</v>
      </c>
      <c r="AE7" s="16" t="s">
        <v>1572</v>
      </c>
      <c r="AF7" s="1" t="s">
        <v>1573</v>
      </c>
      <c r="AG7" s="1" t="s">
        <v>1574</v>
      </c>
      <c r="AH7" s="18" t="s">
        <v>1575</v>
      </c>
      <c r="AI7" s="18" t="s">
        <v>1576</v>
      </c>
      <c r="AJ7" s="18" t="s">
        <v>1577</v>
      </c>
      <c r="AK7" s="1" t="s">
        <v>22</v>
      </c>
      <c r="AL7" s="1" t="s">
        <v>1578</v>
      </c>
      <c r="AM7" s="1" t="s">
        <v>1579</v>
      </c>
      <c r="AN7" s="107" t="s">
        <v>1580</v>
      </c>
      <c r="AO7" s="107" t="s">
        <v>282</v>
      </c>
      <c r="AP7" s="107" t="s">
        <v>1581</v>
      </c>
      <c r="AQ7" s="107" t="s">
        <v>17</v>
      </c>
      <c r="AR7" s="107" t="s">
        <v>18</v>
      </c>
      <c r="AS7" s="107" t="s">
        <v>19</v>
      </c>
      <c r="AT7" s="107" t="s">
        <v>20</v>
      </c>
      <c r="AU7" s="107" t="s">
        <v>21</v>
      </c>
      <c r="BA7" t="s">
        <v>1582</v>
      </c>
    </row>
    <row r="8" spans="1:53">
      <c r="A8" s="35" t="s">
        <v>24</v>
      </c>
      <c r="B8" s="35" t="s">
        <v>1583</v>
      </c>
      <c r="C8" s="35" t="s">
        <v>1584</v>
      </c>
      <c r="D8" s="35" t="s">
        <v>1585</v>
      </c>
      <c r="E8" s="35" t="s">
        <v>1586</v>
      </c>
      <c r="F8" s="35" t="s">
        <v>1587</v>
      </c>
      <c r="G8" s="102">
        <v>36.6</v>
      </c>
      <c r="H8" s="102">
        <v>5</v>
      </c>
      <c r="I8" s="102">
        <v>35</v>
      </c>
      <c r="J8" s="102">
        <v>1.9075</v>
      </c>
      <c r="K8" s="103">
        <v>45323</v>
      </c>
      <c r="L8" s="102">
        <v>6.3830400000000003</v>
      </c>
      <c r="M8" s="102">
        <v>4.4755399999999996</v>
      </c>
      <c r="N8" s="102">
        <v>1.62192</v>
      </c>
      <c r="O8" s="104">
        <v>-0.28558</v>
      </c>
      <c r="P8" s="35" t="s">
        <v>1588</v>
      </c>
      <c r="Q8" s="35" t="s">
        <v>1589</v>
      </c>
      <c r="R8" s="35" t="s">
        <v>1590</v>
      </c>
      <c r="S8" s="102">
        <v>13.154400000000001</v>
      </c>
      <c r="T8" s="102">
        <v>11.2469</v>
      </c>
      <c r="U8" s="35" t="s">
        <v>1591</v>
      </c>
      <c r="V8" s="35" t="s">
        <v>1592</v>
      </c>
      <c r="W8" s="102">
        <v>7.5</v>
      </c>
      <c r="X8" s="102">
        <v>5.5925000000000002</v>
      </c>
      <c r="Y8" s="102">
        <v>23</v>
      </c>
      <c r="Z8" s="35" t="s">
        <v>1593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O8" t="s">
        <v>1594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s="35" t="s">
        <v>1595</v>
      </c>
      <c r="C9" s="35" t="s">
        <v>1596</v>
      </c>
      <c r="D9" s="35" t="s">
        <v>1585</v>
      </c>
      <c r="E9" s="35" t="s">
        <v>1224</v>
      </c>
      <c r="F9" s="35" t="s">
        <v>1597</v>
      </c>
      <c r="G9" s="102">
        <v>75</v>
      </c>
      <c r="H9" s="102">
        <v>6</v>
      </c>
      <c r="I9" s="102">
        <v>206</v>
      </c>
      <c r="J9" s="102">
        <v>11.227</v>
      </c>
      <c r="K9" s="103">
        <v>44574.458333333299</v>
      </c>
      <c r="L9" s="102">
        <v>16.350000000000001</v>
      </c>
      <c r="M9" s="102">
        <v>5.1230000000000002</v>
      </c>
      <c r="N9" s="102">
        <v>3.7605</v>
      </c>
      <c r="O9" s="104">
        <v>-7.4664999999999999</v>
      </c>
      <c r="P9" s="35" t="s">
        <v>1588</v>
      </c>
      <c r="Q9" s="35" t="s">
        <v>1598</v>
      </c>
      <c r="R9" s="35" t="s">
        <v>1599</v>
      </c>
      <c r="S9" s="102">
        <v>26.1144</v>
      </c>
      <c r="T9" s="102">
        <v>14.8874</v>
      </c>
      <c r="U9" s="35" t="s">
        <v>1588</v>
      </c>
      <c r="V9" s="35" t="s">
        <v>1600</v>
      </c>
      <c r="W9" s="102">
        <v>22.5</v>
      </c>
      <c r="X9" s="102">
        <v>11.273</v>
      </c>
      <c r="Y9" s="102">
        <v>3</v>
      </c>
      <c r="Z9" s="35" t="s">
        <v>1593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O9" t="s">
        <v>1594</v>
      </c>
      <c r="AP9" t="str">
        <f t="shared" ref="AP9:AP74" si="12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3">IFERROR(LEFT(R9,FIND("(",R9,1)-1),R9)</f>
        <v>DDm85-25</v>
      </c>
    </row>
    <row r="10" spans="1:53">
      <c r="A10" s="35" t="s">
        <v>26</v>
      </c>
      <c r="B10" s="35" t="s">
        <v>1595</v>
      </c>
      <c r="C10" s="35" t="s">
        <v>1596</v>
      </c>
      <c r="D10" s="35" t="s">
        <v>1585</v>
      </c>
      <c r="E10" s="35" t="s">
        <v>1227</v>
      </c>
      <c r="F10" s="35" t="s">
        <v>1601</v>
      </c>
      <c r="G10" s="102">
        <v>31</v>
      </c>
      <c r="H10" s="102">
        <v>29</v>
      </c>
      <c r="I10" s="102">
        <v>372</v>
      </c>
      <c r="J10" s="102">
        <v>20.274000000000001</v>
      </c>
      <c r="K10" s="103">
        <v>45323</v>
      </c>
      <c r="L10" s="102">
        <v>37.844799999999999</v>
      </c>
      <c r="M10" s="102">
        <v>17.570799999999998</v>
      </c>
      <c r="N10" s="102">
        <v>27.686</v>
      </c>
      <c r="O10" s="102">
        <v>7.4119999999999999</v>
      </c>
      <c r="P10" s="35" t="s">
        <v>1588</v>
      </c>
      <c r="Q10" s="35" t="s">
        <v>1598</v>
      </c>
      <c r="R10" s="35" t="s">
        <v>1602</v>
      </c>
      <c r="S10" s="102">
        <v>31.687200000000001</v>
      </c>
      <c r="T10" s="102">
        <v>11.4132</v>
      </c>
      <c r="U10" s="35" t="s">
        <v>1603</v>
      </c>
      <c r="V10" s="35" t="s">
        <v>1604</v>
      </c>
      <c r="W10" s="102">
        <v>33.75</v>
      </c>
      <c r="X10" s="102">
        <v>13.476000000000001</v>
      </c>
      <c r="Y10" s="102">
        <v>13</v>
      </c>
      <c r="Z10" s="35" t="s">
        <v>1593</v>
      </c>
      <c r="AA10">
        <f>VLOOKUP(A10,Cover!A:R,18,0)</f>
        <v>2</v>
      </c>
      <c r="AB10" s="77">
        <f t="shared" si="0"/>
        <v>15.570799999999998</v>
      </c>
      <c r="AC10" s="77">
        <f t="shared" si="1"/>
        <v>5.4119999999999999</v>
      </c>
      <c r="AD10" s="77">
        <f t="shared" si="2"/>
        <v>41.143829535365491</v>
      </c>
      <c r="AE10" s="77">
        <f t="shared" si="3"/>
        <v>19.547785884562593</v>
      </c>
      <c r="AF10" s="77">
        <f t="shared" si="4"/>
        <v>9.4131999999999998</v>
      </c>
      <c r="AG10" s="77">
        <f t="shared" si="5"/>
        <v>29.706632331035877</v>
      </c>
      <c r="AH10" s="77">
        <f t="shared" si="6"/>
        <v>33.75</v>
      </c>
      <c r="AI10" s="77">
        <f t="shared" si="7"/>
        <v>20.274000000000001</v>
      </c>
      <c r="AJ10" s="77">
        <f t="shared" si="8"/>
        <v>13.475999999999999</v>
      </c>
      <c r="AK10" s="77">
        <f t="shared" si="9"/>
        <v>2</v>
      </c>
      <c r="AL10" s="77">
        <f t="shared" si="10"/>
        <v>11.475999999999999</v>
      </c>
      <c r="AM10" s="77">
        <f t="shared" si="11"/>
        <v>34.002962962962961</v>
      </c>
      <c r="AO10" t="s">
        <v>1594</v>
      </c>
      <c r="AP10" t="str">
        <f t="shared" si="12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3"/>
        <v>DDm100-25</v>
      </c>
    </row>
    <row r="11" spans="1:53">
      <c r="A11" s="35" t="s">
        <v>27</v>
      </c>
      <c r="B11" s="35" t="s">
        <v>1595</v>
      </c>
      <c r="C11" s="35" t="s">
        <v>1596</v>
      </c>
      <c r="D11" s="35" t="s">
        <v>1585</v>
      </c>
      <c r="E11" s="35" t="s">
        <v>1233</v>
      </c>
      <c r="F11" s="35" t="s">
        <v>1587</v>
      </c>
      <c r="G11" s="102">
        <v>36.6</v>
      </c>
      <c r="H11" s="102">
        <v>15</v>
      </c>
      <c r="I11" s="102">
        <v>178</v>
      </c>
      <c r="J11" s="102">
        <v>9.7010000000000005</v>
      </c>
      <c r="K11" s="103">
        <v>45323</v>
      </c>
      <c r="L11" s="102">
        <v>22.34064</v>
      </c>
      <c r="M11" s="102">
        <v>12.63964</v>
      </c>
      <c r="N11" s="102">
        <v>13.755800000000001</v>
      </c>
      <c r="O11" s="102">
        <v>4.0548000000000002</v>
      </c>
      <c r="P11" s="35" t="s">
        <v>1591</v>
      </c>
      <c r="Q11" s="35" t="s">
        <v>1598</v>
      </c>
      <c r="R11" s="35" t="s">
        <v>1605</v>
      </c>
      <c r="S11" s="102">
        <v>22.852799999999998</v>
      </c>
      <c r="T11" s="102">
        <v>13.1518</v>
      </c>
      <c r="U11" s="35" t="s">
        <v>1588</v>
      </c>
      <c r="V11" s="35" t="s">
        <v>1606</v>
      </c>
      <c r="W11" s="102">
        <v>45</v>
      </c>
      <c r="X11" s="102">
        <v>35.298999999999999</v>
      </c>
      <c r="Y11" s="102">
        <v>0</v>
      </c>
      <c r="Z11" s="35" t="s">
        <v>1593</v>
      </c>
      <c r="AA11">
        <f>VLOOKUP(A11,Cover!A:R,18,0)</f>
        <v>5</v>
      </c>
      <c r="AB11" s="77">
        <f t="shared" si="0"/>
        <v>7.63964</v>
      </c>
      <c r="AC11" s="77">
        <f t="shared" si="1"/>
        <v>-0.94519999999999982</v>
      </c>
      <c r="AD11" s="77">
        <f t="shared" si="2"/>
        <v>34.196155526430758</v>
      </c>
      <c r="AE11" s="77">
        <f t="shared" si="3"/>
        <v>-6.8712833859172111</v>
      </c>
      <c r="AF11" s="77">
        <f t="shared" si="4"/>
        <v>8.1517999999999997</v>
      </c>
      <c r="AG11" s="77">
        <f t="shared" si="5"/>
        <v>35.670902471469581</v>
      </c>
      <c r="AH11" s="77">
        <f t="shared" si="6"/>
        <v>45</v>
      </c>
      <c r="AI11" s="77">
        <f t="shared" si="7"/>
        <v>9.7010000000000005</v>
      </c>
      <c r="AJ11" s="77">
        <f t="shared" si="8"/>
        <v>35.298999999999999</v>
      </c>
      <c r="AK11" s="77">
        <f t="shared" si="9"/>
        <v>5</v>
      </c>
      <c r="AL11" s="77">
        <f t="shared" si="10"/>
        <v>30.298999999999999</v>
      </c>
      <c r="AM11" s="77">
        <f t="shared" si="11"/>
        <v>67.331111111111113</v>
      </c>
      <c r="AO11" t="s">
        <v>1594</v>
      </c>
      <c r="AP11" t="str">
        <f t="shared" si="12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3"/>
        <v>DDm100-27</v>
      </c>
    </row>
    <row r="12" spans="1:53">
      <c r="A12" s="35" t="s">
        <v>28</v>
      </c>
      <c r="B12" s="35" t="s">
        <v>1607</v>
      </c>
      <c r="C12" s="35" t="s">
        <v>1607</v>
      </c>
      <c r="D12" s="35" t="s">
        <v>1585</v>
      </c>
      <c r="E12" s="35" t="s">
        <v>813</v>
      </c>
      <c r="F12" s="35" t="s">
        <v>1587</v>
      </c>
      <c r="G12" s="102">
        <v>36.6</v>
      </c>
      <c r="H12" s="102">
        <v>60</v>
      </c>
      <c r="I12" s="102">
        <v>771</v>
      </c>
      <c r="J12" s="102">
        <v>42.019500000000001</v>
      </c>
      <c r="K12" s="103">
        <v>45323</v>
      </c>
      <c r="L12" s="102">
        <v>94.149839999999998</v>
      </c>
      <c r="M12" s="102">
        <v>52.130339999999997</v>
      </c>
      <c r="N12" s="102">
        <v>63.1873</v>
      </c>
      <c r="O12" s="102">
        <v>21.1678</v>
      </c>
      <c r="P12" s="35" t="s">
        <v>1608</v>
      </c>
      <c r="Q12" s="35" t="s">
        <v>1598</v>
      </c>
      <c r="R12" s="35" t="s">
        <v>1609</v>
      </c>
      <c r="S12" s="102">
        <v>88.884000000000199</v>
      </c>
      <c r="T12" s="102">
        <v>46.864500000000199</v>
      </c>
      <c r="U12" s="35" t="s">
        <v>1610</v>
      </c>
      <c r="V12" s="35" t="s">
        <v>1611</v>
      </c>
      <c r="W12" s="102">
        <v>560.25</v>
      </c>
      <c r="X12" s="102">
        <v>518.23050000000001</v>
      </c>
      <c r="Y12" s="102">
        <v>178</v>
      </c>
      <c r="Z12" s="35" t="s">
        <v>1593</v>
      </c>
      <c r="AA12">
        <f>VLOOKUP(A12,Cover!A:R,18,0)</f>
        <v>6.7</v>
      </c>
      <c r="AB12" s="77">
        <f t="shared" si="0"/>
        <v>45.430339999999994</v>
      </c>
      <c r="AC12" s="77">
        <f t="shared" si="1"/>
        <v>14.4678</v>
      </c>
      <c r="AD12" s="77">
        <f t="shared" si="2"/>
        <v>48.253231232257001</v>
      </c>
      <c r="AE12" s="77">
        <f t="shared" si="3"/>
        <v>22.89668968289514</v>
      </c>
      <c r="AF12" s="77">
        <f t="shared" si="4"/>
        <v>40.164500000000196</v>
      </c>
      <c r="AG12" s="77">
        <f t="shared" si="5"/>
        <v>45.187547815129953</v>
      </c>
      <c r="AH12" s="345">
        <f>AVERAGE(W12:W13)</f>
        <v>560.25</v>
      </c>
      <c r="AI12" s="345">
        <f>SUM(J12:J13)</f>
        <v>82.730999999999995</v>
      </c>
      <c r="AJ12" s="345">
        <f t="shared" si="8"/>
        <v>477.51900000000001</v>
      </c>
      <c r="AK12" s="345">
        <f>SUM(AA12:AA13)</f>
        <v>13.4</v>
      </c>
      <c r="AL12" s="345">
        <f>SUM(AJ12-AK12)</f>
        <v>464.11900000000003</v>
      </c>
      <c r="AM12" s="346">
        <f t="shared" si="11"/>
        <v>82.84141008478359</v>
      </c>
      <c r="AO12" t="s">
        <v>1594</v>
      </c>
      <c r="AP12" t="str">
        <f t="shared" si="12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3"/>
        <v>DDm125-33</v>
      </c>
    </row>
    <row r="13" spans="1:53">
      <c r="A13" s="35" t="s">
        <v>29</v>
      </c>
      <c r="B13" s="35" t="s">
        <v>1607</v>
      </c>
      <c r="C13" s="35" t="s">
        <v>1607</v>
      </c>
      <c r="D13" s="35" t="s">
        <v>1585</v>
      </c>
      <c r="E13" s="35" t="s">
        <v>813</v>
      </c>
      <c r="F13" s="35" t="s">
        <v>1587</v>
      </c>
      <c r="G13" s="102">
        <v>36.6</v>
      </c>
      <c r="H13" s="102">
        <v>60</v>
      </c>
      <c r="I13" s="102">
        <v>747</v>
      </c>
      <c r="J13" s="102">
        <v>40.711500000000001</v>
      </c>
      <c r="K13" s="103">
        <v>45323</v>
      </c>
      <c r="L13" s="102">
        <v>94.149839999999998</v>
      </c>
      <c r="M13" s="102">
        <v>53.438339999999997</v>
      </c>
      <c r="N13" s="102">
        <v>63.1873</v>
      </c>
      <c r="O13" s="102">
        <v>22.4758</v>
      </c>
      <c r="P13" s="35" t="s">
        <v>1608</v>
      </c>
      <c r="Q13" s="35" t="s">
        <v>1598</v>
      </c>
      <c r="R13" s="35" t="s">
        <v>1609</v>
      </c>
      <c r="S13" s="102">
        <v>88.884000000000199</v>
      </c>
      <c r="T13" s="102">
        <v>48.172500000000198</v>
      </c>
      <c r="U13" s="35" t="s">
        <v>1610</v>
      </c>
      <c r="V13" s="35" t="s">
        <v>1611</v>
      </c>
      <c r="W13" s="102">
        <v>560.25</v>
      </c>
      <c r="X13" s="102">
        <v>519.5385</v>
      </c>
      <c r="Y13" s="102">
        <v>178</v>
      </c>
      <c r="Z13" s="35" t="s">
        <v>1593</v>
      </c>
      <c r="AA13">
        <f>VLOOKUP(A13,Cover!A:R,18,0)</f>
        <v>6.7</v>
      </c>
      <c r="AB13" s="77">
        <f t="shared" ref="AB13" si="14">M13-AA13</f>
        <v>46.738339999999994</v>
      </c>
      <c r="AC13" s="77">
        <f t="shared" ref="AC13" si="15">O13-AA13</f>
        <v>15.7758</v>
      </c>
      <c r="AD13" s="77">
        <f t="shared" ref="AD13" si="16">AB13/L13%</f>
        <v>49.642506030812157</v>
      </c>
      <c r="AE13" s="77">
        <f t="shared" ref="AE13" si="17">AC13/N13%</f>
        <v>24.966725908529089</v>
      </c>
      <c r="AF13" s="77">
        <f t="shared" ref="AF13" si="18">T13-AA13</f>
        <v>41.472500000000196</v>
      </c>
      <c r="AG13" s="77">
        <f t="shared" ref="AG13" si="19">AF13/S13%</f>
        <v>46.659128752081479</v>
      </c>
      <c r="AH13" s="345"/>
      <c r="AI13" s="345"/>
      <c r="AJ13" s="345"/>
      <c r="AK13" s="345"/>
      <c r="AL13" s="345"/>
      <c r="AM13" s="346"/>
      <c r="AO13" t="s">
        <v>1594</v>
      </c>
      <c r="AP13" t="str">
        <f t="shared" ref="AP13" si="20">TRIM(BA13)</f>
        <v>DDm125-33</v>
      </c>
      <c r="BA13" t="str">
        <f t="shared" si="13"/>
        <v>DDm125-33</v>
      </c>
    </row>
    <row r="14" spans="1:53">
      <c r="A14" s="35" t="s">
        <v>30</v>
      </c>
      <c r="B14" s="35" t="s">
        <v>1612</v>
      </c>
      <c r="C14" s="35" t="s">
        <v>1613</v>
      </c>
      <c r="D14" s="35" t="s">
        <v>1585</v>
      </c>
      <c r="E14" s="35" t="s">
        <v>1614</v>
      </c>
      <c r="F14" s="35" t="s">
        <v>1615</v>
      </c>
      <c r="G14" s="102">
        <v>22</v>
      </c>
      <c r="H14" s="102">
        <v>4</v>
      </c>
      <c r="I14" s="102">
        <v>12.9</v>
      </c>
      <c r="J14" s="102">
        <v>0.70304999999999995</v>
      </c>
      <c r="K14" s="103">
        <v>44483.506944444402</v>
      </c>
      <c r="L14" s="102">
        <v>2.8776000000000002</v>
      </c>
      <c r="M14" s="102">
        <v>2.17455</v>
      </c>
      <c r="N14" s="102">
        <v>3.4335</v>
      </c>
      <c r="O14" s="102">
        <v>2.7304499999999998</v>
      </c>
      <c r="P14" s="35" t="s">
        <v>1588</v>
      </c>
      <c r="Q14" s="35" t="s">
        <v>1616</v>
      </c>
      <c r="R14" s="35" t="s">
        <v>1617</v>
      </c>
      <c r="S14" s="102">
        <v>2.5920000000000001</v>
      </c>
      <c r="T14" s="102">
        <v>1.8889499999999999</v>
      </c>
      <c r="U14" s="35" t="s">
        <v>1591</v>
      </c>
      <c r="V14" s="35" t="s">
        <v>1618</v>
      </c>
      <c r="W14" s="102">
        <v>5.0250000000000004</v>
      </c>
      <c r="X14" s="102">
        <v>4.3219500000000002</v>
      </c>
      <c r="Y14" s="102">
        <v>5</v>
      </c>
      <c r="Z14" s="35" t="s">
        <v>1593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O14" t="s">
        <v>1594</v>
      </c>
      <c r="AP14" t="str">
        <f t="shared" si="12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3"/>
        <v>SBS C11F</v>
      </c>
    </row>
    <row r="15" spans="1:53">
      <c r="A15" s="35" t="s">
        <v>31</v>
      </c>
      <c r="B15" s="35" t="s">
        <v>1619</v>
      </c>
      <c r="C15" s="35" t="s">
        <v>1620</v>
      </c>
      <c r="D15" s="35" t="s">
        <v>1585</v>
      </c>
      <c r="E15" s="35" t="s">
        <v>1282</v>
      </c>
      <c r="F15" s="35" t="s">
        <v>1587</v>
      </c>
      <c r="G15" s="102">
        <v>36.6</v>
      </c>
      <c r="H15" s="102">
        <v>12</v>
      </c>
      <c r="I15" s="102">
        <v>151</v>
      </c>
      <c r="J15" s="102">
        <v>8.2294999999999998</v>
      </c>
      <c r="K15" s="103">
        <v>44691.5</v>
      </c>
      <c r="L15" s="102">
        <v>17.553360000000001</v>
      </c>
      <c r="M15" s="102">
        <v>9.3238599999999998</v>
      </c>
      <c r="N15" s="102">
        <v>15.6142495095</v>
      </c>
      <c r="O15" s="102">
        <v>7.3847495094999998</v>
      </c>
      <c r="P15" s="35" t="s">
        <v>1621</v>
      </c>
      <c r="Q15" s="35" t="s">
        <v>1616</v>
      </c>
      <c r="R15" s="35" t="s">
        <v>1622</v>
      </c>
      <c r="S15" s="102">
        <v>12.635999999999999</v>
      </c>
      <c r="T15" s="102">
        <v>4.4064999999999799</v>
      </c>
      <c r="U15" s="35" t="s">
        <v>1591</v>
      </c>
      <c r="V15" s="35" t="s">
        <v>1623</v>
      </c>
      <c r="W15" s="102">
        <v>9.75</v>
      </c>
      <c r="X15" s="102">
        <v>1.5205</v>
      </c>
      <c r="Y15" s="102">
        <v>13</v>
      </c>
      <c r="Z15" s="35" t="s">
        <v>1593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O15" t="s">
        <v>1594</v>
      </c>
      <c r="AP15" t="str">
        <f t="shared" si="12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3"/>
        <v>12V155F</v>
      </c>
    </row>
    <row r="16" spans="1:53">
      <c r="A16" s="35" t="s">
        <v>32</v>
      </c>
      <c r="B16" s="35" t="s">
        <v>1624</v>
      </c>
      <c r="C16" s="35" t="s">
        <v>1625</v>
      </c>
      <c r="D16" s="35" t="s">
        <v>1585</v>
      </c>
      <c r="E16" s="35" t="s">
        <v>1447</v>
      </c>
      <c r="F16" s="35" t="s">
        <v>1597</v>
      </c>
      <c r="G16" s="102">
        <v>75</v>
      </c>
      <c r="H16" s="102">
        <v>6</v>
      </c>
      <c r="I16" s="102">
        <v>100</v>
      </c>
      <c r="J16" s="102">
        <v>5.45</v>
      </c>
      <c r="K16" s="103">
        <v>44579.625</v>
      </c>
      <c r="L16" s="102">
        <v>16.350000000000001</v>
      </c>
      <c r="M16" s="102">
        <v>10.9</v>
      </c>
      <c r="N16" s="102">
        <v>13.952</v>
      </c>
      <c r="O16" s="102">
        <v>8.5020000000000007</v>
      </c>
      <c r="P16" s="35" t="s">
        <v>1591</v>
      </c>
      <c r="Q16" s="35" t="s">
        <v>1598</v>
      </c>
      <c r="R16" s="35" t="s">
        <v>1626</v>
      </c>
      <c r="S16" s="102">
        <v>10.1088</v>
      </c>
      <c r="T16" s="102">
        <v>4.6587999999999798</v>
      </c>
      <c r="U16" s="35" t="s">
        <v>1608</v>
      </c>
      <c r="V16" s="35" t="s">
        <v>1627</v>
      </c>
      <c r="W16" s="102">
        <v>112.5</v>
      </c>
      <c r="X16" s="102">
        <v>107.05</v>
      </c>
      <c r="Y16" s="102">
        <v>23</v>
      </c>
      <c r="Z16" s="35" t="s">
        <v>1593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O16" t="s">
        <v>1594</v>
      </c>
      <c r="AP16" t="str">
        <f t="shared" si="12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3"/>
        <v>2DDm85-15</v>
      </c>
    </row>
    <row r="17" spans="1:53">
      <c r="A17" s="35" t="s">
        <v>33</v>
      </c>
      <c r="B17" s="35" t="s">
        <v>1595</v>
      </c>
      <c r="C17" s="35" t="s">
        <v>1628</v>
      </c>
      <c r="D17" s="35" t="s">
        <v>1629</v>
      </c>
      <c r="E17" s="35" t="s">
        <v>1235</v>
      </c>
      <c r="F17" s="35" t="s">
        <v>1630</v>
      </c>
      <c r="G17" s="102">
        <v>23</v>
      </c>
      <c r="H17" s="102">
        <v>5</v>
      </c>
      <c r="I17" s="102">
        <v>10</v>
      </c>
      <c r="J17" s="102">
        <v>0.54500000000000004</v>
      </c>
      <c r="K17" s="103">
        <v>41585</v>
      </c>
      <c r="L17" s="102">
        <v>4.0111999999999997</v>
      </c>
      <c r="M17" s="102">
        <v>3.4662000000000002</v>
      </c>
      <c r="N17" s="102">
        <v>4.7960000000000003</v>
      </c>
      <c r="O17" s="102">
        <v>4.2510000000000003</v>
      </c>
      <c r="P17" s="35" t="s">
        <v>1603</v>
      </c>
      <c r="Q17" s="35" t="s">
        <v>1616</v>
      </c>
      <c r="R17" s="35" t="s">
        <v>1617</v>
      </c>
      <c r="S17" s="102">
        <v>3.456</v>
      </c>
      <c r="T17" s="102">
        <v>2.911</v>
      </c>
      <c r="U17" s="35" t="s">
        <v>1588</v>
      </c>
      <c r="V17" s="35" t="s">
        <v>1631</v>
      </c>
      <c r="W17" s="102">
        <v>15</v>
      </c>
      <c r="X17" s="102">
        <v>14.455</v>
      </c>
      <c r="Y17" s="102">
        <v>12</v>
      </c>
      <c r="Z17" s="35" t="s">
        <v>1593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O17" t="s">
        <v>1594</v>
      </c>
      <c r="AP17" t="str">
        <f t="shared" si="12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3"/>
        <v>SBS C11F</v>
      </c>
    </row>
    <row r="18" spans="1:53">
      <c r="A18" s="35" t="s">
        <v>34</v>
      </c>
      <c r="B18" s="35" t="s">
        <v>1632</v>
      </c>
      <c r="C18" s="35" t="s">
        <v>1633</v>
      </c>
      <c r="D18" s="35" t="s">
        <v>1585</v>
      </c>
      <c r="E18" s="35" t="s">
        <v>1313</v>
      </c>
      <c r="F18" s="35" t="s">
        <v>1587</v>
      </c>
      <c r="G18" s="102">
        <v>36.6</v>
      </c>
      <c r="H18" s="102">
        <v>60</v>
      </c>
      <c r="I18" s="102">
        <v>859</v>
      </c>
      <c r="J18" s="102">
        <v>46.8155</v>
      </c>
      <c r="K18" s="103">
        <v>44972</v>
      </c>
      <c r="L18" s="102">
        <v>94.149839999999998</v>
      </c>
      <c r="M18" s="102">
        <v>47.334339999999997</v>
      </c>
      <c r="N18" s="102">
        <v>52.287300000000002</v>
      </c>
      <c r="O18" s="102">
        <v>5.4718</v>
      </c>
      <c r="P18" s="35" t="s">
        <v>1634</v>
      </c>
      <c r="Q18" s="35" t="s">
        <v>1598</v>
      </c>
      <c r="R18" s="35" t="s">
        <v>1609</v>
      </c>
      <c r="S18" s="102">
        <v>106.66079999999999</v>
      </c>
      <c r="T18" s="102">
        <v>59.845300000000101</v>
      </c>
      <c r="U18" s="35" t="s">
        <v>1588</v>
      </c>
      <c r="V18" s="35" t="s">
        <v>1635</v>
      </c>
      <c r="W18" s="102">
        <v>75</v>
      </c>
      <c r="X18" s="102">
        <v>28.1845</v>
      </c>
      <c r="Y18" s="102">
        <v>29</v>
      </c>
      <c r="Z18" s="35" t="s">
        <v>1593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O18" t="s">
        <v>1594</v>
      </c>
      <c r="AP18" t="str">
        <f t="shared" si="12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3"/>
        <v>DDm125-33</v>
      </c>
    </row>
    <row r="19" spans="1:53">
      <c r="A19" s="35" t="s">
        <v>35</v>
      </c>
      <c r="B19" s="35" t="s">
        <v>1636</v>
      </c>
      <c r="C19" s="35" t="s">
        <v>1637</v>
      </c>
      <c r="D19" s="35" t="s">
        <v>1585</v>
      </c>
      <c r="E19" s="35" t="s">
        <v>955</v>
      </c>
      <c r="F19" s="35" t="s">
        <v>1587</v>
      </c>
      <c r="G19" s="102">
        <v>36.6</v>
      </c>
      <c r="H19" s="102">
        <v>9</v>
      </c>
      <c r="I19" s="102">
        <v>115</v>
      </c>
      <c r="J19" s="102">
        <v>6.2675000000000001</v>
      </c>
      <c r="K19" s="103">
        <v>45323</v>
      </c>
      <c r="L19" s="102">
        <v>12.766080000000001</v>
      </c>
      <c r="M19" s="102">
        <v>6.4985799999999996</v>
      </c>
      <c r="N19" s="102">
        <v>6.2293500000000002</v>
      </c>
      <c r="O19" s="104">
        <v>-3.8150000000000198E-2</v>
      </c>
      <c r="P19" s="35" t="s">
        <v>1588</v>
      </c>
      <c r="Q19" s="35" t="s">
        <v>1598</v>
      </c>
      <c r="R19" s="35" t="s">
        <v>1626</v>
      </c>
      <c r="S19" s="102">
        <v>15.1632</v>
      </c>
      <c r="T19" s="102">
        <v>8.8956999999999908</v>
      </c>
      <c r="U19" s="35" t="s">
        <v>1638</v>
      </c>
      <c r="V19" s="35" t="s">
        <v>1639</v>
      </c>
      <c r="W19" s="102">
        <v>27</v>
      </c>
      <c r="X19" s="102">
        <v>20.732500000000002</v>
      </c>
      <c r="Y19" s="102">
        <v>19</v>
      </c>
      <c r="Z19" s="35" t="s">
        <v>1593</v>
      </c>
      <c r="AA19">
        <f>VLOOKUP(A19,Cover!A:R,18,0)</f>
        <v>2</v>
      </c>
      <c r="AB19" s="77">
        <f t="shared" si="0"/>
        <v>4.4985799999999996</v>
      </c>
      <c r="AC19" s="77">
        <f t="shared" si="1"/>
        <v>-2.0381500000000004</v>
      </c>
      <c r="AD19" s="77">
        <f t="shared" si="2"/>
        <v>35.238538376698244</v>
      </c>
      <c r="AE19" s="77">
        <f t="shared" si="3"/>
        <v>-32.718501930377975</v>
      </c>
      <c r="AF19" s="77">
        <f t="shared" si="4"/>
        <v>6.8956999999999908</v>
      </c>
      <c r="AG19" s="77">
        <f t="shared" si="5"/>
        <v>45.47654848580769</v>
      </c>
      <c r="AH19" s="77">
        <f t="shared" si="6"/>
        <v>27</v>
      </c>
      <c r="AI19" s="77">
        <f t="shared" si="7"/>
        <v>6.2675000000000001</v>
      </c>
      <c r="AJ19" s="77">
        <f t="shared" si="8"/>
        <v>20.732500000000002</v>
      </c>
      <c r="AK19" s="77">
        <f t="shared" si="9"/>
        <v>2</v>
      </c>
      <c r="AL19" s="77">
        <f t="shared" si="10"/>
        <v>18.732500000000002</v>
      </c>
      <c r="AM19" s="77">
        <f t="shared" si="11"/>
        <v>69.379629629629633</v>
      </c>
      <c r="AO19" t="s">
        <v>1594</v>
      </c>
      <c r="AP19" t="str">
        <f t="shared" si="12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3"/>
        <v>2DDm85-15</v>
      </c>
    </row>
    <row r="20" spans="1:53">
      <c r="A20" s="35" t="s">
        <v>36</v>
      </c>
      <c r="B20" s="35" t="s">
        <v>1632</v>
      </c>
      <c r="C20" s="35" t="s">
        <v>1640</v>
      </c>
      <c r="D20" s="35" t="s">
        <v>1585</v>
      </c>
      <c r="E20" s="35" t="s">
        <v>1340</v>
      </c>
      <c r="F20" s="35" t="s">
        <v>1641</v>
      </c>
      <c r="G20" s="102">
        <v>55</v>
      </c>
      <c r="H20" s="102">
        <v>5</v>
      </c>
      <c r="I20" s="102">
        <v>111</v>
      </c>
      <c r="J20" s="102">
        <v>6.0495000000000001</v>
      </c>
      <c r="K20" s="103">
        <v>44987</v>
      </c>
      <c r="L20" s="102">
        <v>9.5920000000000005</v>
      </c>
      <c r="M20" s="102">
        <v>3.5425</v>
      </c>
      <c r="N20" s="102">
        <v>5.6331199999999999</v>
      </c>
      <c r="O20" s="104">
        <v>-0.41637999999999997</v>
      </c>
      <c r="P20" s="35" t="s">
        <v>1588</v>
      </c>
      <c r="Q20" s="35" t="s">
        <v>1589</v>
      </c>
      <c r="R20" s="35" t="s">
        <v>1590</v>
      </c>
      <c r="S20" s="102">
        <v>13.154400000000001</v>
      </c>
      <c r="T20" s="102">
        <v>7.1049000000000104</v>
      </c>
      <c r="U20" s="35" t="s">
        <v>1591</v>
      </c>
      <c r="V20" s="35" t="s">
        <v>1600</v>
      </c>
      <c r="W20" s="102">
        <v>22.5</v>
      </c>
      <c r="X20" s="102">
        <v>16.450500000000002</v>
      </c>
      <c r="Y20" s="102">
        <v>12</v>
      </c>
      <c r="Z20" s="35" t="s">
        <v>1593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O20" t="s">
        <v>1594</v>
      </c>
      <c r="AP20" t="str">
        <f t="shared" si="12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3"/>
        <v>EN480-2</v>
      </c>
    </row>
    <row r="21" spans="1:53">
      <c r="A21" s="35" t="s">
        <v>37</v>
      </c>
      <c r="B21" s="35" t="s">
        <v>1632</v>
      </c>
      <c r="C21" s="35" t="s">
        <v>1640</v>
      </c>
      <c r="D21" s="35" t="s">
        <v>1585</v>
      </c>
      <c r="E21" s="35" t="s">
        <v>1343</v>
      </c>
      <c r="F21" s="35" t="s">
        <v>1597</v>
      </c>
      <c r="G21" s="102">
        <v>75</v>
      </c>
      <c r="H21" s="102">
        <v>13</v>
      </c>
      <c r="I21" s="102">
        <v>500</v>
      </c>
      <c r="J21" s="102">
        <v>27.25</v>
      </c>
      <c r="K21" s="103">
        <v>45048</v>
      </c>
      <c r="L21" s="102">
        <v>39.24</v>
      </c>
      <c r="M21" s="102">
        <v>11.99</v>
      </c>
      <c r="N21" s="102">
        <v>35.463149999999999</v>
      </c>
      <c r="O21" s="102">
        <v>8.2131500000000006</v>
      </c>
      <c r="P21" s="35" t="s">
        <v>1588</v>
      </c>
      <c r="Q21" s="35" t="s">
        <v>1642</v>
      </c>
      <c r="R21" s="35" t="s">
        <v>1643</v>
      </c>
      <c r="S21" s="102">
        <v>27.799199999999999</v>
      </c>
      <c r="T21" s="102">
        <v>0.54919999999997104</v>
      </c>
      <c r="U21" s="35" t="s">
        <v>1588</v>
      </c>
      <c r="V21" s="35" t="s">
        <v>1644</v>
      </c>
      <c r="W21" s="102">
        <v>85.814999999999998</v>
      </c>
      <c r="X21" s="102">
        <v>58.564999999999998</v>
      </c>
      <c r="Y21" s="102">
        <v>31</v>
      </c>
      <c r="Z21" s="35" t="s">
        <v>1593</v>
      </c>
      <c r="AA21">
        <f>VLOOKUP(A21,Cover!A:R,18,0)</f>
        <v>5.5</v>
      </c>
      <c r="AB21" s="77">
        <f t="shared" si="0"/>
        <v>6.49</v>
      </c>
      <c r="AC21" s="77">
        <f t="shared" si="1"/>
        <v>2.7131500000000006</v>
      </c>
      <c r="AD21" s="77">
        <f t="shared" si="2"/>
        <v>16.539245667686036</v>
      </c>
      <c r="AE21" s="77">
        <f t="shared" si="3"/>
        <v>7.6506176129306072</v>
      </c>
      <c r="AF21" s="77">
        <f t="shared" si="4"/>
        <v>-4.9508000000000294</v>
      </c>
      <c r="AG21" s="77">
        <f t="shared" si="5"/>
        <v>-17.809145586923471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5.5</v>
      </c>
      <c r="AL21" s="77">
        <f t="shared" si="10"/>
        <v>53.064999999999998</v>
      </c>
      <c r="AM21" s="77">
        <f t="shared" si="11"/>
        <v>61.836508768863254</v>
      </c>
      <c r="AO21" t="s">
        <v>1594</v>
      </c>
      <c r="AP21" t="str">
        <f t="shared" si="12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3"/>
        <v>2SLA1000</v>
      </c>
    </row>
    <row r="22" spans="1:53">
      <c r="A22" s="35" t="s">
        <v>38</v>
      </c>
      <c r="B22" s="35" t="s">
        <v>1645</v>
      </c>
      <c r="C22" s="35" t="s">
        <v>1646</v>
      </c>
      <c r="D22" s="35" t="s">
        <v>1647</v>
      </c>
      <c r="E22" s="35" t="s">
        <v>1199</v>
      </c>
      <c r="F22" s="35" t="s">
        <v>1587</v>
      </c>
      <c r="G22" s="102">
        <v>36.6</v>
      </c>
      <c r="H22" s="102">
        <v>66</v>
      </c>
      <c r="I22" s="102">
        <v>894</v>
      </c>
      <c r="J22" s="102">
        <v>48.722999999999999</v>
      </c>
      <c r="K22" s="103">
        <v>45323</v>
      </c>
      <c r="L22" s="102">
        <v>103.7244</v>
      </c>
      <c r="M22" s="102">
        <v>55.001399999999997</v>
      </c>
      <c r="N22" s="102">
        <v>80.997900000000001</v>
      </c>
      <c r="O22" s="102">
        <v>32.274900000000002</v>
      </c>
      <c r="P22" s="35" t="s">
        <v>1648</v>
      </c>
      <c r="Q22" s="35" t="s">
        <v>1642</v>
      </c>
      <c r="R22" s="35" t="s">
        <v>1649</v>
      </c>
      <c r="S22" s="102">
        <v>100.05119999999999</v>
      </c>
      <c r="T22" s="102">
        <v>51.328200000000301</v>
      </c>
      <c r="U22" s="35" t="s">
        <v>1634</v>
      </c>
      <c r="V22" s="35" t="s">
        <v>1650</v>
      </c>
      <c r="W22" s="102">
        <v>161.25</v>
      </c>
      <c r="X22" s="102">
        <v>112.527</v>
      </c>
      <c r="Y22" s="102">
        <v>38</v>
      </c>
      <c r="Z22" s="35" t="s">
        <v>1542</v>
      </c>
      <c r="AA22">
        <f>VLOOKUP(A22,Cover!A:R,18,0)</f>
        <v>12.45</v>
      </c>
      <c r="AB22" s="77">
        <f t="shared" si="0"/>
        <v>42.551400000000001</v>
      </c>
      <c r="AC22" s="77">
        <f t="shared" si="1"/>
        <v>19.824900000000003</v>
      </c>
      <c r="AD22" s="77">
        <f t="shared" si="2"/>
        <v>41.023520020361651</v>
      </c>
      <c r="AE22" s="77">
        <f t="shared" si="3"/>
        <v>24.475819743474833</v>
      </c>
      <c r="AF22" s="77">
        <f t="shared" si="4"/>
        <v>38.878200000000305</v>
      </c>
      <c r="AG22" s="77">
        <f t="shared" si="5"/>
        <v>38.8583045480717</v>
      </c>
      <c r="AH22" s="345">
        <f>AVERAGE(W22:W23)</f>
        <v>161.25</v>
      </c>
      <c r="AI22" s="345">
        <f>SUM(J22:J23)</f>
        <v>109.327</v>
      </c>
      <c r="AJ22" s="345">
        <f>SUM(AH22-AI22)</f>
        <v>51.923000000000002</v>
      </c>
      <c r="AK22" s="345">
        <f>SUM(AA22:AA23)</f>
        <v>24.4</v>
      </c>
      <c r="AL22" s="345">
        <f>SUM(AJ22-AK22)</f>
        <v>27.523000000000003</v>
      </c>
      <c r="AM22" s="346">
        <f t="shared" si="11"/>
        <v>17.068527131782947</v>
      </c>
      <c r="AN22" t="s">
        <v>1580</v>
      </c>
      <c r="AO22" t="s">
        <v>1651</v>
      </c>
      <c r="AP22" t="str">
        <f t="shared" si="12"/>
        <v>2SLA1500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3"/>
        <v>2SLA1500</v>
      </c>
    </row>
    <row r="23" spans="1:53">
      <c r="A23" s="35" t="s">
        <v>39</v>
      </c>
      <c r="B23" s="35" t="s">
        <v>1645</v>
      </c>
      <c r="C23" s="35" t="s">
        <v>1646</v>
      </c>
      <c r="D23" s="35" t="s">
        <v>1647</v>
      </c>
      <c r="E23" s="35" t="s">
        <v>1199</v>
      </c>
      <c r="F23" s="35" t="s">
        <v>1587</v>
      </c>
      <c r="G23" s="102">
        <v>36.6</v>
      </c>
      <c r="H23" s="102">
        <v>61</v>
      </c>
      <c r="I23" s="102">
        <v>1112</v>
      </c>
      <c r="J23" s="102">
        <v>60.603999999999999</v>
      </c>
      <c r="K23" s="103">
        <v>45323</v>
      </c>
      <c r="L23" s="102">
        <v>95.745599999999996</v>
      </c>
      <c r="M23" s="102">
        <v>35.141599999999997</v>
      </c>
      <c r="N23" s="102">
        <v>65.182000000000002</v>
      </c>
      <c r="O23" s="102">
        <v>4.5780000000000003</v>
      </c>
      <c r="P23" s="35" t="s">
        <v>1608</v>
      </c>
      <c r="Q23" s="35" t="s">
        <v>1598</v>
      </c>
      <c r="R23" s="35" t="s">
        <v>1652</v>
      </c>
      <c r="S23" s="102">
        <v>142.02000000000001</v>
      </c>
      <c r="T23" s="102">
        <v>81.416000000000196</v>
      </c>
      <c r="U23" s="35" t="s">
        <v>1634</v>
      </c>
      <c r="V23" s="35" t="s">
        <v>1650</v>
      </c>
      <c r="W23" s="102">
        <v>161.25</v>
      </c>
      <c r="X23" s="102">
        <v>100.646</v>
      </c>
      <c r="Y23" s="102">
        <v>38</v>
      </c>
      <c r="Z23" s="35" t="s">
        <v>1542</v>
      </c>
      <c r="AA23">
        <f>VLOOKUP(A23,Cover!A:R,18,0)</f>
        <v>11.95</v>
      </c>
      <c r="AB23" s="77">
        <f t="shared" ref="AB23" si="21">M23-AA23</f>
        <v>23.191599999999998</v>
      </c>
      <c r="AC23" s="77">
        <f t="shared" ref="AC23" si="22">O23-AA23</f>
        <v>-7.371999999999999</v>
      </c>
      <c r="AD23" s="77">
        <f t="shared" ref="AD23" si="23">AB23/L23%</f>
        <v>24.22210524556742</v>
      </c>
      <c r="AE23" s="77">
        <f t="shared" ref="AE23" si="24">AC23/N23%</f>
        <v>-11.309870823233405</v>
      </c>
      <c r="AF23" s="77">
        <f t="shared" ref="AF23" si="25">T23-AA23</f>
        <v>69.466000000000193</v>
      </c>
      <c r="AG23" s="77">
        <f t="shared" ref="AG23" si="26">AF23/S23%</f>
        <v>48.912829178989007</v>
      </c>
      <c r="AH23" s="345"/>
      <c r="AI23" s="345"/>
      <c r="AJ23" s="345"/>
      <c r="AK23" s="345"/>
      <c r="AL23" s="345"/>
      <c r="AM23" s="346"/>
      <c r="AN23" t="s">
        <v>1580</v>
      </c>
      <c r="AO23" t="s">
        <v>1651</v>
      </c>
      <c r="AP23" t="str">
        <f t="shared" si="12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3"/>
        <v xml:space="preserve">DDm125-33 </v>
      </c>
    </row>
    <row r="24" spans="1:53">
      <c r="A24" s="35" t="s">
        <v>40</v>
      </c>
      <c r="B24" s="35" t="s">
        <v>1653</v>
      </c>
      <c r="C24" s="35" t="s">
        <v>1654</v>
      </c>
      <c r="D24" s="35" t="s">
        <v>1629</v>
      </c>
      <c r="E24" s="35" t="s">
        <v>1655</v>
      </c>
      <c r="F24" s="35" t="s">
        <v>1656</v>
      </c>
      <c r="G24" s="102">
        <v>50</v>
      </c>
      <c r="H24" s="102">
        <v>5</v>
      </c>
      <c r="I24" s="102">
        <v>73.599999999999994</v>
      </c>
      <c r="J24" s="102">
        <v>4.0111999999999997</v>
      </c>
      <c r="K24" s="103">
        <v>44600.604166666701</v>
      </c>
      <c r="L24" s="102">
        <v>8.7200000000000006</v>
      </c>
      <c r="M24" s="102">
        <v>4.7088000000000001</v>
      </c>
      <c r="N24" s="102">
        <v>7.63</v>
      </c>
      <c r="O24" s="102">
        <v>3.6187999999999998</v>
      </c>
      <c r="P24" s="35" t="s">
        <v>1591</v>
      </c>
      <c r="Q24" s="35" t="s">
        <v>1598</v>
      </c>
      <c r="R24" s="35" t="s">
        <v>1657</v>
      </c>
      <c r="S24" s="102">
        <v>5.2271999999999998</v>
      </c>
      <c r="T24" s="102">
        <v>1.216</v>
      </c>
      <c r="U24" s="35" t="s">
        <v>1591</v>
      </c>
      <c r="V24" s="35" t="s">
        <v>1658</v>
      </c>
      <c r="W24" s="102">
        <v>37.5</v>
      </c>
      <c r="X24" s="102">
        <v>33.488799999999998</v>
      </c>
      <c r="Y24" s="102">
        <v>96</v>
      </c>
      <c r="Z24" s="35" t="s">
        <v>1593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O24" t="s">
        <v>1594</v>
      </c>
      <c r="AP24" t="str">
        <f t="shared" si="12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3"/>
        <v>2DDm50-13</v>
      </c>
    </row>
    <row r="25" spans="1:53">
      <c r="A25" s="35" t="s">
        <v>41</v>
      </c>
      <c r="B25" s="35" t="s">
        <v>1659</v>
      </c>
      <c r="C25" s="35" t="s">
        <v>1660</v>
      </c>
      <c r="D25" s="35" t="s">
        <v>1585</v>
      </c>
      <c r="E25" s="35" t="s">
        <v>1216</v>
      </c>
      <c r="F25" s="35" t="s">
        <v>1587</v>
      </c>
      <c r="G25" s="102">
        <v>36.6</v>
      </c>
      <c r="H25" s="102">
        <v>26</v>
      </c>
      <c r="I25" s="102">
        <v>266</v>
      </c>
      <c r="J25" s="102">
        <v>14.497</v>
      </c>
      <c r="K25" s="103">
        <v>45000</v>
      </c>
      <c r="L25" s="102">
        <v>39.893999999999998</v>
      </c>
      <c r="M25" s="102">
        <v>25.396999999999998</v>
      </c>
      <c r="N25" s="102">
        <v>32.427500000000002</v>
      </c>
      <c r="O25" s="104">
        <v>17.930499999999999</v>
      </c>
      <c r="P25" s="35" t="s">
        <v>1591</v>
      </c>
      <c r="Q25" s="35" t="s">
        <v>1598</v>
      </c>
      <c r="R25" s="35" t="s">
        <v>1661</v>
      </c>
      <c r="S25" s="102">
        <v>28.123200000000001</v>
      </c>
      <c r="T25" s="102">
        <v>13.626200000000001</v>
      </c>
      <c r="U25" s="35" t="s">
        <v>1608</v>
      </c>
      <c r="V25" s="35" t="s">
        <v>1662</v>
      </c>
      <c r="W25" s="102">
        <v>54</v>
      </c>
      <c r="X25" s="102">
        <v>39.503</v>
      </c>
      <c r="Y25" s="102">
        <v>12</v>
      </c>
      <c r="Z25" s="35" t="s">
        <v>1593</v>
      </c>
      <c r="AA25">
        <f>VLOOKUP(A25,Cover!A:R,18,0)</f>
        <v>18.399999999999999</v>
      </c>
      <c r="AB25" s="77">
        <f t="shared" si="0"/>
        <v>6.9969999999999999</v>
      </c>
      <c r="AC25" s="77">
        <f t="shared" si="1"/>
        <v>-0.46950000000000003</v>
      </c>
      <c r="AD25" s="77">
        <f t="shared" si="2"/>
        <v>17.538978292475061</v>
      </c>
      <c r="AE25" s="77">
        <f t="shared" si="3"/>
        <v>-1.4478451931231207</v>
      </c>
      <c r="AF25" s="77">
        <f t="shared" si="4"/>
        <v>-4.7737999999999978</v>
      </c>
      <c r="AG25" s="77">
        <f t="shared" si="5"/>
        <v>-16.974597485350166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18.399999999999999</v>
      </c>
      <c r="AL25" s="77">
        <f t="shared" si="10"/>
        <v>21.103000000000002</v>
      </c>
      <c r="AM25" s="77">
        <f t="shared" si="11"/>
        <v>39.079629629629629</v>
      </c>
      <c r="AO25" t="s">
        <v>1594</v>
      </c>
      <c r="AP25" t="str">
        <f t="shared" si="12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3"/>
        <v>DDm100-33</v>
      </c>
    </row>
    <row r="26" spans="1:53">
      <c r="A26" s="35" t="s">
        <v>42</v>
      </c>
      <c r="B26" s="35" t="s">
        <v>1659</v>
      </c>
      <c r="C26" s="35" t="s">
        <v>1660</v>
      </c>
      <c r="D26" s="35" t="s">
        <v>1585</v>
      </c>
      <c r="E26" s="35" t="s">
        <v>808</v>
      </c>
      <c r="F26" s="35" t="s">
        <v>1587</v>
      </c>
      <c r="G26" s="102">
        <v>36.6</v>
      </c>
      <c r="H26" s="102">
        <v>25</v>
      </c>
      <c r="I26" s="102">
        <v>467</v>
      </c>
      <c r="J26" s="102">
        <v>25.451499999999999</v>
      </c>
      <c r="K26" s="103">
        <v>45000</v>
      </c>
      <c r="L26" s="102">
        <v>38.29824</v>
      </c>
      <c r="M26" s="102">
        <v>12.84674</v>
      </c>
      <c r="N26" s="102">
        <v>21.712800000000001</v>
      </c>
      <c r="O26" s="102">
        <v>-3.7387000000000001</v>
      </c>
      <c r="P26" s="35" t="s">
        <v>1588</v>
      </c>
      <c r="Q26" s="35" t="s">
        <v>1598</v>
      </c>
      <c r="R26" s="35" t="s">
        <v>1661</v>
      </c>
      <c r="S26" s="102">
        <v>42.184800000000003</v>
      </c>
      <c r="T26" s="102">
        <v>16.7333</v>
      </c>
      <c r="U26" s="35" t="s">
        <v>1603</v>
      </c>
      <c r="V26" s="35" t="s">
        <v>1663</v>
      </c>
      <c r="W26" s="102">
        <v>69.75</v>
      </c>
      <c r="X26" s="102">
        <v>44.298499999999997</v>
      </c>
      <c r="Y26" s="102">
        <v>19</v>
      </c>
      <c r="Z26" s="35" t="s">
        <v>1593</v>
      </c>
      <c r="AA26">
        <f>VLOOKUP(A26,Cover!A:R,18,0)</f>
        <v>14.2</v>
      </c>
      <c r="AB26" s="77">
        <f t="shared" si="0"/>
        <v>-1.3532599999999988</v>
      </c>
      <c r="AC26" s="77">
        <f t="shared" si="1"/>
        <v>-17.938700000000001</v>
      </c>
      <c r="AD26" s="77">
        <f t="shared" si="2"/>
        <v>-3.5334783008305313</v>
      </c>
      <c r="AE26" s="77">
        <f t="shared" si="3"/>
        <v>-82.618087027007107</v>
      </c>
      <c r="AF26" s="77">
        <f t="shared" si="4"/>
        <v>2.5333000000000006</v>
      </c>
      <c r="AG26" s="77">
        <f t="shared" si="5"/>
        <v>6.0052435948493308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14.2</v>
      </c>
      <c r="AL26" s="77">
        <f t="shared" si="10"/>
        <v>30.098500000000005</v>
      </c>
      <c r="AM26" s="77">
        <f t="shared" si="11"/>
        <v>43.151971326164883</v>
      </c>
      <c r="AO26" t="s">
        <v>1594</v>
      </c>
      <c r="AP26" t="str">
        <f t="shared" si="12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3"/>
        <v>DDm100-33</v>
      </c>
    </row>
    <row r="27" spans="1:53">
      <c r="A27" s="35" t="s">
        <v>43</v>
      </c>
      <c r="B27" s="35" t="s">
        <v>1636</v>
      </c>
      <c r="C27" s="35" t="s">
        <v>1664</v>
      </c>
      <c r="D27" s="35" t="s">
        <v>1580</v>
      </c>
      <c r="E27" s="35" t="s">
        <v>1665</v>
      </c>
      <c r="F27" s="35" t="s">
        <v>1587</v>
      </c>
      <c r="G27" s="102">
        <v>36.6</v>
      </c>
      <c r="H27" s="102">
        <v>31</v>
      </c>
      <c r="I27" s="102">
        <v>405</v>
      </c>
      <c r="J27" s="102">
        <v>22.072500000000002</v>
      </c>
      <c r="K27" s="103">
        <v>44964</v>
      </c>
      <c r="L27" s="102">
        <v>47.872799999999998</v>
      </c>
      <c r="M27" s="102">
        <v>25.8003</v>
      </c>
      <c r="N27" s="102">
        <v>38.040999999999997</v>
      </c>
      <c r="O27" s="102">
        <v>15.968500000000001</v>
      </c>
      <c r="P27" s="35" t="s">
        <v>1591</v>
      </c>
      <c r="Q27" s="35" t="s">
        <v>1598</v>
      </c>
      <c r="R27" s="35" t="s">
        <v>1609</v>
      </c>
      <c r="S27" s="102">
        <v>35.553600000000003</v>
      </c>
      <c r="T27" s="102">
        <v>13.4811</v>
      </c>
      <c r="U27" s="35" t="s">
        <v>1591</v>
      </c>
      <c r="V27" s="35" t="s">
        <v>1666</v>
      </c>
      <c r="W27" s="102">
        <v>9.4499999999999993</v>
      </c>
      <c r="X27" s="102">
        <v>-12.6225</v>
      </c>
      <c r="Y27" s="102">
        <v>0</v>
      </c>
      <c r="Z27" s="35" t="s">
        <v>1667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">
        <v>1580</v>
      </c>
      <c r="AO27" t="s">
        <v>1594</v>
      </c>
      <c r="AP27" t="str">
        <f t="shared" si="12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3"/>
        <v>DDm125-33</v>
      </c>
    </row>
    <row r="28" spans="1:53">
      <c r="A28" s="35" t="s">
        <v>44</v>
      </c>
      <c r="B28" s="35" t="s">
        <v>1636</v>
      </c>
      <c r="C28" s="35" t="s">
        <v>1664</v>
      </c>
      <c r="D28" s="35" t="s">
        <v>1647</v>
      </c>
      <c r="E28" s="35" t="s">
        <v>979</v>
      </c>
      <c r="F28" s="35" t="s">
        <v>1587</v>
      </c>
      <c r="G28" s="102">
        <v>36.6</v>
      </c>
      <c r="H28" s="102">
        <v>59</v>
      </c>
      <c r="I28" s="102">
        <v>609</v>
      </c>
      <c r="J28" s="102">
        <v>33.1905</v>
      </c>
      <c r="K28" s="103">
        <v>45323</v>
      </c>
      <c r="L28" s="102">
        <v>92.554079999999999</v>
      </c>
      <c r="M28" s="102">
        <v>59.363579999999999</v>
      </c>
      <c r="N28" s="102">
        <v>84.627600000000001</v>
      </c>
      <c r="O28" s="102">
        <v>51.437100000000001</v>
      </c>
      <c r="P28" s="35" t="s">
        <v>1588</v>
      </c>
      <c r="Q28" s="35" t="s">
        <v>1598</v>
      </c>
      <c r="R28" s="35" t="s">
        <v>1668</v>
      </c>
      <c r="S28" s="102">
        <v>48.068640000000002</v>
      </c>
      <c r="T28" s="102">
        <v>14.87814</v>
      </c>
      <c r="U28" s="35" t="s">
        <v>1621</v>
      </c>
      <c r="V28" s="35" t="s">
        <v>1669</v>
      </c>
      <c r="W28" s="102">
        <v>82.5</v>
      </c>
      <c r="X28" s="102">
        <v>49.3095</v>
      </c>
      <c r="Y28" s="102">
        <v>5</v>
      </c>
      <c r="Z28" s="35" t="s">
        <v>8</v>
      </c>
      <c r="AA28">
        <f>VLOOKUP(A28,Cover!A:R,18,0)</f>
        <v>1</v>
      </c>
      <c r="AB28" s="77">
        <f t="shared" si="0"/>
        <v>58.363579999999999</v>
      </c>
      <c r="AC28" s="77">
        <f t="shared" si="1"/>
        <v>50.437100000000001</v>
      </c>
      <c r="AD28" s="77">
        <f t="shared" si="2"/>
        <v>63.058894864494363</v>
      </c>
      <c r="AE28" s="77">
        <f t="shared" si="3"/>
        <v>59.598877907443907</v>
      </c>
      <c r="AF28" s="77">
        <f t="shared" si="4"/>
        <v>13.87814</v>
      </c>
      <c r="AG28" s="77">
        <f t="shared" si="5"/>
        <v>28.871505413924755</v>
      </c>
      <c r="AH28" s="77">
        <f t="shared" si="6"/>
        <v>82.5</v>
      </c>
      <c r="AI28" s="77">
        <f t="shared" si="7"/>
        <v>33.1905</v>
      </c>
      <c r="AJ28" s="77">
        <f t="shared" si="8"/>
        <v>49.3095</v>
      </c>
      <c r="AK28" s="77">
        <f t="shared" si="9"/>
        <v>1</v>
      </c>
      <c r="AL28" s="77">
        <f t="shared" si="10"/>
        <v>48.3095</v>
      </c>
      <c r="AM28" s="77">
        <f t="shared" si="11"/>
        <v>58.556969696969702</v>
      </c>
      <c r="AN28" s="52" t="s">
        <v>1580</v>
      </c>
      <c r="AO28" s="52" t="s">
        <v>1651</v>
      </c>
      <c r="AP28" t="str">
        <f t="shared" si="12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3"/>
        <v>2CP2000</v>
      </c>
    </row>
    <row r="29" spans="1:53">
      <c r="A29" s="35" t="s">
        <v>45</v>
      </c>
      <c r="B29" s="35" t="s">
        <v>1636</v>
      </c>
      <c r="C29" s="35" t="s">
        <v>1664</v>
      </c>
      <c r="D29" s="35" t="s">
        <v>1647</v>
      </c>
      <c r="E29" s="35" t="s">
        <v>979</v>
      </c>
      <c r="F29" s="35" t="s">
        <v>1587</v>
      </c>
      <c r="G29" s="102">
        <v>36.6</v>
      </c>
      <c r="H29" s="102">
        <v>59</v>
      </c>
      <c r="I29" s="102">
        <v>641</v>
      </c>
      <c r="J29" s="102">
        <v>34.9345</v>
      </c>
      <c r="K29" s="103">
        <v>45323</v>
      </c>
      <c r="L29" s="102">
        <v>92.554079999999999</v>
      </c>
      <c r="M29" s="102">
        <v>57.619579999999999</v>
      </c>
      <c r="N29" s="102">
        <v>82.992599999999996</v>
      </c>
      <c r="O29" s="102">
        <v>48.058100000000003</v>
      </c>
      <c r="P29" s="35" t="s">
        <v>1588</v>
      </c>
      <c r="Q29" s="35" t="s">
        <v>1598</v>
      </c>
      <c r="R29" s="35" t="s">
        <v>1609</v>
      </c>
      <c r="S29" s="102">
        <v>53.330399999999997</v>
      </c>
      <c r="T29" s="102">
        <v>18.395900000000001</v>
      </c>
      <c r="U29" s="35" t="s">
        <v>1621</v>
      </c>
      <c r="V29" s="35" t="s">
        <v>1669</v>
      </c>
      <c r="W29" s="102">
        <v>82.5</v>
      </c>
      <c r="X29" s="102">
        <v>47.5655</v>
      </c>
      <c r="Y29" s="102">
        <v>5</v>
      </c>
      <c r="Z29" s="35" t="s">
        <v>8</v>
      </c>
      <c r="AA29">
        <f>VLOOKUP(A29,Cover!A:R,18,0)</f>
        <v>1</v>
      </c>
      <c r="AB29" s="77">
        <f t="shared" si="0"/>
        <v>56.619579999999999</v>
      </c>
      <c r="AC29" s="77">
        <f t="shared" si="1"/>
        <v>47.058100000000003</v>
      </c>
      <c r="AD29" s="77">
        <f t="shared" si="2"/>
        <v>61.1745911147299</v>
      </c>
      <c r="AE29" s="77">
        <f t="shared" si="3"/>
        <v>56.701561344023453</v>
      </c>
      <c r="AF29" s="77">
        <f t="shared" si="4"/>
        <v>17.395900000000001</v>
      </c>
      <c r="AG29" s="77">
        <f t="shared" si="5"/>
        <v>32.619106550860302</v>
      </c>
      <c r="AH29" s="77">
        <f t="shared" si="6"/>
        <v>82.5</v>
      </c>
      <c r="AI29" s="77">
        <f t="shared" si="7"/>
        <v>34.9345</v>
      </c>
      <c r="AJ29" s="77">
        <f t="shared" si="8"/>
        <v>47.5655</v>
      </c>
      <c r="AK29" s="77">
        <f t="shared" si="9"/>
        <v>1</v>
      </c>
      <c r="AL29" s="77">
        <f t="shared" si="10"/>
        <v>46.5655</v>
      </c>
      <c r="AM29" s="77">
        <f t="shared" si="11"/>
        <v>56.443030303030305</v>
      </c>
      <c r="AN29" s="52" t="s">
        <v>1580</v>
      </c>
      <c r="AO29" s="52" t="s">
        <v>1651</v>
      </c>
      <c r="AP29" t="str">
        <f t="shared" si="12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3"/>
        <v>DDm125-33</v>
      </c>
    </row>
    <row r="30" spans="1:53">
      <c r="A30" s="35" t="s">
        <v>46</v>
      </c>
      <c r="B30" s="35" t="s">
        <v>1636</v>
      </c>
      <c r="C30" s="35" t="s">
        <v>1664</v>
      </c>
      <c r="D30" s="35" t="s">
        <v>1629</v>
      </c>
      <c r="E30" s="35" t="s">
        <v>985</v>
      </c>
      <c r="F30" s="35" t="s">
        <v>1587</v>
      </c>
      <c r="G30" s="102">
        <v>36.6</v>
      </c>
      <c r="H30" s="102">
        <v>25</v>
      </c>
      <c r="I30" s="102">
        <v>101</v>
      </c>
      <c r="J30" s="102">
        <v>5.5045000000000002</v>
      </c>
      <c r="K30" s="103">
        <v>44754</v>
      </c>
      <c r="L30" s="102">
        <v>38.29824</v>
      </c>
      <c r="M30" s="102">
        <v>32.79374</v>
      </c>
      <c r="N30" s="102">
        <v>26.072800000000001</v>
      </c>
      <c r="O30" s="102">
        <v>20.568300000000001</v>
      </c>
      <c r="P30" s="35" t="s">
        <v>1591</v>
      </c>
      <c r="Q30" s="35" t="s">
        <v>1598</v>
      </c>
      <c r="R30" s="35" t="s">
        <v>1609</v>
      </c>
      <c r="S30" s="102">
        <v>35.553600000000003</v>
      </c>
      <c r="T30" s="102">
        <v>30.049099999999999</v>
      </c>
      <c r="U30" s="35" t="s">
        <v>1591</v>
      </c>
      <c r="V30" s="35" t="s">
        <v>1606</v>
      </c>
      <c r="W30" s="102">
        <v>45</v>
      </c>
      <c r="X30" s="102">
        <v>39.4955</v>
      </c>
      <c r="Y30" s="102">
        <v>23</v>
      </c>
      <c r="Z30" s="35" t="s">
        <v>1593</v>
      </c>
      <c r="AA30">
        <f>VLOOKUP(A30,Cover!A:R,18,0)</f>
        <v>9.15</v>
      </c>
      <c r="AB30" s="77">
        <f t="shared" ref="AB30" si="27">M30-AA30</f>
        <v>23.643740000000001</v>
      </c>
      <c r="AC30" s="77">
        <f t="shared" ref="AC30" si="28">O30-AA30</f>
        <v>11.4183</v>
      </c>
      <c r="AD30" s="77">
        <f t="shared" ref="AD30" si="29">AB30/L30%</f>
        <v>61.735839558162468</v>
      </c>
      <c r="AE30" s="77">
        <f t="shared" ref="AE30" si="30">AC30/N30%</f>
        <v>43.793915498143654</v>
      </c>
      <c r="AF30" s="77">
        <f t="shared" ref="AF30" si="31">T30-AA30</f>
        <v>20.899099999999997</v>
      </c>
      <c r="AG30" s="77">
        <f t="shared" ref="AG30" si="32">AF30/S30%</f>
        <v>58.78195175734664</v>
      </c>
      <c r="AH30" s="77">
        <f t="shared" ref="AH30" si="33">W30</f>
        <v>45</v>
      </c>
      <c r="AI30" s="77">
        <f t="shared" ref="AI30" si="34">J30</f>
        <v>5.5045000000000002</v>
      </c>
      <c r="AJ30" s="77">
        <f t="shared" ref="AJ30" si="35">AH30-AI30</f>
        <v>39.4955</v>
      </c>
      <c r="AK30" s="77">
        <f t="shared" ref="AK30" si="36">AA30</f>
        <v>9.15</v>
      </c>
      <c r="AL30" s="77">
        <f t="shared" ref="AL30" si="37">AJ30-AK30</f>
        <v>30.345500000000001</v>
      </c>
      <c r="AM30" s="77">
        <f t="shared" ref="AM30" si="38">AL30/AH30%</f>
        <v>67.434444444444452</v>
      </c>
      <c r="AN30" s="52"/>
      <c r="AO30" s="52" t="s">
        <v>1651</v>
      </c>
      <c r="AP30" t="str">
        <f t="shared" si="12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3"/>
        <v>DDm125-33</v>
      </c>
    </row>
    <row r="31" spans="1:53">
      <c r="A31" s="35" t="s">
        <v>47</v>
      </c>
      <c r="B31" s="35" t="s">
        <v>1636</v>
      </c>
      <c r="C31" s="35" t="s">
        <v>1664</v>
      </c>
      <c r="D31" s="35" t="s">
        <v>1629</v>
      </c>
      <c r="E31" s="35" t="s">
        <v>985</v>
      </c>
      <c r="F31" s="35" t="s">
        <v>1587</v>
      </c>
      <c r="G31" s="102">
        <v>36.6</v>
      </c>
      <c r="H31" s="102">
        <v>25</v>
      </c>
      <c r="I31" s="102">
        <v>138</v>
      </c>
      <c r="J31" s="102">
        <v>7.5209999999999999</v>
      </c>
      <c r="K31" s="103">
        <v>44754</v>
      </c>
      <c r="L31" s="102">
        <v>38.29824</v>
      </c>
      <c r="M31" s="102">
        <v>30.777239999999999</v>
      </c>
      <c r="N31" s="102">
        <v>26.072800000000001</v>
      </c>
      <c r="O31" s="102">
        <v>18.5518</v>
      </c>
      <c r="P31" s="35" t="s">
        <v>1591</v>
      </c>
      <c r="Q31" s="35" t="s">
        <v>1598</v>
      </c>
      <c r="R31" s="35" t="s">
        <v>1609</v>
      </c>
      <c r="S31" s="102">
        <v>35.553600000000003</v>
      </c>
      <c r="T31" s="102">
        <v>28.032599999999999</v>
      </c>
      <c r="U31" s="35" t="s">
        <v>1591</v>
      </c>
      <c r="V31" s="35" t="s">
        <v>1606</v>
      </c>
      <c r="W31" s="102">
        <v>45</v>
      </c>
      <c r="X31" s="102">
        <v>37.478999999999999</v>
      </c>
      <c r="Y31" s="102">
        <v>23</v>
      </c>
      <c r="Z31" s="35" t="s">
        <v>1593</v>
      </c>
      <c r="AA31">
        <f>VLOOKUP(A31,Cover!A:R,18,0)</f>
        <v>7.58</v>
      </c>
      <c r="AB31" s="77">
        <f t="shared" ref="AB31" si="39">M31-AA31</f>
        <v>23.197240000000001</v>
      </c>
      <c r="AC31" s="77">
        <f t="shared" ref="AC31" si="40">O31-AA31</f>
        <v>10.9718</v>
      </c>
      <c r="AD31" s="77">
        <f t="shared" ref="AD31" si="41">AB31/L31%</f>
        <v>60.569989639210576</v>
      </c>
      <c r="AE31" s="77">
        <f t="shared" ref="AE31" si="42">AC31/N31%</f>
        <v>42.081402841275199</v>
      </c>
      <c r="AF31" s="77">
        <f t="shared" ref="AF31" si="43">T31-AA31</f>
        <v>20.452599999999997</v>
      </c>
      <c r="AG31" s="77">
        <f t="shared" ref="AG31" si="44">AF31/S31%</f>
        <v>57.526101435578944</v>
      </c>
      <c r="AH31" s="77">
        <f t="shared" ref="AH31" si="45">W31</f>
        <v>45</v>
      </c>
      <c r="AI31" s="77">
        <f t="shared" ref="AI31" si="46">J31</f>
        <v>7.5209999999999999</v>
      </c>
      <c r="AJ31" s="77">
        <f t="shared" ref="AJ31" si="47">AH31-AI31</f>
        <v>37.478999999999999</v>
      </c>
      <c r="AK31" s="77">
        <f t="shared" ref="AK31" si="48">AA31</f>
        <v>7.58</v>
      </c>
      <c r="AL31" s="77">
        <f t="shared" ref="AL31" si="49">AJ31-AK31</f>
        <v>29.899000000000001</v>
      </c>
      <c r="AM31" s="77">
        <f t="shared" ref="AM31" si="50">AL31/AH31%</f>
        <v>66.442222222222227</v>
      </c>
      <c r="AO31" s="52" t="s">
        <v>1651</v>
      </c>
      <c r="AP31" t="str">
        <f t="shared" si="12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3"/>
        <v>DDm125-33</v>
      </c>
    </row>
    <row r="32" spans="1:53">
      <c r="A32" s="35" t="s">
        <v>48</v>
      </c>
      <c r="B32" s="35" t="s">
        <v>1636</v>
      </c>
      <c r="C32" s="35" t="s">
        <v>1664</v>
      </c>
      <c r="D32" s="35" t="s">
        <v>1585</v>
      </c>
      <c r="E32" s="35" t="s">
        <v>960</v>
      </c>
      <c r="F32" s="35" t="s">
        <v>1587</v>
      </c>
      <c r="G32" s="102">
        <v>36.6</v>
      </c>
      <c r="H32" s="102">
        <v>26</v>
      </c>
      <c r="I32" s="102">
        <v>136</v>
      </c>
      <c r="J32" s="102">
        <v>7.4119999999999999</v>
      </c>
      <c r="K32" s="103">
        <v>45323</v>
      </c>
      <c r="L32" s="102">
        <v>39.893999999999998</v>
      </c>
      <c r="M32" s="102">
        <v>32.481999999999999</v>
      </c>
      <c r="N32" s="102">
        <v>28.067499999999999</v>
      </c>
      <c r="O32" s="102">
        <v>20.6555</v>
      </c>
      <c r="P32" s="35" t="s">
        <v>1591</v>
      </c>
      <c r="Q32" s="35" t="s">
        <v>1598</v>
      </c>
      <c r="R32" s="35" t="s">
        <v>1609</v>
      </c>
      <c r="S32" s="102">
        <v>35.553600000000003</v>
      </c>
      <c r="T32" s="102">
        <v>28.1416</v>
      </c>
      <c r="U32" s="35" t="s">
        <v>1608</v>
      </c>
      <c r="V32" s="35" t="s">
        <v>1670</v>
      </c>
      <c r="W32" s="102">
        <v>90</v>
      </c>
      <c r="X32" s="102">
        <v>82.587999999999994</v>
      </c>
      <c r="Y32" s="102">
        <v>12</v>
      </c>
      <c r="Z32" s="35" t="s">
        <v>1593</v>
      </c>
      <c r="AA32">
        <f>VLOOKUP(A32,Cover!A:R,18,0)</f>
        <v>2.4</v>
      </c>
      <c r="AB32" s="77">
        <f t="shared" si="0"/>
        <v>30.082000000000001</v>
      </c>
      <c r="AC32" s="77">
        <f t="shared" si="1"/>
        <v>18.255500000000001</v>
      </c>
      <c r="AD32" s="77">
        <f t="shared" si="2"/>
        <v>75.404822780367979</v>
      </c>
      <c r="AE32" s="77">
        <f t="shared" si="3"/>
        <v>65.041418010154089</v>
      </c>
      <c r="AF32" s="77">
        <f t="shared" si="4"/>
        <v>25.741600000000002</v>
      </c>
      <c r="AG32" s="77">
        <f t="shared" si="5"/>
        <v>72.402232122766748</v>
      </c>
      <c r="AH32" s="77">
        <f t="shared" si="6"/>
        <v>90</v>
      </c>
      <c r="AI32" s="77">
        <f t="shared" si="7"/>
        <v>7.4119999999999999</v>
      </c>
      <c r="AJ32" s="77">
        <f t="shared" si="8"/>
        <v>82.587999999999994</v>
      </c>
      <c r="AK32" s="77">
        <f t="shared" si="9"/>
        <v>2.4</v>
      </c>
      <c r="AL32" s="77">
        <f t="shared" si="10"/>
        <v>80.187999999999988</v>
      </c>
      <c r="AM32" s="77">
        <f t="shared" si="11"/>
        <v>89.097777777777765</v>
      </c>
      <c r="AO32" s="52" t="s">
        <v>1651</v>
      </c>
      <c r="AP32" t="str">
        <f t="shared" si="12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3"/>
        <v>DDm125-33</v>
      </c>
    </row>
    <row r="33" spans="1:53">
      <c r="A33" s="35" t="s">
        <v>49</v>
      </c>
      <c r="B33" s="35" t="s">
        <v>1636</v>
      </c>
      <c r="C33" s="35" t="s">
        <v>1664</v>
      </c>
      <c r="D33" s="35" t="s">
        <v>1585</v>
      </c>
      <c r="E33" s="35" t="s">
        <v>960</v>
      </c>
      <c r="F33" s="35" t="s">
        <v>1587</v>
      </c>
      <c r="G33" s="102">
        <v>36.6</v>
      </c>
      <c r="H33" s="102">
        <v>25</v>
      </c>
      <c r="I33" s="102">
        <v>160</v>
      </c>
      <c r="J33" s="102">
        <v>8.7200000000000006</v>
      </c>
      <c r="K33" s="103">
        <v>45323</v>
      </c>
      <c r="L33" s="102">
        <v>38.29824</v>
      </c>
      <c r="M33" s="102">
        <v>29.578240000000001</v>
      </c>
      <c r="N33" s="102">
        <v>26.072800000000001</v>
      </c>
      <c r="O33" s="102">
        <v>17.352799999999998</v>
      </c>
      <c r="P33" s="35" t="s">
        <v>1591</v>
      </c>
      <c r="Q33" s="35" t="s">
        <v>1598</v>
      </c>
      <c r="R33" s="35" t="s">
        <v>1609</v>
      </c>
      <c r="S33" s="102">
        <v>35.553600000000003</v>
      </c>
      <c r="T33" s="102">
        <v>26.833600000000001</v>
      </c>
      <c r="U33" s="35" t="s">
        <v>1608</v>
      </c>
      <c r="V33" s="35" t="s">
        <v>1670</v>
      </c>
      <c r="W33" s="102">
        <v>90</v>
      </c>
      <c r="X33" s="102">
        <v>81.28</v>
      </c>
      <c r="Y33" s="102">
        <v>12</v>
      </c>
      <c r="Z33" s="35" t="s">
        <v>1593</v>
      </c>
      <c r="AA33">
        <f>VLOOKUP(A33,Cover!A:R,18,0)</f>
        <v>2.5</v>
      </c>
      <c r="AB33" s="77">
        <f t="shared" si="0"/>
        <v>27.078240000000001</v>
      </c>
      <c r="AC33" s="77">
        <f t="shared" si="1"/>
        <v>14.852799999999998</v>
      </c>
      <c r="AD33" s="77">
        <f t="shared" si="2"/>
        <v>70.703614578633378</v>
      </c>
      <c r="AE33" s="77">
        <f t="shared" si="3"/>
        <v>56.966647233898918</v>
      </c>
      <c r="AF33" s="77">
        <f t="shared" si="4"/>
        <v>24.333600000000001</v>
      </c>
      <c r="AG33" s="77">
        <f t="shared" si="5"/>
        <v>68.442014310787087</v>
      </c>
      <c r="AH33" s="77">
        <f t="shared" si="6"/>
        <v>90</v>
      </c>
      <c r="AI33" s="77">
        <f t="shared" si="7"/>
        <v>8.7200000000000006</v>
      </c>
      <c r="AJ33" s="77">
        <f t="shared" si="8"/>
        <v>81.28</v>
      </c>
      <c r="AK33" s="77">
        <f t="shared" si="9"/>
        <v>2.5</v>
      </c>
      <c r="AL33" s="77">
        <f t="shared" si="10"/>
        <v>78.78</v>
      </c>
      <c r="AM33" s="77">
        <f t="shared" si="11"/>
        <v>87.533333333333331</v>
      </c>
      <c r="AO33" s="52" t="s">
        <v>1651</v>
      </c>
      <c r="AP33" t="str">
        <f t="shared" si="12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3"/>
        <v>DDm125-33</v>
      </c>
    </row>
    <row r="34" spans="1:53">
      <c r="A34" s="35" t="s">
        <v>50</v>
      </c>
      <c r="B34" s="35" t="s">
        <v>1607</v>
      </c>
      <c r="C34" s="35" t="s">
        <v>1671</v>
      </c>
      <c r="D34" s="35" t="s">
        <v>1580</v>
      </c>
      <c r="E34" s="35" t="s">
        <v>820</v>
      </c>
      <c r="F34" s="35" t="s">
        <v>1641</v>
      </c>
      <c r="G34" s="102">
        <v>55</v>
      </c>
      <c r="H34" s="102">
        <v>9</v>
      </c>
      <c r="I34" s="102">
        <v>194</v>
      </c>
      <c r="J34" s="102">
        <v>10.573</v>
      </c>
      <c r="K34" s="103">
        <v>44433.5625</v>
      </c>
      <c r="L34" s="102">
        <v>19.184000000000001</v>
      </c>
      <c r="M34" s="102">
        <v>8.6110000000000007</v>
      </c>
      <c r="N34" s="102">
        <v>14.251749999999999</v>
      </c>
      <c r="O34" s="102">
        <v>3.67875</v>
      </c>
      <c r="P34" s="35" t="s">
        <v>1588</v>
      </c>
      <c r="Q34" s="35" t="s">
        <v>1598</v>
      </c>
      <c r="R34" s="35" t="s">
        <v>1626</v>
      </c>
      <c r="S34" s="102">
        <v>15.1632</v>
      </c>
      <c r="T34" s="102">
        <v>4.5901999999999896</v>
      </c>
      <c r="U34" s="35" t="s">
        <v>1588</v>
      </c>
      <c r="V34" s="35" t="s">
        <v>1631</v>
      </c>
      <c r="W34" s="102">
        <v>15</v>
      </c>
      <c r="X34" s="102">
        <v>4.4269999999999996</v>
      </c>
      <c r="Y34" s="102">
        <v>0</v>
      </c>
      <c r="Z34" s="35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s="52" t="s">
        <v>1580</v>
      </c>
      <c r="AO34" t="s">
        <v>1594</v>
      </c>
      <c r="AP34" t="str">
        <f t="shared" si="12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3"/>
        <v>2DDm85-15</v>
      </c>
    </row>
    <row r="35" spans="1:53">
      <c r="A35" s="35" t="s">
        <v>51</v>
      </c>
      <c r="B35" s="35" t="s">
        <v>1672</v>
      </c>
      <c r="C35" s="35" t="s">
        <v>1673</v>
      </c>
      <c r="D35" s="35" t="s">
        <v>1674</v>
      </c>
      <c r="E35" s="35" t="s">
        <v>1131</v>
      </c>
      <c r="F35" s="35" t="s">
        <v>1630</v>
      </c>
      <c r="G35" s="102">
        <v>23</v>
      </c>
      <c r="H35" s="102">
        <v>6</v>
      </c>
      <c r="I35" s="102">
        <v>38</v>
      </c>
      <c r="J35" s="102">
        <v>2.0710000000000002</v>
      </c>
      <c r="K35" s="103">
        <v>45323</v>
      </c>
      <c r="L35" s="102">
        <v>5.0140000000000002</v>
      </c>
      <c r="M35" s="102">
        <v>2.9430000000000001</v>
      </c>
      <c r="N35" s="102">
        <v>5.9950000000000001</v>
      </c>
      <c r="O35" s="102">
        <v>3.9239999999999999</v>
      </c>
      <c r="P35" s="35" t="s">
        <v>1608</v>
      </c>
      <c r="Q35" s="35" t="s">
        <v>1616</v>
      </c>
      <c r="R35" s="35" t="s">
        <v>1617</v>
      </c>
      <c r="S35" s="102">
        <v>4.32</v>
      </c>
      <c r="T35" s="102">
        <v>2.2490000000000001</v>
      </c>
      <c r="U35" s="35" t="s">
        <v>1675</v>
      </c>
      <c r="V35" s="35" t="s">
        <v>1608</v>
      </c>
      <c r="W35" s="102">
        <v>3.75</v>
      </c>
      <c r="X35" s="102">
        <v>1.679</v>
      </c>
      <c r="Y35" s="102">
        <v>0</v>
      </c>
      <c r="Z35" s="35" t="s">
        <v>1676</v>
      </c>
      <c r="AA35">
        <f>VLOOKUP(A35,Cover!A:R,18,0)</f>
        <v>0</v>
      </c>
      <c r="AB35" s="77">
        <f t="shared" si="0"/>
        <v>2.9430000000000001</v>
      </c>
      <c r="AC35" s="77">
        <f t="shared" si="1"/>
        <v>3.9239999999999999</v>
      </c>
      <c r="AD35" s="77">
        <f t="shared" si="2"/>
        <v>58.695652173913039</v>
      </c>
      <c r="AE35" s="77">
        <f t="shared" si="3"/>
        <v>65.454545454545453</v>
      </c>
      <c r="AF35" s="77">
        <f t="shared" si="4"/>
        <v>2.2490000000000001</v>
      </c>
      <c r="AG35" s="77">
        <f t="shared" si="5"/>
        <v>52.060185185185183</v>
      </c>
      <c r="AH35" s="77">
        <f t="shared" si="6"/>
        <v>3.75</v>
      </c>
      <c r="AI35" s="77">
        <f t="shared" si="7"/>
        <v>2.0710000000000002</v>
      </c>
      <c r="AJ35" s="77">
        <f t="shared" si="8"/>
        <v>1.6789999999999998</v>
      </c>
      <c r="AK35" s="77">
        <f t="shared" si="9"/>
        <v>0</v>
      </c>
      <c r="AL35" s="77">
        <f t="shared" si="10"/>
        <v>1.6789999999999998</v>
      </c>
      <c r="AM35" s="77">
        <f t="shared" si="11"/>
        <v>44.773333333333333</v>
      </c>
      <c r="AN35" s="52" t="s">
        <v>1580</v>
      </c>
      <c r="AO35" t="s">
        <v>1594</v>
      </c>
      <c r="AP35" t="str">
        <f t="shared" si="12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3"/>
        <v>SBS C11F</v>
      </c>
    </row>
    <row r="36" spans="1:53">
      <c r="A36" s="35" t="s">
        <v>52</v>
      </c>
      <c r="B36" s="35" t="s">
        <v>1672</v>
      </c>
      <c r="C36" s="35" t="s">
        <v>1677</v>
      </c>
      <c r="D36" s="35" t="s">
        <v>1629</v>
      </c>
      <c r="E36" s="35" t="s">
        <v>1678</v>
      </c>
      <c r="F36" s="35" t="s">
        <v>1587</v>
      </c>
      <c r="G36" s="102">
        <v>36.6</v>
      </c>
      <c r="H36" s="102">
        <v>9</v>
      </c>
      <c r="I36" s="102">
        <v>55</v>
      </c>
      <c r="J36" s="102">
        <v>2.9975000000000001</v>
      </c>
      <c r="K36" s="103">
        <v>45323</v>
      </c>
      <c r="L36" s="102">
        <v>12.766080000000001</v>
      </c>
      <c r="M36" s="102">
        <v>9.76858</v>
      </c>
      <c r="N36" s="102">
        <v>9.4720999999999993</v>
      </c>
      <c r="O36" s="102">
        <v>6.4745999999999997</v>
      </c>
      <c r="P36" s="35" t="s">
        <v>1591</v>
      </c>
      <c r="Q36" s="35" t="s">
        <v>1598</v>
      </c>
      <c r="R36" s="35" t="s">
        <v>1626</v>
      </c>
      <c r="S36" s="102">
        <v>10.1088</v>
      </c>
      <c r="T36" s="102">
        <v>7.1112999999999804</v>
      </c>
      <c r="U36" s="35" t="s">
        <v>1588</v>
      </c>
      <c r="V36" s="35" t="s">
        <v>1600</v>
      </c>
      <c r="W36" s="102">
        <v>22.5</v>
      </c>
      <c r="X36" s="102">
        <v>19.502500000000001</v>
      </c>
      <c r="Y36" s="102">
        <v>20</v>
      </c>
      <c r="Z36" s="35" t="s">
        <v>1593</v>
      </c>
      <c r="AA36">
        <f>VLOOKUP(A36,Cover!A:R,18,0)</f>
        <v>3</v>
      </c>
      <c r="AB36" s="77">
        <f t="shared" si="0"/>
        <v>6.76858</v>
      </c>
      <c r="AC36" s="77">
        <f t="shared" si="1"/>
        <v>3.4745999999999997</v>
      </c>
      <c r="AD36" s="77">
        <f t="shared" si="2"/>
        <v>53.020034341003651</v>
      </c>
      <c r="AE36" s="77">
        <f t="shared" si="3"/>
        <v>36.682467457058095</v>
      </c>
      <c r="AF36" s="77">
        <f t="shared" si="4"/>
        <v>4.1112999999999804</v>
      </c>
      <c r="AG36" s="77">
        <f t="shared" si="5"/>
        <v>40.670504906615818</v>
      </c>
      <c r="AH36" s="77">
        <f t="shared" si="6"/>
        <v>22.5</v>
      </c>
      <c r="AI36" s="77">
        <f t="shared" si="7"/>
        <v>2.9975000000000001</v>
      </c>
      <c r="AJ36" s="77">
        <f t="shared" si="8"/>
        <v>19.502500000000001</v>
      </c>
      <c r="AK36" s="77">
        <f t="shared" si="9"/>
        <v>3</v>
      </c>
      <c r="AL36" s="77">
        <f t="shared" si="10"/>
        <v>16.502500000000001</v>
      </c>
      <c r="AM36" s="77">
        <f t="shared" si="11"/>
        <v>73.344444444444449</v>
      </c>
      <c r="AO36" t="s">
        <v>1594</v>
      </c>
      <c r="AP36" t="str">
        <f t="shared" si="12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3"/>
        <v>2DDm85-15</v>
      </c>
    </row>
    <row r="37" spans="1:53">
      <c r="A37" s="35" t="s">
        <v>53</v>
      </c>
      <c r="B37" s="35" t="s">
        <v>1624</v>
      </c>
      <c r="C37" s="35" t="s">
        <v>1679</v>
      </c>
      <c r="D37" s="35" t="s">
        <v>1680</v>
      </c>
      <c r="E37" s="35" t="s">
        <v>1450</v>
      </c>
      <c r="F37" s="35" t="s">
        <v>1587</v>
      </c>
      <c r="G37" s="102">
        <v>36.6</v>
      </c>
      <c r="H37" s="102">
        <v>61</v>
      </c>
      <c r="I37" s="102">
        <v>998</v>
      </c>
      <c r="J37" s="102">
        <v>54.390999999999998</v>
      </c>
      <c r="K37" s="103">
        <v>45323</v>
      </c>
      <c r="L37" s="102">
        <v>95.745599999999996</v>
      </c>
      <c r="M37" s="102">
        <v>41.354599999999998</v>
      </c>
      <c r="N37" s="102">
        <v>86.981999999999999</v>
      </c>
      <c r="O37" s="102">
        <v>32.591000000000001</v>
      </c>
      <c r="P37" s="35" t="s">
        <v>1588</v>
      </c>
      <c r="Q37" s="35" t="s">
        <v>1598</v>
      </c>
      <c r="R37" s="35" t="s">
        <v>1609</v>
      </c>
      <c r="S37" s="102">
        <v>53.330399999999997</v>
      </c>
      <c r="T37" s="102">
        <v>-1.06060000000002</v>
      </c>
      <c r="U37" s="35" t="s">
        <v>1681</v>
      </c>
      <c r="V37" s="35" t="s">
        <v>1682</v>
      </c>
      <c r="W37" s="102">
        <v>371.25</v>
      </c>
      <c r="X37" s="102">
        <v>316.85899999999998</v>
      </c>
      <c r="Y37" s="102">
        <v>104</v>
      </c>
      <c r="Z37" s="35" t="s">
        <v>1593</v>
      </c>
      <c r="AA37">
        <f>VLOOKUP(A37,Cover!A:R,18,0)</f>
        <v>32.799999999999997</v>
      </c>
      <c r="AB37" s="77">
        <f t="shared" si="0"/>
        <v>8.5546000000000006</v>
      </c>
      <c r="AC37" s="77">
        <f t="shared" si="1"/>
        <v>-0.20899999999999608</v>
      </c>
      <c r="AD37" s="77">
        <f t="shared" si="2"/>
        <v>8.9347186711452018</v>
      </c>
      <c r="AE37" s="77">
        <f t="shared" si="3"/>
        <v>-0.2402795980777587</v>
      </c>
      <c r="AF37" s="77">
        <f t="shared" si="4"/>
        <v>-33.860600000000019</v>
      </c>
      <c r="AG37" s="77">
        <f t="shared" si="5"/>
        <v>-63.492117066438688</v>
      </c>
      <c r="AH37" s="345">
        <f>AVERAGE(W37:W39)</f>
        <v>413.5</v>
      </c>
      <c r="AI37" s="345">
        <f>SUM(J37:J39)</f>
        <v>200.124</v>
      </c>
      <c r="AJ37" s="345">
        <f>AH37-AI37</f>
        <v>213.376</v>
      </c>
      <c r="AK37" s="345">
        <f>SUM(AA37:AA39)</f>
        <v>116.2</v>
      </c>
      <c r="AL37" s="345">
        <f>AJ37-AK37</f>
        <v>97.176000000000002</v>
      </c>
      <c r="AM37" s="346">
        <f>AL37/AH37%</f>
        <v>23.500846432889965</v>
      </c>
      <c r="AO37" t="s">
        <v>1594</v>
      </c>
      <c r="AP37" t="str">
        <f t="shared" si="12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3"/>
        <v>DDm125-33</v>
      </c>
    </row>
    <row r="38" spans="1:53">
      <c r="A38" s="35" t="s">
        <v>54</v>
      </c>
      <c r="B38" s="35" t="s">
        <v>1624</v>
      </c>
      <c r="C38" s="35" t="s">
        <v>1679</v>
      </c>
      <c r="D38" s="35" t="s">
        <v>1680</v>
      </c>
      <c r="E38" s="35" t="s">
        <v>1450</v>
      </c>
      <c r="F38" s="35" t="s">
        <v>1587</v>
      </c>
      <c r="G38" s="102">
        <v>36.6</v>
      </c>
      <c r="H38" s="102">
        <v>57</v>
      </c>
      <c r="I38" s="102">
        <v>1377</v>
      </c>
      <c r="J38" s="102">
        <v>75.046499999999995</v>
      </c>
      <c r="K38" s="103">
        <v>45323</v>
      </c>
      <c r="L38" s="102">
        <v>89.362560000000002</v>
      </c>
      <c r="M38" s="102">
        <v>14.31606</v>
      </c>
      <c r="N38" s="102">
        <v>46.303199999999997</v>
      </c>
      <c r="O38" s="104">
        <v>-28.743300000000001</v>
      </c>
      <c r="P38" s="35" t="s">
        <v>1634</v>
      </c>
      <c r="Q38" s="35" t="s">
        <v>1598</v>
      </c>
      <c r="R38" s="35" t="s">
        <v>1609</v>
      </c>
      <c r="S38" s="102">
        <v>106.66079999999999</v>
      </c>
      <c r="T38" s="102">
        <v>31.6143000000001</v>
      </c>
      <c r="U38" s="35" t="s">
        <v>1681</v>
      </c>
      <c r="V38" s="35" t="s">
        <v>1682</v>
      </c>
      <c r="W38" s="102">
        <v>371.25</v>
      </c>
      <c r="X38" s="102">
        <v>296.20350000000002</v>
      </c>
      <c r="Y38" s="102">
        <v>104</v>
      </c>
      <c r="Z38" s="35" t="s">
        <v>1593</v>
      </c>
      <c r="AA38">
        <f>VLOOKUP(A38,Cover!A:R,18,0)</f>
        <v>19</v>
      </c>
      <c r="AB38" s="77">
        <f t="shared" si="0"/>
        <v>-4.6839399999999998</v>
      </c>
      <c r="AC38" s="77">
        <f t="shared" si="1"/>
        <v>-47.743300000000005</v>
      </c>
      <c r="AD38" s="77">
        <f t="shared" si="2"/>
        <v>-5.2415015863466756</v>
      </c>
      <c r="AE38" s="77">
        <f t="shared" si="3"/>
        <v>-103.11015221410186</v>
      </c>
      <c r="AF38" s="77">
        <f t="shared" si="4"/>
        <v>12.6143000000001</v>
      </c>
      <c r="AG38" s="77">
        <f t="shared" si="5"/>
        <v>11.826556710619178</v>
      </c>
      <c r="AH38" s="345"/>
      <c r="AI38" s="345"/>
      <c r="AJ38" s="345"/>
      <c r="AK38" s="345"/>
      <c r="AL38" s="345"/>
      <c r="AM38" s="346"/>
      <c r="AO38" t="s">
        <v>1651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3"/>
        <v>DDm125-33</v>
      </c>
    </row>
    <row r="39" spans="1:53">
      <c r="A39" s="35" t="s">
        <v>55</v>
      </c>
      <c r="B39" s="35" t="s">
        <v>1624</v>
      </c>
      <c r="C39" s="35" t="s">
        <v>1679</v>
      </c>
      <c r="D39" s="35" t="s">
        <v>1680</v>
      </c>
      <c r="E39" s="35" t="s">
        <v>1469</v>
      </c>
      <c r="F39" s="35" t="s">
        <v>1641</v>
      </c>
      <c r="G39" s="102">
        <v>55</v>
      </c>
      <c r="H39" s="102">
        <v>102</v>
      </c>
      <c r="I39" s="102">
        <v>1297</v>
      </c>
      <c r="J39" s="102">
        <v>70.686499999999995</v>
      </c>
      <c r="K39" s="103">
        <v>45323</v>
      </c>
      <c r="L39" s="102">
        <v>242.19800000000001</v>
      </c>
      <c r="M39" s="102">
        <v>171.51150000000001</v>
      </c>
      <c r="N39" s="102">
        <v>171.94749999999999</v>
      </c>
      <c r="O39" s="102">
        <v>101.261</v>
      </c>
      <c r="P39" s="35" t="s">
        <v>1681</v>
      </c>
      <c r="Q39" s="35" t="s">
        <v>1598</v>
      </c>
      <c r="R39" s="35" t="s">
        <v>1609</v>
      </c>
      <c r="S39" s="102">
        <v>213.32159999999999</v>
      </c>
      <c r="T39" s="102">
        <v>142.63509999999999</v>
      </c>
      <c r="U39" s="35" t="s">
        <v>1592</v>
      </c>
      <c r="V39" s="35" t="s">
        <v>1683</v>
      </c>
      <c r="W39" s="102">
        <v>498</v>
      </c>
      <c r="X39" s="102">
        <v>427.31349999999998</v>
      </c>
      <c r="Y39" s="102">
        <v>23</v>
      </c>
      <c r="Z39" s="35" t="s">
        <v>1593</v>
      </c>
      <c r="AA39">
        <f>VLOOKUP(A39,Cover!A:R,18,0)</f>
        <v>64.400000000000006</v>
      </c>
      <c r="AB39" s="77">
        <f>M39-AA39</f>
        <v>107.11150000000001</v>
      </c>
      <c r="AC39" s="77">
        <f>O39-AA39</f>
        <v>36.86099999999999</v>
      </c>
      <c r="AD39" s="77">
        <f>AB39/L39%</f>
        <v>44.224766513348584</v>
      </c>
      <c r="AE39" s="77">
        <f>AC39/N39%</f>
        <v>21.437357332906842</v>
      </c>
      <c r="AF39" s="77">
        <f>T39-AA39</f>
        <v>78.235099999999989</v>
      </c>
      <c r="AG39" s="77">
        <f>AF39/S39%</f>
        <v>36.674720234612899</v>
      </c>
      <c r="AH39" s="345"/>
      <c r="AI39" s="345"/>
      <c r="AJ39" s="345"/>
      <c r="AK39" s="345"/>
      <c r="AL39" s="345"/>
      <c r="AM39" s="346"/>
      <c r="AO39" t="s">
        <v>1651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3"/>
        <v>DDm125-33</v>
      </c>
    </row>
    <row r="40" spans="1:53">
      <c r="A40" s="35" t="s">
        <v>56</v>
      </c>
      <c r="B40" s="35" t="s">
        <v>1624</v>
      </c>
      <c r="C40" s="35" t="s">
        <v>1679</v>
      </c>
      <c r="D40" s="35" t="s">
        <v>1680</v>
      </c>
      <c r="E40" s="35" t="s">
        <v>1450</v>
      </c>
      <c r="F40" s="35" t="s">
        <v>1684</v>
      </c>
      <c r="G40" s="102">
        <v>55</v>
      </c>
      <c r="H40" s="102">
        <v>102</v>
      </c>
      <c r="I40" s="102">
        <v>1014</v>
      </c>
      <c r="J40" s="102">
        <v>55.262999999999998</v>
      </c>
      <c r="K40" s="103">
        <v>45323</v>
      </c>
      <c r="L40" s="102">
        <v>242.19800000000001</v>
      </c>
      <c r="M40" s="102">
        <v>186.935</v>
      </c>
      <c r="N40" s="102">
        <v>171.94749999999999</v>
      </c>
      <c r="O40" s="102">
        <v>116.6845</v>
      </c>
      <c r="P40" s="35" t="s">
        <v>1681</v>
      </c>
      <c r="Q40" s="35" t="s">
        <v>1598</v>
      </c>
      <c r="R40" s="35" t="s">
        <v>1609</v>
      </c>
      <c r="S40" s="102">
        <v>213.32159999999999</v>
      </c>
      <c r="T40" s="102">
        <v>158.05860000000001</v>
      </c>
      <c r="U40" s="35" t="s">
        <v>1681</v>
      </c>
      <c r="V40" s="35" t="s">
        <v>1682</v>
      </c>
      <c r="W40" s="102">
        <v>371.25</v>
      </c>
      <c r="X40" s="102">
        <v>315.98700000000002</v>
      </c>
      <c r="Y40" s="102">
        <v>104</v>
      </c>
      <c r="Z40" s="35" t="s">
        <v>1593</v>
      </c>
      <c r="AA40">
        <f>VLOOKUP(A40,Cover!A:R,18,0)</f>
        <v>64.400000000000006</v>
      </c>
      <c r="AB40" s="77">
        <f>M40-AA40</f>
        <v>122.535</v>
      </c>
      <c r="AC40" s="77">
        <f>O40-AA40</f>
        <v>52.284499999999994</v>
      </c>
      <c r="AD40" s="77">
        <f>AB40/L40%</f>
        <v>50.592903327029951</v>
      </c>
      <c r="AE40" s="77">
        <f>AC40/N40%</f>
        <v>30.407246397883075</v>
      </c>
      <c r="AF40" s="77">
        <f>T40-AA40</f>
        <v>93.658600000000007</v>
      </c>
      <c r="AG40" s="77">
        <f>AF40/S40%</f>
        <v>43.904883518593529</v>
      </c>
      <c r="AH40" s="77">
        <f>W40</f>
        <v>371.25</v>
      </c>
      <c r="AI40" s="77">
        <f t="shared" si="7"/>
        <v>55.262999999999998</v>
      </c>
      <c r="AJ40" s="77">
        <f t="shared" si="8"/>
        <v>315.98700000000002</v>
      </c>
      <c r="AK40" s="77">
        <f t="shared" si="9"/>
        <v>64.400000000000006</v>
      </c>
      <c r="AL40" s="77">
        <f t="shared" si="10"/>
        <v>251.58700000000002</v>
      </c>
      <c r="AM40" s="77">
        <f t="shared" si="11"/>
        <v>67.767542087542097</v>
      </c>
      <c r="AO40" t="s">
        <v>1594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3"/>
        <v>DDm125-33</v>
      </c>
    </row>
    <row r="41" spans="1:53">
      <c r="A41" s="35" t="s">
        <v>57</v>
      </c>
      <c r="B41" s="35" t="s">
        <v>1636</v>
      </c>
      <c r="C41" s="35" t="s">
        <v>1664</v>
      </c>
      <c r="D41" s="35" t="s">
        <v>1585</v>
      </c>
      <c r="E41" s="35" t="s">
        <v>971</v>
      </c>
      <c r="F41" s="35" t="s">
        <v>1685</v>
      </c>
      <c r="G41" s="102">
        <v>100</v>
      </c>
      <c r="H41" s="102">
        <v>9</v>
      </c>
      <c r="I41" s="102">
        <v>115</v>
      </c>
      <c r="J41" s="102">
        <v>6.2675000000000001</v>
      </c>
      <c r="K41" s="103">
        <v>44498.416666666701</v>
      </c>
      <c r="L41" s="102">
        <v>34.880000000000003</v>
      </c>
      <c r="M41" s="102">
        <v>28.612500000000001</v>
      </c>
      <c r="N41" s="102">
        <v>26.16</v>
      </c>
      <c r="O41" s="102">
        <v>19.892499999999998</v>
      </c>
      <c r="P41" s="35" t="s">
        <v>1591</v>
      </c>
      <c r="Q41" s="35" t="s">
        <v>1598</v>
      </c>
      <c r="R41" s="35" t="s">
        <v>1661</v>
      </c>
      <c r="S41" s="102">
        <v>28.123200000000001</v>
      </c>
      <c r="T41" s="102">
        <v>21.855699999999999</v>
      </c>
      <c r="U41" s="35" t="s">
        <v>1603</v>
      </c>
      <c r="V41" s="35" t="s">
        <v>1686</v>
      </c>
      <c r="W41" s="102">
        <v>67.5</v>
      </c>
      <c r="X41" s="102">
        <v>61.232500000000002</v>
      </c>
      <c r="Y41" s="102">
        <v>30</v>
      </c>
      <c r="Z41" s="35" t="s">
        <v>1593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45">
        <f>AVERAGE(W41:W42)</f>
        <v>67.5</v>
      </c>
      <c r="AI41" s="345">
        <f>SUM(J41:J42)</f>
        <v>19.5655</v>
      </c>
      <c r="AJ41" s="345">
        <f t="shared" si="8"/>
        <v>47.9345</v>
      </c>
      <c r="AK41" s="345">
        <f>SUM(AA41:AA42)</f>
        <v>0</v>
      </c>
      <c r="AL41" s="345">
        <f t="shared" si="10"/>
        <v>47.9345</v>
      </c>
      <c r="AM41" s="346">
        <f t="shared" si="11"/>
        <v>71.014074074074074</v>
      </c>
      <c r="AO41" t="s">
        <v>1651</v>
      </c>
      <c r="AP41" t="str">
        <f t="shared" si="12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3"/>
        <v>DDm100-33</v>
      </c>
    </row>
    <row r="42" spans="1:53">
      <c r="A42" s="35" t="s">
        <v>58</v>
      </c>
      <c r="B42" s="35" t="s">
        <v>1636</v>
      </c>
      <c r="C42" s="35" t="s">
        <v>1664</v>
      </c>
      <c r="D42" s="35" t="s">
        <v>1585</v>
      </c>
      <c r="E42" s="35" t="s">
        <v>971</v>
      </c>
      <c r="F42" s="35" t="s">
        <v>1685</v>
      </c>
      <c r="G42" s="102">
        <v>100</v>
      </c>
      <c r="H42" s="102">
        <v>9</v>
      </c>
      <c r="I42" s="102">
        <v>244</v>
      </c>
      <c r="J42" s="102">
        <v>13.298</v>
      </c>
      <c r="K42" s="103">
        <v>44498.5</v>
      </c>
      <c r="L42" s="102">
        <v>34.880000000000003</v>
      </c>
      <c r="M42" s="102">
        <v>21.582000000000001</v>
      </c>
      <c r="N42" s="102">
        <v>26.16</v>
      </c>
      <c r="O42" s="102">
        <v>12.862</v>
      </c>
      <c r="P42" s="35" t="s">
        <v>1591</v>
      </c>
      <c r="Q42" s="35" t="s">
        <v>1598</v>
      </c>
      <c r="R42" s="35" t="s">
        <v>1661</v>
      </c>
      <c r="S42" s="102">
        <v>28.123200000000001</v>
      </c>
      <c r="T42" s="102">
        <v>14.825200000000001</v>
      </c>
      <c r="U42" s="35" t="s">
        <v>1603</v>
      </c>
      <c r="V42" s="35" t="s">
        <v>1686</v>
      </c>
      <c r="W42" s="102">
        <v>67.5</v>
      </c>
      <c r="X42" s="102">
        <v>54.201999999999998</v>
      </c>
      <c r="Y42" s="102">
        <v>30</v>
      </c>
      <c r="Z42" s="35" t="s">
        <v>1593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45"/>
      <c r="AI42" s="345"/>
      <c r="AJ42" s="345"/>
      <c r="AK42" s="345"/>
      <c r="AL42" s="345"/>
      <c r="AM42" s="346"/>
      <c r="AO42" t="s">
        <v>1651</v>
      </c>
      <c r="AP42" t="str">
        <f t="shared" si="12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3"/>
        <v>DDm100-33</v>
      </c>
    </row>
    <row r="43" spans="1:53">
      <c r="A43" s="35" t="s">
        <v>59</v>
      </c>
      <c r="B43" s="35" t="s">
        <v>1687</v>
      </c>
      <c r="C43" s="35" t="s">
        <v>1688</v>
      </c>
      <c r="D43" s="35" t="s">
        <v>1674</v>
      </c>
      <c r="E43" s="35" t="s">
        <v>1689</v>
      </c>
      <c r="F43" s="35" t="s">
        <v>1690</v>
      </c>
      <c r="G43" s="102">
        <v>27.8</v>
      </c>
      <c r="H43" s="102">
        <v>8</v>
      </c>
      <c r="I43" s="102">
        <v>105</v>
      </c>
      <c r="J43" s="102">
        <v>5.7225000000000001</v>
      </c>
      <c r="K43" s="103">
        <v>44879</v>
      </c>
      <c r="L43" s="102">
        <v>8.4845600000000001</v>
      </c>
      <c r="M43" s="102">
        <v>2.76206</v>
      </c>
      <c r="N43" s="102">
        <v>9.1930598910000008</v>
      </c>
      <c r="O43" s="102">
        <v>3.4705598910000002</v>
      </c>
      <c r="P43" s="35" t="s">
        <v>1591</v>
      </c>
      <c r="Q43" s="35" t="s">
        <v>1589</v>
      </c>
      <c r="R43" s="35" t="s">
        <v>1691</v>
      </c>
      <c r="S43" s="102">
        <v>2.9159999999999999</v>
      </c>
      <c r="T43" s="102">
        <v>-2.8065000000000002</v>
      </c>
      <c r="U43" s="35" t="s">
        <v>1591</v>
      </c>
      <c r="V43" s="35" t="s">
        <v>1692</v>
      </c>
      <c r="W43" s="102">
        <v>11.25</v>
      </c>
      <c r="X43" s="102">
        <v>5.5274999999999999</v>
      </c>
      <c r="Y43" s="102">
        <v>2</v>
      </c>
      <c r="Z43" s="35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s="52" t="s">
        <v>1580</v>
      </c>
      <c r="AO43" t="s">
        <v>1594</v>
      </c>
      <c r="AP43" t="str">
        <f t="shared" si="12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3"/>
        <v>EN160</v>
      </c>
    </row>
    <row r="44" spans="1:53">
      <c r="A44" s="35" t="s">
        <v>60</v>
      </c>
      <c r="B44" s="35" t="s">
        <v>1672</v>
      </c>
      <c r="C44" s="35" t="s">
        <v>1693</v>
      </c>
      <c r="D44" s="35" t="s">
        <v>1629</v>
      </c>
      <c r="E44" s="35" t="s">
        <v>1133</v>
      </c>
      <c r="F44" s="35" t="s">
        <v>1587</v>
      </c>
      <c r="G44" s="102">
        <v>36.6</v>
      </c>
      <c r="H44" s="102">
        <v>6</v>
      </c>
      <c r="I44" s="102">
        <v>46</v>
      </c>
      <c r="J44" s="102">
        <v>2.5070000000000001</v>
      </c>
      <c r="K44" s="103">
        <v>45323</v>
      </c>
      <c r="L44" s="102">
        <v>7.9787999999999997</v>
      </c>
      <c r="M44" s="102">
        <v>5.4718</v>
      </c>
      <c r="N44" s="102">
        <v>6.1585000000000001</v>
      </c>
      <c r="O44" s="102">
        <v>3.6515</v>
      </c>
      <c r="P44" s="35" t="s">
        <v>1638</v>
      </c>
      <c r="Q44" s="35" t="s">
        <v>1598</v>
      </c>
      <c r="R44" s="35" t="s">
        <v>1694</v>
      </c>
      <c r="S44" s="102">
        <v>6.2747999999999804</v>
      </c>
      <c r="T44" s="102">
        <v>3.7677999999999798</v>
      </c>
      <c r="U44" s="35" t="s">
        <v>1588</v>
      </c>
      <c r="V44" s="35" t="s">
        <v>1648</v>
      </c>
      <c r="W44" s="102">
        <v>6</v>
      </c>
      <c r="X44" s="102">
        <v>3.4929999999999999</v>
      </c>
      <c r="Y44" s="102">
        <v>6</v>
      </c>
      <c r="Z44" s="35" t="s">
        <v>1593</v>
      </c>
      <c r="AA44">
        <f>VLOOKUP(A44,Cover!A:R,18,0)</f>
        <v>5.4</v>
      </c>
      <c r="AB44" s="77">
        <f t="shared" si="0"/>
        <v>7.1799999999999642E-2</v>
      </c>
      <c r="AC44" s="77">
        <f t="shared" si="1"/>
        <v>-1.7485000000000004</v>
      </c>
      <c r="AD44" s="77">
        <f t="shared" si="2"/>
        <v>0.8998846944402622</v>
      </c>
      <c r="AE44" s="77">
        <f t="shared" si="3"/>
        <v>-28.391653811804829</v>
      </c>
      <c r="AF44" s="77">
        <f t="shared" si="4"/>
        <v>-1.6322000000000205</v>
      </c>
      <c r="AG44" s="77">
        <f t="shared" si="5"/>
        <v>-26.011984445719794</v>
      </c>
      <c r="AH44" s="77">
        <f t="shared" si="6"/>
        <v>6</v>
      </c>
      <c r="AI44" s="77">
        <f t="shared" si="7"/>
        <v>2.5070000000000001</v>
      </c>
      <c r="AJ44" s="77">
        <f t="shared" si="8"/>
        <v>3.4929999999999999</v>
      </c>
      <c r="AK44" s="77">
        <f t="shared" si="9"/>
        <v>5.4</v>
      </c>
      <c r="AL44" s="77">
        <f t="shared" si="10"/>
        <v>-1.9070000000000005</v>
      </c>
      <c r="AM44" s="77">
        <f t="shared" si="11"/>
        <v>-31.783333333333342</v>
      </c>
      <c r="AO44" t="s">
        <v>1594</v>
      </c>
      <c r="AP44" t="str">
        <f t="shared" si="12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3"/>
        <v xml:space="preserve">12V101F </v>
      </c>
    </row>
    <row r="45" spans="1:53">
      <c r="A45" s="35" t="s">
        <v>61</v>
      </c>
      <c r="B45" s="35" t="s">
        <v>1595</v>
      </c>
      <c r="C45" s="35" t="s">
        <v>1695</v>
      </c>
      <c r="D45" s="35" t="s">
        <v>1585</v>
      </c>
      <c r="E45" s="35" t="s">
        <v>1696</v>
      </c>
      <c r="F45" s="35" t="s">
        <v>1697</v>
      </c>
      <c r="G45" s="102">
        <v>20</v>
      </c>
      <c r="H45" s="102">
        <v>4</v>
      </c>
      <c r="I45" s="102">
        <v>2</v>
      </c>
      <c r="J45" s="102">
        <v>0.109</v>
      </c>
      <c r="K45" s="103">
        <v>44538.548611111102</v>
      </c>
      <c r="L45" s="102">
        <v>2.6160000000000001</v>
      </c>
      <c r="M45" s="102">
        <v>2.5070000000000001</v>
      </c>
      <c r="N45" s="102">
        <v>2.3980000000000001</v>
      </c>
      <c r="O45" s="102">
        <v>2.2890000000000001</v>
      </c>
      <c r="P45" s="35" t="s">
        <v>1591</v>
      </c>
      <c r="Q45" s="35" t="s">
        <v>1616</v>
      </c>
      <c r="R45" s="35" t="s">
        <v>1698</v>
      </c>
      <c r="S45" s="102">
        <v>1.9526399999999999</v>
      </c>
      <c r="T45" s="102">
        <v>1.8436399999999999</v>
      </c>
      <c r="U45" s="35" t="s">
        <v>1591</v>
      </c>
      <c r="V45" s="35" t="s">
        <v>1618</v>
      </c>
      <c r="W45" s="102">
        <v>5.0250000000000004</v>
      </c>
      <c r="X45" s="102">
        <v>4.9160000000000004</v>
      </c>
      <c r="Y45" s="102">
        <v>9</v>
      </c>
      <c r="Z45" s="35" t="s">
        <v>1593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O45" t="s">
        <v>1594</v>
      </c>
      <c r="AP45" t="str">
        <f t="shared" si="12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3"/>
        <v>12V100F</v>
      </c>
    </row>
    <row r="46" spans="1:53">
      <c r="A46" s="35" t="s">
        <v>62</v>
      </c>
      <c r="B46" s="35" t="s">
        <v>1612</v>
      </c>
      <c r="C46" s="35" t="s">
        <v>1699</v>
      </c>
      <c r="D46" s="35" t="s">
        <v>1585</v>
      </c>
      <c r="E46" s="35" t="s">
        <v>1700</v>
      </c>
      <c r="F46" s="35" t="s">
        <v>1587</v>
      </c>
      <c r="G46" s="102">
        <v>36.6</v>
      </c>
      <c r="H46" s="102">
        <v>2</v>
      </c>
      <c r="I46" s="102">
        <v>12</v>
      </c>
      <c r="J46" s="102">
        <v>0.65400000000000003</v>
      </c>
      <c r="K46" s="103">
        <v>45323</v>
      </c>
      <c r="L46" s="102">
        <v>1.5957600000000001</v>
      </c>
      <c r="M46" s="102">
        <v>0.94176000000000004</v>
      </c>
      <c r="N46" s="102">
        <v>-0.11445016349999999</v>
      </c>
      <c r="O46" s="104">
        <v>-0.76845016349999995</v>
      </c>
      <c r="P46" s="35" t="s">
        <v>1588</v>
      </c>
      <c r="Q46" s="35" t="s">
        <v>1616</v>
      </c>
      <c r="R46" s="35" t="s">
        <v>1622</v>
      </c>
      <c r="S46" s="102">
        <v>4.2119999999999997</v>
      </c>
      <c r="T46" s="102">
        <v>3.5579999999999998</v>
      </c>
      <c r="U46" s="35" t="s">
        <v>1675</v>
      </c>
      <c r="V46" s="35" t="s">
        <v>1608</v>
      </c>
      <c r="W46" s="102">
        <v>3.75</v>
      </c>
      <c r="X46" s="102">
        <v>3.0960000000000001</v>
      </c>
      <c r="Y46" s="102">
        <v>1</v>
      </c>
      <c r="Z46" s="35" t="s">
        <v>1593</v>
      </c>
      <c r="AA46">
        <f>VLOOKUP(A46,Cover!A:R,18,0)</f>
        <v>0.4</v>
      </c>
      <c r="AB46" s="77">
        <f t="shared" si="0"/>
        <v>0.54176000000000002</v>
      </c>
      <c r="AC46" s="77">
        <f t="shared" si="1"/>
        <v>-1.1684501635</v>
      </c>
      <c r="AD46" s="77">
        <f t="shared" si="2"/>
        <v>33.949967413646156</v>
      </c>
      <c r="AE46" s="77">
        <f t="shared" si="3"/>
        <v>1020.9248530256579</v>
      </c>
      <c r="AF46" s="77">
        <f t="shared" si="4"/>
        <v>3.1579999999999999</v>
      </c>
      <c r="AG46" s="77">
        <f t="shared" si="5"/>
        <v>74.976258309591643</v>
      </c>
      <c r="AH46" s="77">
        <f t="shared" si="6"/>
        <v>3.75</v>
      </c>
      <c r="AI46" s="77">
        <f t="shared" si="7"/>
        <v>0.65400000000000003</v>
      </c>
      <c r="AJ46" s="77">
        <f t="shared" si="8"/>
        <v>3.0960000000000001</v>
      </c>
      <c r="AK46" s="77">
        <f t="shared" si="9"/>
        <v>0.4</v>
      </c>
      <c r="AL46" s="77">
        <f t="shared" si="10"/>
        <v>2.6960000000000002</v>
      </c>
      <c r="AM46" s="77">
        <f t="shared" si="11"/>
        <v>71.893333333333345</v>
      </c>
      <c r="AO46" t="s">
        <v>1594</v>
      </c>
      <c r="AP46" t="str">
        <f t="shared" si="12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3"/>
        <v>12V155F</v>
      </c>
    </row>
    <row r="47" spans="1:53">
      <c r="A47" s="35" t="s">
        <v>63</v>
      </c>
      <c r="B47" s="35" t="s">
        <v>1624</v>
      </c>
      <c r="C47" s="35" t="s">
        <v>1701</v>
      </c>
      <c r="D47" s="35" t="s">
        <v>1585</v>
      </c>
      <c r="E47" s="35" t="s">
        <v>1427</v>
      </c>
      <c r="F47" s="35" t="s">
        <v>1587</v>
      </c>
      <c r="G47" s="102">
        <v>36.6</v>
      </c>
      <c r="H47" s="102">
        <v>21</v>
      </c>
      <c r="I47" s="102">
        <v>287</v>
      </c>
      <c r="J47" s="102">
        <v>15.641500000000001</v>
      </c>
      <c r="K47" s="103">
        <v>45091</v>
      </c>
      <c r="L47" s="102">
        <v>31.915199999999999</v>
      </c>
      <c r="M47" s="102">
        <v>16.273700000000002</v>
      </c>
      <c r="N47" s="102">
        <v>22.454000000000001</v>
      </c>
      <c r="O47" s="102">
        <v>6.8125</v>
      </c>
      <c r="P47" s="35" t="s">
        <v>1591</v>
      </c>
      <c r="Q47" s="35" t="s">
        <v>1598</v>
      </c>
      <c r="R47" s="35" t="s">
        <v>1661</v>
      </c>
      <c r="S47" s="102">
        <v>28.123200000000001</v>
      </c>
      <c r="T47" s="102">
        <v>12.4817</v>
      </c>
      <c r="U47" s="35" t="s">
        <v>1588</v>
      </c>
      <c r="V47" s="35" t="s">
        <v>1702</v>
      </c>
      <c r="W47" s="102">
        <v>33</v>
      </c>
      <c r="X47" s="102">
        <v>17.358499999999999</v>
      </c>
      <c r="Y47" s="102">
        <v>57</v>
      </c>
      <c r="Z47" s="35" t="s">
        <v>1593</v>
      </c>
      <c r="AA47">
        <f>VLOOKUP(A47,Cover!A:R,18,0)</f>
        <v>4</v>
      </c>
      <c r="AB47" s="77">
        <f t="shared" si="0"/>
        <v>12.273700000000002</v>
      </c>
      <c r="AC47" s="77">
        <f t="shared" si="1"/>
        <v>2.8125</v>
      </c>
      <c r="AD47" s="77">
        <f t="shared" si="2"/>
        <v>38.457224143981556</v>
      </c>
      <c r="AE47" s="77">
        <f t="shared" si="3"/>
        <v>12.525607909503874</v>
      </c>
      <c r="AF47" s="77">
        <f t="shared" si="4"/>
        <v>8.4817</v>
      </c>
      <c r="AG47" s="77">
        <f t="shared" si="5"/>
        <v>30.159085737042727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4</v>
      </c>
      <c r="AL47" s="77">
        <f t="shared" si="10"/>
        <v>13.358499999999999</v>
      </c>
      <c r="AM47" s="77">
        <f t="shared" si="11"/>
        <v>40.480303030303027</v>
      </c>
      <c r="AO47" t="s">
        <v>1594</v>
      </c>
      <c r="AP47" t="str">
        <f t="shared" si="12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3"/>
        <v>DDm100-33</v>
      </c>
    </row>
    <row r="48" spans="1:53">
      <c r="A48" s="35" t="s">
        <v>64</v>
      </c>
      <c r="B48" s="35" t="s">
        <v>1636</v>
      </c>
      <c r="C48" s="35" t="s">
        <v>1664</v>
      </c>
      <c r="D48" s="35" t="s">
        <v>1585</v>
      </c>
      <c r="E48" s="35" t="s">
        <v>1038</v>
      </c>
      <c r="F48" s="35" t="s">
        <v>1587</v>
      </c>
      <c r="G48" s="102">
        <v>36.6</v>
      </c>
      <c r="H48" s="102">
        <v>57</v>
      </c>
      <c r="I48" s="102">
        <v>574</v>
      </c>
      <c r="J48" s="102">
        <v>31.283000000000001</v>
      </c>
      <c r="K48" s="103">
        <v>45323</v>
      </c>
      <c r="L48" s="102">
        <v>87.766800000000003</v>
      </c>
      <c r="M48" s="102">
        <v>56.483800000000002</v>
      </c>
      <c r="N48" s="102">
        <v>44.308500000000002</v>
      </c>
      <c r="O48" s="102">
        <v>13.025499999999999</v>
      </c>
      <c r="P48" s="35" t="s">
        <v>1634</v>
      </c>
      <c r="Q48" s="35" t="s">
        <v>1598</v>
      </c>
      <c r="R48" s="35" t="s">
        <v>1609</v>
      </c>
      <c r="S48" s="102">
        <v>106.66079999999999</v>
      </c>
      <c r="T48" s="102">
        <v>75.377800000000093</v>
      </c>
      <c r="U48" s="35" t="s">
        <v>1603</v>
      </c>
      <c r="V48" s="35" t="s">
        <v>1703</v>
      </c>
      <c r="W48" s="102">
        <v>101.25</v>
      </c>
      <c r="X48" s="102">
        <v>69.966999999999999</v>
      </c>
      <c r="Y48" s="102">
        <v>33</v>
      </c>
      <c r="Z48" s="35" t="s">
        <v>1593</v>
      </c>
      <c r="AA48">
        <f>VLOOKUP(A48,Cover!A:R,18,0)</f>
        <v>21.1</v>
      </c>
      <c r="AB48" s="77">
        <f t="shared" si="0"/>
        <v>35.383800000000001</v>
      </c>
      <c r="AC48" s="77">
        <f t="shared" si="1"/>
        <v>-8.0745000000000022</v>
      </c>
      <c r="AD48" s="77">
        <f t="shared" si="2"/>
        <v>40.315700242004951</v>
      </c>
      <c r="AE48" s="77">
        <f t="shared" si="3"/>
        <v>-18.223365719895735</v>
      </c>
      <c r="AF48" s="77">
        <f t="shared" si="4"/>
        <v>54.277800000000092</v>
      </c>
      <c r="AG48" s="77">
        <f t="shared" si="5"/>
        <v>50.888236352999499</v>
      </c>
      <c r="AH48" s="77">
        <f t="shared" si="6"/>
        <v>101.25</v>
      </c>
      <c r="AI48" s="77">
        <f t="shared" si="7"/>
        <v>31.283000000000001</v>
      </c>
      <c r="AJ48" s="77">
        <f t="shared" si="8"/>
        <v>69.966999999999999</v>
      </c>
      <c r="AK48" s="77">
        <f t="shared" si="9"/>
        <v>21.1</v>
      </c>
      <c r="AL48" s="77">
        <f t="shared" si="10"/>
        <v>48.866999999999997</v>
      </c>
      <c r="AM48" s="77">
        <f t="shared" si="11"/>
        <v>48.263703703703705</v>
      </c>
      <c r="AO48" t="s">
        <v>1594</v>
      </c>
      <c r="AP48" t="str">
        <f t="shared" si="12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3"/>
        <v>DDm125-33</v>
      </c>
    </row>
    <row r="49" spans="1:53">
      <c r="A49" s="35" t="s">
        <v>65</v>
      </c>
      <c r="B49" s="35" t="s">
        <v>1636</v>
      </c>
      <c r="C49" s="35" t="s">
        <v>1664</v>
      </c>
      <c r="D49" s="35" t="s">
        <v>1585</v>
      </c>
      <c r="E49" s="35" t="s">
        <v>1038</v>
      </c>
      <c r="F49" s="35" t="s">
        <v>1587</v>
      </c>
      <c r="G49" s="102">
        <v>36.6</v>
      </c>
      <c r="H49" s="102">
        <v>57</v>
      </c>
      <c r="I49" s="102">
        <v>737</v>
      </c>
      <c r="J49" s="102">
        <v>40.166499999999999</v>
      </c>
      <c r="K49" s="103">
        <v>45323</v>
      </c>
      <c r="L49" s="102">
        <v>87.766800000000003</v>
      </c>
      <c r="M49" s="102">
        <v>47.600299999999997</v>
      </c>
      <c r="N49" s="102">
        <v>44.308500000000002</v>
      </c>
      <c r="O49" s="102">
        <v>4.1420000000000003</v>
      </c>
      <c r="P49" s="35" t="s">
        <v>1634</v>
      </c>
      <c r="Q49" s="35" t="s">
        <v>1598</v>
      </c>
      <c r="R49" s="35" t="s">
        <v>1609</v>
      </c>
      <c r="S49" s="102">
        <v>106.66079999999999</v>
      </c>
      <c r="T49" s="102">
        <v>66.494300000000095</v>
      </c>
      <c r="U49" s="35" t="s">
        <v>1603</v>
      </c>
      <c r="V49" s="35" t="s">
        <v>1703</v>
      </c>
      <c r="W49" s="102">
        <v>101.25</v>
      </c>
      <c r="X49" s="102">
        <v>61.083500000000001</v>
      </c>
      <c r="Y49" s="102">
        <v>33</v>
      </c>
      <c r="Z49" s="35" t="s">
        <v>1593</v>
      </c>
      <c r="AA49">
        <f>VLOOKUP(A49,Cover!A:R,18,0)</f>
        <v>20.7</v>
      </c>
      <c r="AB49" s="77">
        <f t="shared" si="0"/>
        <v>26.900299999999998</v>
      </c>
      <c r="AC49" s="77">
        <f t="shared" si="1"/>
        <v>-16.558</v>
      </c>
      <c r="AD49" s="77">
        <f t="shared" si="2"/>
        <v>30.649744550331103</v>
      </c>
      <c r="AE49" s="77">
        <f t="shared" si="3"/>
        <v>-37.369804890709453</v>
      </c>
      <c r="AF49" s="77">
        <f t="shared" si="4"/>
        <v>45.794300000000092</v>
      </c>
      <c r="AG49" s="77">
        <f t="shared" si="5"/>
        <v>42.934517648470752</v>
      </c>
      <c r="AH49" s="77">
        <f t="shared" si="6"/>
        <v>101.25</v>
      </c>
      <c r="AI49" s="77">
        <f t="shared" si="7"/>
        <v>40.166499999999999</v>
      </c>
      <c r="AJ49" s="77">
        <f t="shared" si="8"/>
        <v>61.083500000000001</v>
      </c>
      <c r="AK49" s="77">
        <f t="shared" si="9"/>
        <v>20.7</v>
      </c>
      <c r="AL49" s="77">
        <f t="shared" si="10"/>
        <v>40.383499999999998</v>
      </c>
      <c r="AM49" s="77">
        <f t="shared" si="11"/>
        <v>39.884938271604938</v>
      </c>
      <c r="AO49" t="s">
        <v>1594</v>
      </c>
      <c r="AP49" t="str">
        <f t="shared" si="12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3"/>
        <v>DDm125-33</v>
      </c>
    </row>
    <row r="50" spans="1:53">
      <c r="A50" s="35" t="s">
        <v>66</v>
      </c>
      <c r="B50" s="35" t="s">
        <v>1636</v>
      </c>
      <c r="C50" s="35" t="s">
        <v>1664</v>
      </c>
      <c r="D50" s="35" t="s">
        <v>1585</v>
      </c>
      <c r="E50" s="35" t="s">
        <v>1038</v>
      </c>
      <c r="F50" s="35" t="s">
        <v>1587</v>
      </c>
      <c r="G50" s="102">
        <v>36.6</v>
      </c>
      <c r="H50" s="102">
        <v>57</v>
      </c>
      <c r="I50" s="102">
        <v>794</v>
      </c>
      <c r="J50" s="102">
        <v>43.273000000000003</v>
      </c>
      <c r="K50" s="103">
        <v>45323</v>
      </c>
      <c r="L50" s="102">
        <v>87.766800000000003</v>
      </c>
      <c r="M50" s="102">
        <v>44.4938</v>
      </c>
      <c r="N50" s="102">
        <v>66.108500000000006</v>
      </c>
      <c r="O50" s="102">
        <v>22.8355</v>
      </c>
      <c r="P50" s="35" t="s">
        <v>1603</v>
      </c>
      <c r="Q50" s="35" t="s">
        <v>1598</v>
      </c>
      <c r="R50" s="35" t="s">
        <v>1609</v>
      </c>
      <c r="S50" s="102">
        <v>71.107200000000205</v>
      </c>
      <c r="T50" s="102">
        <v>27.834200000000202</v>
      </c>
      <c r="U50" s="35" t="s">
        <v>1603</v>
      </c>
      <c r="V50" s="35" t="s">
        <v>1703</v>
      </c>
      <c r="W50" s="102">
        <v>101.25</v>
      </c>
      <c r="X50" s="102">
        <v>57.976999999999997</v>
      </c>
      <c r="Y50" s="102">
        <v>33</v>
      </c>
      <c r="Z50" s="35" t="s">
        <v>1593</v>
      </c>
      <c r="AA50">
        <f>VLOOKUP(A50,Cover!A:R,18,0)</f>
        <v>3.6</v>
      </c>
      <c r="AB50" s="77">
        <f t="shared" si="0"/>
        <v>40.893799999999999</v>
      </c>
      <c r="AC50" s="77">
        <f t="shared" si="1"/>
        <v>19.235499999999998</v>
      </c>
      <c r="AD50" s="77">
        <f t="shared" si="2"/>
        <v>46.593700579262318</v>
      </c>
      <c r="AE50" s="77">
        <f t="shared" si="3"/>
        <v>29.096863489566392</v>
      </c>
      <c r="AF50" s="77">
        <f t="shared" si="4"/>
        <v>24.2342000000002</v>
      </c>
      <c r="AG50" s="77">
        <f t="shared" si="5"/>
        <v>34.081218217002117</v>
      </c>
      <c r="AH50" s="77">
        <f t="shared" si="6"/>
        <v>101.25</v>
      </c>
      <c r="AI50" s="77">
        <f t="shared" si="7"/>
        <v>43.273000000000003</v>
      </c>
      <c r="AJ50" s="77">
        <f t="shared" si="8"/>
        <v>57.976999999999997</v>
      </c>
      <c r="AK50" s="77">
        <f t="shared" si="9"/>
        <v>3.6</v>
      </c>
      <c r="AL50" s="77">
        <f t="shared" si="10"/>
        <v>54.376999999999995</v>
      </c>
      <c r="AM50" s="77">
        <f t="shared" si="11"/>
        <v>53.705679012345676</v>
      </c>
      <c r="AO50" t="s">
        <v>1594</v>
      </c>
      <c r="AP50" t="str">
        <f t="shared" si="12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3"/>
        <v>DDm125-33</v>
      </c>
    </row>
    <row r="51" spans="1:53">
      <c r="A51" s="35" t="s">
        <v>67</v>
      </c>
      <c r="B51" s="35" t="s">
        <v>1636</v>
      </c>
      <c r="C51" s="35" t="s">
        <v>1664</v>
      </c>
      <c r="D51" s="35" t="s">
        <v>1585</v>
      </c>
      <c r="E51" s="35" t="s">
        <v>1025</v>
      </c>
      <c r="F51" s="35" t="s">
        <v>1641</v>
      </c>
      <c r="G51" s="102">
        <v>55</v>
      </c>
      <c r="H51" s="102">
        <v>88</v>
      </c>
      <c r="I51" s="102">
        <v>1229</v>
      </c>
      <c r="J51" s="102">
        <v>66.980500000000006</v>
      </c>
      <c r="K51" s="103">
        <v>45323</v>
      </c>
      <c r="L51" s="102">
        <v>208.626</v>
      </c>
      <c r="M51" s="102">
        <v>141.6455</v>
      </c>
      <c r="N51" s="102">
        <v>198.6525</v>
      </c>
      <c r="O51" s="102">
        <v>131.672</v>
      </c>
      <c r="P51" s="35" t="s">
        <v>1634</v>
      </c>
      <c r="Q51" s="35" t="s">
        <v>1598</v>
      </c>
      <c r="R51" s="35" t="s">
        <v>1668</v>
      </c>
      <c r="S51" s="102">
        <v>96.137280000000203</v>
      </c>
      <c r="T51" s="102">
        <v>29.1567800000002</v>
      </c>
      <c r="U51" s="35" t="s">
        <v>1623</v>
      </c>
      <c r="V51" s="35" t="s">
        <v>1704</v>
      </c>
      <c r="W51" s="102">
        <v>405</v>
      </c>
      <c r="X51" s="102">
        <v>338.01949999999999</v>
      </c>
      <c r="Y51" s="102">
        <v>130</v>
      </c>
      <c r="Z51" s="35" t="s">
        <v>1593</v>
      </c>
      <c r="AA51">
        <f>VLOOKUP(A51,Cover!A:R,18,0)</f>
        <v>14.399999999999999</v>
      </c>
      <c r="AB51" s="77">
        <f t="shared" si="0"/>
        <v>127.24549999999999</v>
      </c>
      <c r="AC51" s="77">
        <f t="shared" si="1"/>
        <v>117.27199999999999</v>
      </c>
      <c r="AD51" s="77">
        <f t="shared" si="2"/>
        <v>60.992158216137959</v>
      </c>
      <c r="AE51" s="77">
        <f t="shared" si="3"/>
        <v>59.033739822051061</v>
      </c>
      <c r="AF51" s="77">
        <f t="shared" si="4"/>
        <v>14.756780000000202</v>
      </c>
      <c r="AG51" s="77">
        <f t="shared" si="5"/>
        <v>15.34969576838472</v>
      </c>
      <c r="AH51" s="346">
        <f>AVERAGE(W51:W52)</f>
        <v>405</v>
      </c>
      <c r="AI51" s="346">
        <f>SUM(J51:J52)</f>
        <v>132.48950000000002</v>
      </c>
      <c r="AJ51" s="346">
        <f t="shared" si="8"/>
        <v>272.51049999999998</v>
      </c>
      <c r="AK51" s="346">
        <f>SUM(AA51:AA52)</f>
        <v>26.799999999999997</v>
      </c>
      <c r="AL51" s="346">
        <f t="shared" si="10"/>
        <v>245.71049999999997</v>
      </c>
      <c r="AM51" s="346">
        <f t="shared" si="11"/>
        <v>60.669259259259256</v>
      </c>
      <c r="AO51" t="s">
        <v>1594</v>
      </c>
      <c r="AP51" t="str">
        <f t="shared" si="12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3"/>
        <v>2CP2000</v>
      </c>
    </row>
    <row r="52" spans="1:53">
      <c r="A52" s="35" t="s">
        <v>68</v>
      </c>
      <c r="B52" s="35" t="s">
        <v>1636</v>
      </c>
      <c r="C52" s="35" t="s">
        <v>1664</v>
      </c>
      <c r="D52" s="35" t="s">
        <v>1585</v>
      </c>
      <c r="E52" s="35" t="s">
        <v>1025</v>
      </c>
      <c r="F52" s="35" t="s">
        <v>1641</v>
      </c>
      <c r="G52" s="102">
        <v>55</v>
      </c>
      <c r="H52" s="102">
        <v>88</v>
      </c>
      <c r="I52" s="102">
        <v>1202</v>
      </c>
      <c r="J52" s="102">
        <v>65.509</v>
      </c>
      <c r="K52" s="103">
        <v>45323</v>
      </c>
      <c r="L52" s="102">
        <v>208.626</v>
      </c>
      <c r="M52" s="102">
        <v>143.11699999999999</v>
      </c>
      <c r="N52" s="102">
        <v>198.6525</v>
      </c>
      <c r="O52" s="102">
        <v>133.14349999999999</v>
      </c>
      <c r="P52" s="35" t="s">
        <v>1634</v>
      </c>
      <c r="Q52" s="35" t="s">
        <v>1598</v>
      </c>
      <c r="R52" s="35" t="s">
        <v>1668</v>
      </c>
      <c r="S52" s="102">
        <v>96.137280000000203</v>
      </c>
      <c r="T52" s="102">
        <v>30.628280000000199</v>
      </c>
      <c r="U52" s="35" t="s">
        <v>1623</v>
      </c>
      <c r="V52" s="35" t="s">
        <v>1704</v>
      </c>
      <c r="W52" s="102">
        <v>405</v>
      </c>
      <c r="X52" s="102">
        <v>339.49099999999999</v>
      </c>
      <c r="Y52" s="102">
        <v>130</v>
      </c>
      <c r="Z52" s="35" t="s">
        <v>1593</v>
      </c>
      <c r="AA52">
        <f>VLOOKUP(A52,Cover!A:R,18,0)</f>
        <v>12.399999999999999</v>
      </c>
      <c r="AB52" s="77">
        <f t="shared" ref="AB52" si="51">M52-AA52</f>
        <v>130.71699999999998</v>
      </c>
      <c r="AC52" s="77">
        <f t="shared" ref="AC52" si="52">O52-AA52</f>
        <v>120.74349999999998</v>
      </c>
      <c r="AD52" s="77">
        <f t="shared" ref="AD52" si="53">AB52/L52%</f>
        <v>62.656140653609796</v>
      </c>
      <c r="AE52" s="77">
        <f t="shared" ref="AE52" si="54">AC52/N52%</f>
        <v>60.781263764614074</v>
      </c>
      <c r="AF52" s="77">
        <f t="shared" ref="AF52" si="55">T52-AA52</f>
        <v>18.228280000000201</v>
      </c>
      <c r="AG52" s="77">
        <f t="shared" ref="AG52" si="56">AF52/S52%</f>
        <v>18.960677897273733</v>
      </c>
      <c r="AH52" s="346"/>
      <c r="AI52" s="346"/>
      <c r="AJ52" s="346"/>
      <c r="AK52" s="346"/>
      <c r="AL52" s="346"/>
      <c r="AM52" s="346"/>
      <c r="AO52" t="s">
        <v>1594</v>
      </c>
      <c r="AP52" t="str">
        <f t="shared" si="12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3"/>
        <v>2CP2000</v>
      </c>
    </row>
    <row r="53" spans="1:53">
      <c r="A53" s="35" t="s">
        <v>69</v>
      </c>
      <c r="B53" s="35" t="s">
        <v>1607</v>
      </c>
      <c r="C53" s="35" t="s">
        <v>1705</v>
      </c>
      <c r="D53" s="35" t="s">
        <v>1674</v>
      </c>
      <c r="E53" s="35" t="s">
        <v>823</v>
      </c>
      <c r="F53" s="35" t="s">
        <v>1587</v>
      </c>
      <c r="G53" s="102">
        <v>36.6</v>
      </c>
      <c r="H53" s="102">
        <v>53</v>
      </c>
      <c r="I53" s="102">
        <v>1229</v>
      </c>
      <c r="J53" s="102">
        <v>66.980500000000006</v>
      </c>
      <c r="K53" s="103">
        <v>45323</v>
      </c>
      <c r="L53" s="102">
        <v>82.979519999999994</v>
      </c>
      <c r="M53" s="102">
        <v>15.99902</v>
      </c>
      <c r="N53" s="102">
        <v>60.124400000000001</v>
      </c>
      <c r="O53" s="104">
        <v>-6.8560999999999996</v>
      </c>
      <c r="P53" s="35" t="s">
        <v>1608</v>
      </c>
      <c r="Q53" s="35" t="s">
        <v>1598</v>
      </c>
      <c r="R53" s="35" t="s">
        <v>1661</v>
      </c>
      <c r="S53" s="102">
        <v>70.308000000000007</v>
      </c>
      <c r="T53" s="102">
        <v>3.3275000000000099</v>
      </c>
      <c r="U53" s="35" t="s">
        <v>1608</v>
      </c>
      <c r="V53" s="35" t="s">
        <v>1706</v>
      </c>
      <c r="W53" s="102">
        <v>139.5</v>
      </c>
      <c r="X53" s="102">
        <v>72.519499999999994</v>
      </c>
      <c r="Y53" s="102">
        <v>18</v>
      </c>
      <c r="Z53" s="35" t="s">
        <v>1707</v>
      </c>
      <c r="AA53">
        <f>VLOOKUP(A53,Cover!A:R,18,0)</f>
        <v>0</v>
      </c>
      <c r="AB53" s="77">
        <f t="shared" si="0"/>
        <v>15.99902</v>
      </c>
      <c r="AC53" s="77">
        <f t="shared" si="1"/>
        <v>-6.8560999999999996</v>
      </c>
      <c r="AD53" s="77">
        <f t="shared" si="2"/>
        <v>19.280685161832704</v>
      </c>
      <c r="AE53" s="77">
        <f t="shared" si="3"/>
        <v>-11.40319071791153</v>
      </c>
      <c r="AF53" s="77">
        <f t="shared" si="4"/>
        <v>3.3275000000000099</v>
      </c>
      <c r="AG53" s="77">
        <f t="shared" si="5"/>
        <v>4.7327473402742362</v>
      </c>
      <c r="AH53" s="77">
        <f t="shared" si="6"/>
        <v>139.5</v>
      </c>
      <c r="AI53" s="77">
        <f t="shared" si="7"/>
        <v>66.980500000000006</v>
      </c>
      <c r="AJ53" s="77">
        <f t="shared" si="8"/>
        <v>72.519499999999994</v>
      </c>
      <c r="AK53" s="77">
        <f t="shared" si="9"/>
        <v>0</v>
      </c>
      <c r="AL53" s="77">
        <f t="shared" si="10"/>
        <v>72.519499999999994</v>
      </c>
      <c r="AM53" s="77">
        <f t="shared" si="11"/>
        <v>51.985304659498205</v>
      </c>
      <c r="AN53" s="52" t="s">
        <v>1580</v>
      </c>
      <c r="AO53" t="s">
        <v>1594</v>
      </c>
      <c r="AP53" t="str">
        <f t="shared" si="12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3"/>
        <v>DDm100-33</v>
      </c>
    </row>
    <row r="54" spans="1:53">
      <c r="A54" s="35" t="s">
        <v>70</v>
      </c>
      <c r="B54" s="35" t="s">
        <v>1607</v>
      </c>
      <c r="C54" s="35" t="s">
        <v>1705</v>
      </c>
      <c r="D54" s="35" t="s">
        <v>1674</v>
      </c>
      <c r="E54" s="35" t="s">
        <v>823</v>
      </c>
      <c r="F54" s="35" t="s">
        <v>1587</v>
      </c>
      <c r="G54" s="102">
        <v>36.6</v>
      </c>
      <c r="H54" s="102">
        <v>61</v>
      </c>
      <c r="I54" s="102">
        <v>594</v>
      </c>
      <c r="J54" s="102">
        <v>32.372999999999998</v>
      </c>
      <c r="K54" s="103">
        <v>45323</v>
      </c>
      <c r="L54" s="102">
        <v>95.745599999999996</v>
      </c>
      <c r="M54" s="102">
        <v>63.372599999999998</v>
      </c>
      <c r="N54" s="102">
        <v>65.182000000000002</v>
      </c>
      <c r="O54" s="102">
        <v>32.808999999999997</v>
      </c>
      <c r="P54" s="35" t="s">
        <v>1608</v>
      </c>
      <c r="Q54" s="35" t="s">
        <v>1598</v>
      </c>
      <c r="R54" s="35" t="s">
        <v>1609</v>
      </c>
      <c r="S54" s="102">
        <v>88.884000000000199</v>
      </c>
      <c r="T54" s="102">
        <v>56.511000000000202</v>
      </c>
      <c r="U54" s="35" t="s">
        <v>1608</v>
      </c>
      <c r="V54" s="35" t="s">
        <v>1706</v>
      </c>
      <c r="W54" s="102">
        <v>139.5</v>
      </c>
      <c r="X54" s="102">
        <v>107.127</v>
      </c>
      <c r="Y54" s="102">
        <v>18</v>
      </c>
      <c r="Z54" s="35" t="s">
        <v>1707</v>
      </c>
      <c r="AA54">
        <f>VLOOKUP(A54,Cover!A:R,18,0)</f>
        <v>34.649999999999991</v>
      </c>
      <c r="AB54" s="77">
        <f t="shared" si="0"/>
        <v>28.722600000000007</v>
      </c>
      <c r="AC54" s="77">
        <f t="shared" si="1"/>
        <v>-1.840999999999994</v>
      </c>
      <c r="AD54" s="77">
        <f t="shared" si="2"/>
        <v>29.998872010828705</v>
      </c>
      <c r="AE54" s="77">
        <f t="shared" si="3"/>
        <v>-2.8243993740603139</v>
      </c>
      <c r="AF54" s="77">
        <f t="shared" si="4"/>
        <v>21.86100000000021</v>
      </c>
      <c r="AG54" s="77">
        <f t="shared" si="5"/>
        <v>24.594977723774988</v>
      </c>
      <c r="AH54" s="77">
        <f t="shared" si="6"/>
        <v>139.5</v>
      </c>
      <c r="AI54" s="77">
        <f t="shared" si="7"/>
        <v>32.372999999999998</v>
      </c>
      <c r="AJ54" s="77">
        <f t="shared" si="8"/>
        <v>107.12700000000001</v>
      </c>
      <c r="AK54" s="77">
        <f t="shared" si="9"/>
        <v>34.649999999999991</v>
      </c>
      <c r="AL54" s="77">
        <f t="shared" si="10"/>
        <v>72.477000000000018</v>
      </c>
      <c r="AM54" s="77">
        <f t="shared" si="11"/>
        <v>51.954838709677432</v>
      </c>
      <c r="AN54" s="52" t="s">
        <v>1580</v>
      </c>
      <c r="AO54" t="s">
        <v>1594</v>
      </c>
      <c r="AP54" t="str">
        <f t="shared" si="12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3"/>
        <v>DDm125-33</v>
      </c>
    </row>
    <row r="55" spans="1:53">
      <c r="A55" s="35" t="s">
        <v>71</v>
      </c>
      <c r="B55" s="35" t="s">
        <v>1632</v>
      </c>
      <c r="C55" s="35" t="s">
        <v>1633</v>
      </c>
      <c r="D55" s="35" t="s">
        <v>1580</v>
      </c>
      <c r="E55" s="35" t="s">
        <v>1320</v>
      </c>
      <c r="F55" s="35" t="s">
        <v>1641</v>
      </c>
      <c r="G55" s="102">
        <v>55</v>
      </c>
      <c r="H55" s="102">
        <v>29</v>
      </c>
      <c r="I55" s="102">
        <v>557</v>
      </c>
      <c r="J55" s="102">
        <v>30.3565</v>
      </c>
      <c r="K55" s="103">
        <v>45323</v>
      </c>
      <c r="L55" s="102">
        <v>67.144000000000005</v>
      </c>
      <c r="M55" s="102">
        <v>36.787500000000001</v>
      </c>
      <c r="N55" s="102">
        <v>49.05</v>
      </c>
      <c r="O55" s="102">
        <v>18.6935</v>
      </c>
      <c r="P55" s="35" t="s">
        <v>1603</v>
      </c>
      <c r="Q55" s="35" t="s">
        <v>1598</v>
      </c>
      <c r="R55" s="35" t="s">
        <v>1661</v>
      </c>
      <c r="S55" s="102">
        <v>56.246400000000101</v>
      </c>
      <c r="T55" s="102">
        <v>25.8899000000001</v>
      </c>
      <c r="U55" s="35" t="s">
        <v>1608</v>
      </c>
      <c r="V55" s="35" t="s">
        <v>1708</v>
      </c>
      <c r="W55" s="102">
        <v>87.75</v>
      </c>
      <c r="X55" s="102">
        <v>57.393500000000003</v>
      </c>
      <c r="Y55" s="102">
        <v>45</v>
      </c>
      <c r="Z55" s="35" t="s">
        <v>1709</v>
      </c>
      <c r="AA55">
        <f>VLOOKUP(A55,Cover!A:R,18,0)</f>
        <v>2.25</v>
      </c>
      <c r="AB55" s="77">
        <f t="shared" si="0"/>
        <v>34.537500000000001</v>
      </c>
      <c r="AC55" s="77">
        <f t="shared" si="1"/>
        <v>16.4435</v>
      </c>
      <c r="AD55" s="77">
        <f t="shared" si="2"/>
        <v>51.437954247587271</v>
      </c>
      <c r="AE55" s="77">
        <f t="shared" si="3"/>
        <v>33.523955147808358</v>
      </c>
      <c r="AF55" s="77">
        <f t="shared" si="4"/>
        <v>23.6399000000001</v>
      </c>
      <c r="AG55" s="77">
        <f t="shared" si="5"/>
        <v>42.029178756329401</v>
      </c>
      <c r="AH55" s="77">
        <f t="shared" si="6"/>
        <v>87.75</v>
      </c>
      <c r="AI55" s="77">
        <f t="shared" si="7"/>
        <v>30.3565</v>
      </c>
      <c r="AJ55" s="77">
        <f t="shared" si="8"/>
        <v>57.393500000000003</v>
      </c>
      <c r="AK55" s="77">
        <f t="shared" si="9"/>
        <v>2.25</v>
      </c>
      <c r="AL55" s="77">
        <f t="shared" si="10"/>
        <v>55.143500000000003</v>
      </c>
      <c r="AM55" s="77">
        <f t="shared" si="11"/>
        <v>62.841595441595452</v>
      </c>
      <c r="AN55" s="52" t="s">
        <v>1580</v>
      </c>
      <c r="AO55" t="s">
        <v>1594</v>
      </c>
      <c r="AP55" t="str">
        <f t="shared" si="12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3"/>
        <v>DDm100-33</v>
      </c>
    </row>
    <row r="56" spans="1:53">
      <c r="A56" s="35" t="s">
        <v>72</v>
      </c>
      <c r="B56" s="35" t="s">
        <v>1632</v>
      </c>
      <c r="C56" s="35" t="s">
        <v>1633</v>
      </c>
      <c r="D56" s="35" t="s">
        <v>1674</v>
      </c>
      <c r="E56" s="35" t="s">
        <v>1329</v>
      </c>
      <c r="F56" s="35" t="s">
        <v>1587</v>
      </c>
      <c r="G56" s="102">
        <v>36.6</v>
      </c>
      <c r="H56" s="102">
        <v>41</v>
      </c>
      <c r="I56" s="102">
        <v>1061</v>
      </c>
      <c r="J56" s="102">
        <v>57.8245</v>
      </c>
      <c r="K56" s="103">
        <v>45001</v>
      </c>
      <c r="L56" s="102">
        <v>63.830399999999997</v>
      </c>
      <c r="M56" s="102">
        <v>6.0058999999999996</v>
      </c>
      <c r="N56" s="102">
        <v>36.188000000000002</v>
      </c>
      <c r="O56" s="104">
        <v>-21.636500000000002</v>
      </c>
      <c r="P56" s="35" t="s">
        <v>1603</v>
      </c>
      <c r="Q56" s="35" t="s">
        <v>1598</v>
      </c>
      <c r="R56" s="35" t="s">
        <v>1609</v>
      </c>
      <c r="S56" s="102">
        <v>71.107200000000205</v>
      </c>
      <c r="T56" s="102">
        <v>13.282700000000199</v>
      </c>
      <c r="U56" s="35" t="s">
        <v>1648</v>
      </c>
      <c r="V56" s="35" t="s">
        <v>1710</v>
      </c>
      <c r="W56" s="102">
        <v>94.5</v>
      </c>
      <c r="X56" s="102">
        <v>36.6755</v>
      </c>
      <c r="Y56" s="102">
        <v>14</v>
      </c>
      <c r="Z56" s="35" t="s">
        <v>1543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s="52" t="s">
        <v>1580</v>
      </c>
      <c r="AO56" t="s">
        <v>1594</v>
      </c>
      <c r="AP56" t="str">
        <f t="shared" si="12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3"/>
        <v>DDm125-33</v>
      </c>
    </row>
    <row r="57" spans="1:53">
      <c r="A57" s="35" t="s">
        <v>73</v>
      </c>
      <c r="B57" s="35" t="s">
        <v>1632</v>
      </c>
      <c r="C57" s="35" t="s">
        <v>1633</v>
      </c>
      <c r="D57" s="35" t="s">
        <v>1585</v>
      </c>
      <c r="E57" s="35" t="s">
        <v>1336</v>
      </c>
      <c r="F57" s="35" t="s">
        <v>1587</v>
      </c>
      <c r="G57" s="102">
        <v>36.6</v>
      </c>
      <c r="H57" s="102">
        <v>56</v>
      </c>
      <c r="I57" s="102">
        <v>484</v>
      </c>
      <c r="J57" s="102">
        <v>26.378</v>
      </c>
      <c r="K57" s="103">
        <v>45048</v>
      </c>
      <c r="L57" s="102">
        <v>87.766800000000003</v>
      </c>
      <c r="M57" s="102">
        <v>61.388800000000003</v>
      </c>
      <c r="N57" s="102">
        <v>55.208500000000001</v>
      </c>
      <c r="O57" s="102">
        <v>28.830500000000001</v>
      </c>
      <c r="P57" s="35" t="s">
        <v>1608</v>
      </c>
      <c r="Q57" s="35" t="s">
        <v>1598</v>
      </c>
      <c r="R57" s="35" t="s">
        <v>1609</v>
      </c>
      <c r="S57" s="102">
        <v>88.884000000000199</v>
      </c>
      <c r="T57" s="102">
        <v>62.506000000000199</v>
      </c>
      <c r="U57" s="35" t="s">
        <v>1608</v>
      </c>
      <c r="V57" s="35" t="s">
        <v>1711</v>
      </c>
      <c r="W57" s="102">
        <v>106.5</v>
      </c>
      <c r="X57" s="102">
        <v>80.122</v>
      </c>
      <c r="Y57" s="102">
        <v>20</v>
      </c>
      <c r="Z57" s="35" t="s">
        <v>1593</v>
      </c>
      <c r="AA57">
        <f>VLOOKUP(A57,Cover!A:R,18,0)</f>
        <v>43.129999999999995</v>
      </c>
      <c r="AB57" s="77">
        <f t="shared" si="0"/>
        <v>18.258800000000008</v>
      </c>
      <c r="AC57" s="77">
        <f t="shared" si="1"/>
        <v>-14.299499999999995</v>
      </c>
      <c r="AD57" s="77">
        <f t="shared" si="2"/>
        <v>20.803766344449162</v>
      </c>
      <c r="AE57" s="77">
        <f t="shared" si="3"/>
        <v>-25.900902940670356</v>
      </c>
      <c r="AF57" s="77">
        <f t="shared" si="4"/>
        <v>19.376000000000204</v>
      </c>
      <c r="AG57" s="77">
        <f t="shared" si="5"/>
        <v>21.799198955942757</v>
      </c>
      <c r="AH57" s="77">
        <f t="shared" si="6"/>
        <v>106.5</v>
      </c>
      <c r="AI57" s="77">
        <f t="shared" si="7"/>
        <v>26.378</v>
      </c>
      <c r="AJ57" s="77">
        <f t="shared" si="8"/>
        <v>80.122</v>
      </c>
      <c r="AK57" s="77">
        <f t="shared" si="9"/>
        <v>43.129999999999995</v>
      </c>
      <c r="AL57" s="77">
        <f t="shared" si="10"/>
        <v>36.992000000000004</v>
      </c>
      <c r="AM57" s="77">
        <f t="shared" si="11"/>
        <v>34.734272300469492</v>
      </c>
      <c r="AO57" t="s">
        <v>1594</v>
      </c>
      <c r="AP57" t="str">
        <f t="shared" si="12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3"/>
        <v>DDm125-33</v>
      </c>
    </row>
    <row r="58" spans="1:53">
      <c r="A58" s="35" t="s">
        <v>74</v>
      </c>
      <c r="B58" s="35" t="s">
        <v>1687</v>
      </c>
      <c r="C58" s="35" t="s">
        <v>1712</v>
      </c>
      <c r="D58" s="35" t="s">
        <v>1585</v>
      </c>
      <c r="E58" s="35" t="s">
        <v>1430</v>
      </c>
      <c r="F58" s="35" t="s">
        <v>1587</v>
      </c>
      <c r="G58" s="102">
        <v>36.6</v>
      </c>
      <c r="H58" s="102">
        <v>33</v>
      </c>
      <c r="I58" s="102">
        <v>348</v>
      </c>
      <c r="J58" s="102">
        <v>18.966000000000001</v>
      </c>
      <c r="K58" s="103">
        <v>44491.6875</v>
      </c>
      <c r="L58" s="102">
        <v>51.064320000000002</v>
      </c>
      <c r="M58" s="102">
        <v>32.098320000000001</v>
      </c>
      <c r="N58" s="102">
        <v>34.182400000000001</v>
      </c>
      <c r="O58" s="102">
        <v>15.2164</v>
      </c>
      <c r="P58" s="35" t="s">
        <v>1603</v>
      </c>
      <c r="Q58" s="35" t="s">
        <v>1598</v>
      </c>
      <c r="R58" s="35" t="s">
        <v>1713</v>
      </c>
      <c r="S58" s="102">
        <v>45.964799999999997</v>
      </c>
      <c r="T58" s="102">
        <v>26.998799999999999</v>
      </c>
      <c r="U58" s="35" t="s">
        <v>1588</v>
      </c>
      <c r="V58" s="35" t="s">
        <v>1714</v>
      </c>
      <c r="W58" s="102">
        <v>60</v>
      </c>
      <c r="X58" s="102">
        <v>41.033999999999999</v>
      </c>
      <c r="Y58" s="102">
        <v>59</v>
      </c>
      <c r="Z58" s="35" t="s">
        <v>1593</v>
      </c>
      <c r="AA58">
        <f>VLOOKUP(A58,Cover!A:R,18,0)</f>
        <v>2.7</v>
      </c>
      <c r="AB58" s="77">
        <f t="shared" si="0"/>
        <v>29.398320000000002</v>
      </c>
      <c r="AC58" s="77">
        <f t="shared" si="1"/>
        <v>12.516400000000001</v>
      </c>
      <c r="AD58" s="77">
        <f t="shared" si="2"/>
        <v>57.571157316889753</v>
      </c>
      <c r="AE58" s="77">
        <f t="shared" si="3"/>
        <v>36.616504399925105</v>
      </c>
      <c r="AF58" s="77">
        <f t="shared" si="4"/>
        <v>24.2988</v>
      </c>
      <c r="AG58" s="77">
        <f t="shared" si="5"/>
        <v>52.863930659983296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2.7</v>
      </c>
      <c r="AL58" s="77">
        <f t="shared" si="10"/>
        <v>38.333999999999996</v>
      </c>
      <c r="AM58" s="77">
        <f t="shared" si="11"/>
        <v>63.889999999999993</v>
      </c>
      <c r="AO58" t="s">
        <v>1594</v>
      </c>
      <c r="AP58" t="str">
        <f t="shared" si="12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3"/>
        <v>DDm85-33</v>
      </c>
    </row>
    <row r="59" spans="1:53">
      <c r="A59" s="35" t="s">
        <v>75</v>
      </c>
      <c r="B59" s="35" t="s">
        <v>1636</v>
      </c>
      <c r="C59" s="35" t="s">
        <v>1715</v>
      </c>
      <c r="D59" s="35" t="s">
        <v>1674</v>
      </c>
      <c r="E59" s="35" t="s">
        <v>951</v>
      </c>
      <c r="F59" s="35" t="s">
        <v>1587</v>
      </c>
      <c r="G59" s="102">
        <v>36.6</v>
      </c>
      <c r="H59" s="102">
        <v>8</v>
      </c>
      <c r="I59" s="102">
        <v>73</v>
      </c>
      <c r="J59" s="102">
        <v>3.9784999999999999</v>
      </c>
      <c r="K59" s="103">
        <v>45323</v>
      </c>
      <c r="L59" s="102">
        <v>11.17032</v>
      </c>
      <c r="M59" s="102">
        <v>7.1918199999999999</v>
      </c>
      <c r="N59" s="102">
        <v>8.5129000000000001</v>
      </c>
      <c r="O59" s="102">
        <v>4.5343999999999998</v>
      </c>
      <c r="P59" s="35" t="s">
        <v>1592</v>
      </c>
      <c r="Q59" s="35" t="s">
        <v>1598</v>
      </c>
      <c r="R59" s="35" t="s">
        <v>1694</v>
      </c>
      <c r="S59" s="102">
        <v>8.9639999999999702</v>
      </c>
      <c r="T59" s="102">
        <v>4.9854999999999698</v>
      </c>
      <c r="U59" s="35" t="s">
        <v>1591</v>
      </c>
      <c r="V59" s="35" t="s">
        <v>1716</v>
      </c>
      <c r="W59" s="102">
        <v>6.9</v>
      </c>
      <c r="X59" s="102">
        <v>2.9215</v>
      </c>
      <c r="Y59" s="102">
        <v>1</v>
      </c>
      <c r="Z59" s="35" t="s">
        <v>8</v>
      </c>
      <c r="AA59">
        <f>VLOOKUP(A59,Cover!A:R,18,0)</f>
        <v>0</v>
      </c>
      <c r="AB59" s="77">
        <f t="shared" si="0"/>
        <v>7.1918199999999999</v>
      </c>
      <c r="AC59" s="77">
        <f t="shared" si="1"/>
        <v>4.5343999999999998</v>
      </c>
      <c r="AD59" s="77">
        <f t="shared" si="2"/>
        <v>64.383294301327084</v>
      </c>
      <c r="AE59" s="77">
        <f t="shared" si="3"/>
        <v>53.265044814340591</v>
      </c>
      <c r="AF59" s="77">
        <f t="shared" si="4"/>
        <v>4.9854999999999698</v>
      </c>
      <c r="AG59" s="77">
        <f t="shared" si="5"/>
        <v>55.616912092815554</v>
      </c>
      <c r="AH59" s="77">
        <f t="shared" si="6"/>
        <v>6.9</v>
      </c>
      <c r="AI59" s="77">
        <f t="shared" si="7"/>
        <v>3.9784999999999999</v>
      </c>
      <c r="AJ59" s="77">
        <f t="shared" si="8"/>
        <v>2.9215000000000004</v>
      </c>
      <c r="AK59" s="77">
        <f t="shared" si="9"/>
        <v>0</v>
      </c>
      <c r="AL59" s="77">
        <f t="shared" si="10"/>
        <v>2.9215000000000004</v>
      </c>
      <c r="AM59" s="77">
        <f t="shared" si="11"/>
        <v>42.340579710144929</v>
      </c>
      <c r="AN59" s="52" t="s">
        <v>1580</v>
      </c>
      <c r="AO59" t="s">
        <v>1594</v>
      </c>
      <c r="AP59" t="str">
        <f t="shared" si="12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3"/>
        <v xml:space="preserve">12V101F </v>
      </c>
    </row>
    <row r="60" spans="1:53">
      <c r="A60" s="35" t="s">
        <v>76</v>
      </c>
      <c r="B60" s="35" t="s">
        <v>1595</v>
      </c>
      <c r="C60" s="35" t="s">
        <v>1717</v>
      </c>
      <c r="D60" s="35" t="s">
        <v>1585</v>
      </c>
      <c r="E60" s="35" t="s">
        <v>1255</v>
      </c>
      <c r="F60" s="35" t="s">
        <v>1718</v>
      </c>
      <c r="G60" s="102">
        <v>60.4</v>
      </c>
      <c r="H60" s="102">
        <v>11</v>
      </c>
      <c r="I60" s="102">
        <v>148</v>
      </c>
      <c r="J60" s="102">
        <v>8.0660000000000007</v>
      </c>
      <c r="K60" s="103">
        <v>45294</v>
      </c>
      <c r="L60" s="102">
        <v>26.334399999999999</v>
      </c>
      <c r="M60" s="102">
        <v>18.2684</v>
      </c>
      <c r="N60" s="102">
        <v>15.478</v>
      </c>
      <c r="O60" s="102">
        <v>7.4119999999999999</v>
      </c>
      <c r="P60" s="35" t="s">
        <v>1591</v>
      </c>
      <c r="Q60" s="35" t="s">
        <v>1598</v>
      </c>
      <c r="R60" s="35" t="s">
        <v>1661</v>
      </c>
      <c r="S60" s="102">
        <v>28.123200000000001</v>
      </c>
      <c r="T60" s="102">
        <v>20.057200000000002</v>
      </c>
      <c r="U60" s="35" t="s">
        <v>1608</v>
      </c>
      <c r="V60" s="35" t="s">
        <v>1670</v>
      </c>
      <c r="W60" s="102">
        <v>90</v>
      </c>
      <c r="X60" s="102">
        <v>81.933999999999997</v>
      </c>
      <c r="Y60" s="102">
        <v>3</v>
      </c>
      <c r="Z60" s="35" t="s">
        <v>1593</v>
      </c>
      <c r="AA60">
        <f>VLOOKUP(A60,Cover!A:R,18,0)</f>
        <v>0</v>
      </c>
      <c r="AB60" s="77">
        <f t="shared" si="0"/>
        <v>18.2684</v>
      </c>
      <c r="AC60" s="77">
        <f t="shared" si="1"/>
        <v>7.4119999999999999</v>
      </c>
      <c r="AD60" s="77">
        <f t="shared" si="2"/>
        <v>69.370860927152322</v>
      </c>
      <c r="AE60" s="77">
        <f t="shared" si="3"/>
        <v>47.887323943661968</v>
      </c>
      <c r="AF60" s="77">
        <f t="shared" si="4"/>
        <v>20.057200000000002</v>
      </c>
      <c r="AG60" s="77">
        <f t="shared" si="5"/>
        <v>71.319053308300624</v>
      </c>
      <c r="AH60" s="77">
        <f t="shared" si="6"/>
        <v>90</v>
      </c>
      <c r="AI60" s="77">
        <f t="shared" si="7"/>
        <v>8.0660000000000007</v>
      </c>
      <c r="AJ60" s="77">
        <f t="shared" si="8"/>
        <v>81.933999999999997</v>
      </c>
      <c r="AK60" s="77">
        <f t="shared" si="9"/>
        <v>0</v>
      </c>
      <c r="AL60" s="77">
        <f t="shared" si="10"/>
        <v>81.933999999999997</v>
      </c>
      <c r="AM60" s="77">
        <f t="shared" si="11"/>
        <v>91.037777777777777</v>
      </c>
      <c r="AO60" t="s">
        <v>1594</v>
      </c>
      <c r="AP60" t="str">
        <f t="shared" si="12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3"/>
        <v>DDm100-33</v>
      </c>
    </row>
    <row r="61" spans="1:53">
      <c r="A61" s="35" t="s">
        <v>77</v>
      </c>
      <c r="B61" s="35" t="s">
        <v>1659</v>
      </c>
      <c r="C61" s="35" t="s">
        <v>1719</v>
      </c>
      <c r="D61" s="35" t="s">
        <v>1585</v>
      </c>
      <c r="E61" s="35" t="s">
        <v>1720</v>
      </c>
      <c r="F61" s="35" t="s">
        <v>1597</v>
      </c>
      <c r="G61" s="102">
        <v>75</v>
      </c>
      <c r="H61" s="102">
        <v>2</v>
      </c>
      <c r="I61" s="102">
        <v>5</v>
      </c>
      <c r="J61" s="102">
        <v>0.27250000000000002</v>
      </c>
      <c r="K61" s="103">
        <v>44873</v>
      </c>
      <c r="L61" s="102">
        <v>3.27</v>
      </c>
      <c r="M61" s="102">
        <v>2.9975000000000001</v>
      </c>
      <c r="N61" s="102">
        <v>1.9075</v>
      </c>
      <c r="O61" s="102">
        <v>1.635</v>
      </c>
      <c r="P61" s="35" t="s">
        <v>1603</v>
      </c>
      <c r="Q61" s="35" t="s">
        <v>1598</v>
      </c>
      <c r="R61" s="35" t="s">
        <v>1694</v>
      </c>
      <c r="S61" s="102">
        <v>3.5855999999999999</v>
      </c>
      <c r="T61" s="102">
        <v>3.3130999999999999</v>
      </c>
      <c r="U61" s="35" t="s">
        <v>1603</v>
      </c>
      <c r="V61" s="35" t="s">
        <v>1692</v>
      </c>
      <c r="W61" s="102">
        <v>11.25</v>
      </c>
      <c r="X61" s="102">
        <v>10.977499999999999</v>
      </c>
      <c r="Y61" s="102">
        <v>4</v>
      </c>
      <c r="Z61" s="35" t="s">
        <v>1593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O61" t="s">
        <v>1594</v>
      </c>
      <c r="AP61" t="str">
        <f t="shared" si="12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3"/>
        <v xml:space="preserve">12V101F </v>
      </c>
    </row>
    <row r="62" spans="1:53">
      <c r="A62" s="35" t="s">
        <v>78</v>
      </c>
      <c r="B62" s="35" t="s">
        <v>1583</v>
      </c>
      <c r="C62" s="35" t="s">
        <v>1721</v>
      </c>
      <c r="D62" s="35" t="s">
        <v>1674</v>
      </c>
      <c r="E62" s="35" t="s">
        <v>779</v>
      </c>
      <c r="F62" s="35" t="s">
        <v>1597</v>
      </c>
      <c r="G62" s="102">
        <v>75</v>
      </c>
      <c r="H62" s="102">
        <v>6</v>
      </c>
      <c r="I62" s="102">
        <v>140</v>
      </c>
      <c r="J62" s="102">
        <v>7.63</v>
      </c>
      <c r="K62" s="103">
        <v>44686.541666666701</v>
      </c>
      <c r="L62" s="102">
        <v>16.350000000000001</v>
      </c>
      <c r="M62" s="102">
        <v>8.7200000000000006</v>
      </c>
      <c r="N62" s="102">
        <v>10.709250000000001</v>
      </c>
      <c r="O62" s="102">
        <v>3.07925</v>
      </c>
      <c r="P62" s="35" t="s">
        <v>1588</v>
      </c>
      <c r="Q62" s="35" t="s">
        <v>1598</v>
      </c>
      <c r="R62" s="35" t="s">
        <v>1626</v>
      </c>
      <c r="S62" s="102">
        <v>15.1632</v>
      </c>
      <c r="T62" s="102">
        <v>7.5331999999999901</v>
      </c>
      <c r="U62" s="35" t="s">
        <v>1588</v>
      </c>
      <c r="V62" s="35" t="s">
        <v>1600</v>
      </c>
      <c r="W62" s="102">
        <v>22.5</v>
      </c>
      <c r="X62" s="102">
        <v>14.87</v>
      </c>
      <c r="Y62" s="102">
        <v>1</v>
      </c>
      <c r="Z62" s="35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s="52" t="s">
        <v>1580</v>
      </c>
      <c r="AO62" t="s">
        <v>1594</v>
      </c>
      <c r="AP62" t="str">
        <f t="shared" si="12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3"/>
        <v>2DDm85-15</v>
      </c>
    </row>
    <row r="63" spans="1:53">
      <c r="A63" s="35" t="s">
        <v>79</v>
      </c>
      <c r="B63" s="35" t="s">
        <v>1583</v>
      </c>
      <c r="C63" s="35" t="s">
        <v>1721</v>
      </c>
      <c r="D63" s="35" t="s">
        <v>1629</v>
      </c>
      <c r="E63" s="35" t="s">
        <v>783</v>
      </c>
      <c r="F63" s="35" t="s">
        <v>1587</v>
      </c>
      <c r="G63" s="102">
        <v>36.6</v>
      </c>
      <c r="H63" s="102">
        <v>9</v>
      </c>
      <c r="I63" s="102">
        <v>69</v>
      </c>
      <c r="J63" s="102">
        <v>3.7605</v>
      </c>
      <c r="K63" s="103">
        <v>44596.541666666701</v>
      </c>
      <c r="L63" s="102">
        <v>12.766080000000001</v>
      </c>
      <c r="M63" s="102">
        <v>9.0055800000000001</v>
      </c>
      <c r="N63" s="102">
        <v>9.4720999999999993</v>
      </c>
      <c r="O63" s="102">
        <v>5.7115999999999998</v>
      </c>
      <c r="P63" s="35" t="s">
        <v>1591</v>
      </c>
      <c r="Q63" s="35" t="s">
        <v>1598</v>
      </c>
      <c r="R63" s="35" t="s">
        <v>1626</v>
      </c>
      <c r="S63" s="102">
        <v>10.1088</v>
      </c>
      <c r="T63" s="102">
        <v>6.3482999999999796</v>
      </c>
      <c r="U63" s="35" t="s">
        <v>1591</v>
      </c>
      <c r="V63" s="35" t="s">
        <v>1692</v>
      </c>
      <c r="W63" s="102">
        <v>11.25</v>
      </c>
      <c r="X63" s="102">
        <v>7.4894999999999996</v>
      </c>
      <c r="Y63" s="102">
        <v>12</v>
      </c>
      <c r="Z63" s="35" t="s">
        <v>1593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O63" t="s">
        <v>1594</v>
      </c>
      <c r="AP63" t="str">
        <f t="shared" si="12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3"/>
        <v>2DDm85-15</v>
      </c>
    </row>
    <row r="64" spans="1:53">
      <c r="A64" s="35" t="s">
        <v>80</v>
      </c>
      <c r="B64" s="35" t="s">
        <v>1619</v>
      </c>
      <c r="C64" s="35" t="s">
        <v>1722</v>
      </c>
      <c r="D64" s="35" t="s">
        <v>1585</v>
      </c>
      <c r="E64" s="35" t="s">
        <v>1285</v>
      </c>
      <c r="F64" s="35" t="s">
        <v>1587</v>
      </c>
      <c r="G64" s="102">
        <v>36.6</v>
      </c>
      <c r="H64" s="102">
        <v>15</v>
      </c>
      <c r="I64" s="102">
        <v>132</v>
      </c>
      <c r="J64" s="102">
        <v>7.194</v>
      </c>
      <c r="K64" s="103">
        <v>44448.708333333299</v>
      </c>
      <c r="L64" s="102">
        <v>22.34064</v>
      </c>
      <c r="M64" s="102">
        <v>15.14664</v>
      </c>
      <c r="N64" s="102">
        <v>14.0283</v>
      </c>
      <c r="O64" s="102">
        <v>6.8342999999999998</v>
      </c>
      <c r="P64" s="35" t="s">
        <v>1608</v>
      </c>
      <c r="Q64" s="35" t="s">
        <v>1598</v>
      </c>
      <c r="R64" s="35" t="s">
        <v>1723</v>
      </c>
      <c r="S64" s="102">
        <v>21.815999999999999</v>
      </c>
      <c r="T64" s="102">
        <v>14.622</v>
      </c>
      <c r="U64" s="35" t="s">
        <v>1603</v>
      </c>
      <c r="V64" s="35" t="s">
        <v>1724</v>
      </c>
      <c r="W64" s="102">
        <v>16.875</v>
      </c>
      <c r="X64" s="102">
        <v>9.6809999999999992</v>
      </c>
      <c r="Y64" s="102">
        <v>13</v>
      </c>
      <c r="Z64" s="35" t="s">
        <v>1593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O64" t="s">
        <v>1594</v>
      </c>
      <c r="AP64" t="str">
        <f t="shared" si="12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3"/>
        <v>2DDm85-13</v>
      </c>
    </row>
    <row r="65" spans="1:53">
      <c r="A65" s="35" t="s">
        <v>81</v>
      </c>
      <c r="B65" s="35" t="s">
        <v>1725</v>
      </c>
      <c r="C65" s="35" t="s">
        <v>1726</v>
      </c>
      <c r="D65" s="35" t="s">
        <v>1680</v>
      </c>
      <c r="E65" s="35" t="s">
        <v>1350</v>
      </c>
      <c r="F65" s="35" t="s">
        <v>1587</v>
      </c>
      <c r="G65" s="102">
        <v>36.6</v>
      </c>
      <c r="H65" s="102">
        <v>27</v>
      </c>
      <c r="I65" s="102">
        <v>320</v>
      </c>
      <c r="J65" s="102">
        <v>17.440000000000001</v>
      </c>
      <c r="K65" s="103">
        <v>45323</v>
      </c>
      <c r="L65" s="102">
        <v>41.489759999999997</v>
      </c>
      <c r="M65" s="102">
        <v>24.049759999999999</v>
      </c>
      <c r="N65" s="102">
        <v>30.062200000000001</v>
      </c>
      <c r="O65" s="102">
        <v>12.622199999999999</v>
      </c>
      <c r="P65" s="35" t="s">
        <v>1591</v>
      </c>
      <c r="Q65" s="35" t="s">
        <v>1598</v>
      </c>
      <c r="R65" s="35" t="s">
        <v>1609</v>
      </c>
      <c r="S65" s="102">
        <v>35.553600000000003</v>
      </c>
      <c r="T65" s="102">
        <v>18.113600000000002</v>
      </c>
      <c r="U65" s="35" t="s">
        <v>1588</v>
      </c>
      <c r="V65" s="35" t="s">
        <v>1600</v>
      </c>
      <c r="W65" s="102">
        <v>22.5</v>
      </c>
      <c r="X65" s="102">
        <v>5.0599999999999996</v>
      </c>
      <c r="Y65" s="102">
        <v>15</v>
      </c>
      <c r="Z65" s="35" t="s">
        <v>1593</v>
      </c>
      <c r="AA65">
        <f>VLOOKUP(A65,Cover!A:R,18,0)</f>
        <v>3</v>
      </c>
      <c r="AB65" s="77">
        <f t="shared" si="0"/>
        <v>21.049759999999999</v>
      </c>
      <c r="AC65" s="77">
        <f t="shared" si="1"/>
        <v>9.6221999999999994</v>
      </c>
      <c r="AD65" s="77">
        <f t="shared" si="2"/>
        <v>50.734831919972542</v>
      </c>
      <c r="AE65" s="77">
        <f t="shared" si="3"/>
        <v>32.007637498253622</v>
      </c>
      <c r="AF65" s="77">
        <f t="shared" si="4"/>
        <v>15.113600000000002</v>
      </c>
      <c r="AG65" s="77">
        <f t="shared" si="5"/>
        <v>42.509338013590749</v>
      </c>
      <c r="AH65" s="77">
        <f t="shared" si="6"/>
        <v>22.5</v>
      </c>
      <c r="AI65" s="77">
        <f t="shared" si="7"/>
        <v>17.440000000000001</v>
      </c>
      <c r="AJ65" s="77">
        <f t="shared" si="8"/>
        <v>5.0599999999999987</v>
      </c>
      <c r="AK65" s="77">
        <f t="shared" si="9"/>
        <v>3</v>
      </c>
      <c r="AL65" s="77">
        <f t="shared" si="10"/>
        <v>2.0599999999999987</v>
      </c>
      <c r="AM65" s="77">
        <f t="shared" si="11"/>
        <v>9.1555555555555497</v>
      </c>
      <c r="AO65" t="s">
        <v>1594</v>
      </c>
      <c r="AP65" t="str">
        <f t="shared" si="12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3"/>
        <v>DDm125-33</v>
      </c>
    </row>
    <row r="66" spans="1:53">
      <c r="A66" s="35" t="s">
        <v>82</v>
      </c>
      <c r="B66" s="35" t="s">
        <v>1636</v>
      </c>
      <c r="C66" s="35" t="s">
        <v>1727</v>
      </c>
      <c r="D66" s="35" t="s">
        <v>1629</v>
      </c>
      <c r="E66" s="35" t="s">
        <v>993</v>
      </c>
      <c r="F66" s="35" t="s">
        <v>1587</v>
      </c>
      <c r="G66" s="102">
        <v>36.6</v>
      </c>
      <c r="H66" s="102">
        <v>5</v>
      </c>
      <c r="I66" s="102">
        <v>39</v>
      </c>
      <c r="J66" s="102">
        <v>2.1255000000000002</v>
      </c>
      <c r="K66" s="103">
        <v>44501.458333333299</v>
      </c>
      <c r="L66" s="102">
        <v>6.3830400000000003</v>
      </c>
      <c r="M66" s="102">
        <v>4.2575399999999997</v>
      </c>
      <c r="N66" s="102">
        <v>4.4908000000000001</v>
      </c>
      <c r="O66" s="102">
        <v>2.3653</v>
      </c>
      <c r="P66" s="35" t="s">
        <v>1648</v>
      </c>
      <c r="Q66" s="35" t="s">
        <v>1616</v>
      </c>
      <c r="R66" s="35" t="s">
        <v>1698</v>
      </c>
      <c r="S66" s="102">
        <v>7.8105600000000104</v>
      </c>
      <c r="T66" s="102">
        <v>5.6850600000000098</v>
      </c>
      <c r="U66" s="35" t="s">
        <v>1591</v>
      </c>
      <c r="V66" s="35" t="s">
        <v>1648</v>
      </c>
      <c r="W66" s="102">
        <v>6</v>
      </c>
      <c r="X66" s="102">
        <v>3.8744999999999998</v>
      </c>
      <c r="Y66" s="102">
        <v>8</v>
      </c>
      <c r="Z66" s="35" t="s">
        <v>1593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O66" t="s">
        <v>1594</v>
      </c>
      <c r="AP66" t="str">
        <f t="shared" si="12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3"/>
        <v>12V100F</v>
      </c>
    </row>
    <row r="67" spans="1:53">
      <c r="A67" s="35" t="s">
        <v>83</v>
      </c>
      <c r="B67" s="35" t="s">
        <v>1583</v>
      </c>
      <c r="C67" s="35" t="s">
        <v>1728</v>
      </c>
      <c r="D67" s="35" t="s">
        <v>1585</v>
      </c>
      <c r="E67" s="35" t="s">
        <v>785</v>
      </c>
      <c r="F67" s="35" t="s">
        <v>1587</v>
      </c>
      <c r="G67" s="102">
        <v>36.6</v>
      </c>
      <c r="H67" s="102">
        <v>16</v>
      </c>
      <c r="I67" s="102">
        <v>220</v>
      </c>
      <c r="J67" s="102">
        <v>11.99</v>
      </c>
      <c r="K67" s="103">
        <v>45058</v>
      </c>
      <c r="L67" s="102">
        <v>23.936399999999999</v>
      </c>
      <c r="M67" s="102">
        <v>11.946400000000001</v>
      </c>
      <c r="N67" s="102">
        <v>0.27250000000000002</v>
      </c>
      <c r="O67" s="104">
        <v>-11.717499999999999</v>
      </c>
      <c r="P67" s="35" t="s">
        <v>1603</v>
      </c>
      <c r="Q67" s="35" t="s">
        <v>1598</v>
      </c>
      <c r="R67" s="35" t="s">
        <v>1713</v>
      </c>
      <c r="S67" s="102">
        <v>45.964799999999997</v>
      </c>
      <c r="T67" s="102">
        <v>33.974800000000002</v>
      </c>
      <c r="U67" s="35" t="s">
        <v>1591</v>
      </c>
      <c r="V67" s="35" t="s">
        <v>1729</v>
      </c>
      <c r="W67" s="102">
        <v>16.5</v>
      </c>
      <c r="X67" s="102">
        <v>4.51</v>
      </c>
      <c r="Y67" s="102">
        <v>6</v>
      </c>
      <c r="Z67" s="35" t="s">
        <v>1593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O67" t="s">
        <v>1594</v>
      </c>
      <c r="AP67" t="str">
        <f t="shared" si="12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3"/>
        <v>DDm85-33</v>
      </c>
    </row>
    <row r="68" spans="1:53">
      <c r="A68" s="35" t="s">
        <v>84</v>
      </c>
      <c r="B68" s="35" t="s">
        <v>1653</v>
      </c>
      <c r="C68" s="35" t="s">
        <v>1730</v>
      </c>
      <c r="D68" s="35" t="s">
        <v>1580</v>
      </c>
      <c r="E68" s="35" t="s">
        <v>1058</v>
      </c>
      <c r="F68" s="35" t="s">
        <v>1587</v>
      </c>
      <c r="G68" s="102">
        <v>36.6</v>
      </c>
      <c r="H68" s="102">
        <v>11</v>
      </c>
      <c r="I68" s="102">
        <v>75</v>
      </c>
      <c r="J68" s="102">
        <v>4.0875000000000004</v>
      </c>
      <c r="K68" s="103">
        <v>45323</v>
      </c>
      <c r="L68" s="102">
        <v>15.957599999999999</v>
      </c>
      <c r="M68" s="102">
        <v>11.870100000000001</v>
      </c>
      <c r="N68" s="102">
        <v>14.388</v>
      </c>
      <c r="O68" s="102">
        <v>10.3005</v>
      </c>
      <c r="P68" s="35" t="s">
        <v>1591</v>
      </c>
      <c r="Q68" s="35" t="s">
        <v>1598</v>
      </c>
      <c r="R68" s="35" t="s">
        <v>1723</v>
      </c>
      <c r="S68" s="102">
        <v>8.7264000000000301</v>
      </c>
      <c r="T68" s="102">
        <v>4.63890000000002</v>
      </c>
      <c r="U68" s="35" t="s">
        <v>1591</v>
      </c>
      <c r="V68" s="35" t="s">
        <v>1648</v>
      </c>
      <c r="W68" s="102">
        <v>6</v>
      </c>
      <c r="X68" s="102">
        <v>1.9125000000000001</v>
      </c>
      <c r="Y68" s="102">
        <v>0</v>
      </c>
      <c r="Z68" s="35" t="s">
        <v>8</v>
      </c>
      <c r="AA68">
        <f>VLOOKUP(A68,Cover!A:R,18,0)</f>
        <v>0</v>
      </c>
      <c r="AB68" s="77">
        <f t="shared" si="0"/>
        <v>11.870100000000001</v>
      </c>
      <c r="AC68" s="77">
        <f t="shared" si="1"/>
        <v>10.3005</v>
      </c>
      <c r="AD68" s="77">
        <f t="shared" si="2"/>
        <v>74.385245901639351</v>
      </c>
      <c r="AE68" s="77">
        <f t="shared" si="3"/>
        <v>71.590909090909079</v>
      </c>
      <c r="AF68" s="77">
        <f t="shared" si="4"/>
        <v>4.63890000000002</v>
      </c>
      <c r="AG68" s="77">
        <f t="shared" si="5"/>
        <v>53.159378437843834</v>
      </c>
      <c r="AH68" s="77">
        <f t="shared" si="6"/>
        <v>6</v>
      </c>
      <c r="AI68" s="77">
        <f t="shared" si="7"/>
        <v>4.0875000000000004</v>
      </c>
      <c r="AJ68" s="77">
        <f t="shared" si="8"/>
        <v>1.9124999999999996</v>
      </c>
      <c r="AK68" s="77">
        <f t="shared" si="9"/>
        <v>0</v>
      </c>
      <c r="AL68" s="77">
        <f t="shared" si="10"/>
        <v>1.9124999999999996</v>
      </c>
      <c r="AM68" s="77">
        <f t="shared" si="11"/>
        <v>31.874999999999996</v>
      </c>
      <c r="AN68" s="52" t="s">
        <v>1580</v>
      </c>
      <c r="AO68" t="s">
        <v>1594</v>
      </c>
      <c r="AP68" t="str">
        <f t="shared" si="12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3"/>
        <v>2DDm85-13</v>
      </c>
    </row>
    <row r="69" spans="1:53">
      <c r="A69" s="35" t="s">
        <v>85</v>
      </c>
      <c r="B69" s="35" t="s">
        <v>1632</v>
      </c>
      <c r="C69" s="35" t="s">
        <v>1731</v>
      </c>
      <c r="D69" s="35" t="s">
        <v>1629</v>
      </c>
      <c r="E69" s="35" t="s">
        <v>1354</v>
      </c>
      <c r="F69" s="35" t="s">
        <v>1587</v>
      </c>
      <c r="G69" s="102">
        <v>36.6</v>
      </c>
      <c r="H69" s="102">
        <v>7</v>
      </c>
      <c r="I69" s="102">
        <v>40</v>
      </c>
      <c r="J69" s="102">
        <v>2.1800000000000002</v>
      </c>
      <c r="K69" s="103">
        <v>45323</v>
      </c>
      <c r="L69" s="102">
        <v>9.57456</v>
      </c>
      <c r="M69" s="102">
        <v>7.3945600000000002</v>
      </c>
      <c r="N69" s="102">
        <v>5.4827000000000004</v>
      </c>
      <c r="O69" s="102">
        <v>3.3027000000000002</v>
      </c>
      <c r="P69" s="35" t="s">
        <v>1591</v>
      </c>
      <c r="Q69" s="35" t="s">
        <v>1598</v>
      </c>
      <c r="R69" s="35" t="s">
        <v>1626</v>
      </c>
      <c r="S69" s="102">
        <v>10.1088</v>
      </c>
      <c r="T69" s="102">
        <v>7.9287999999999803</v>
      </c>
      <c r="U69" s="35" t="s">
        <v>1591</v>
      </c>
      <c r="V69" s="35" t="s">
        <v>1692</v>
      </c>
      <c r="W69" s="102">
        <v>11.25</v>
      </c>
      <c r="X69" s="102">
        <v>9.07</v>
      </c>
      <c r="Y69" s="102">
        <v>25</v>
      </c>
      <c r="Z69" s="35" t="s">
        <v>1593</v>
      </c>
      <c r="AA69">
        <f>VLOOKUP(A69,Cover!A:R,18,0)</f>
        <v>0</v>
      </c>
      <c r="AB69" s="77">
        <f t="shared" si="0"/>
        <v>7.3945600000000002</v>
      </c>
      <c r="AC69" s="77">
        <f t="shared" si="1"/>
        <v>3.3027000000000002</v>
      </c>
      <c r="AD69" s="77">
        <f t="shared" si="2"/>
        <v>77.231329690346087</v>
      </c>
      <c r="AE69" s="77">
        <f t="shared" si="3"/>
        <v>60.238568588469185</v>
      </c>
      <c r="AF69" s="77">
        <f t="shared" si="4"/>
        <v>7.9287999999999803</v>
      </c>
      <c r="AG69" s="77">
        <f t="shared" si="5"/>
        <v>78.434631212408789</v>
      </c>
      <c r="AH69" s="77">
        <f t="shared" si="6"/>
        <v>11.25</v>
      </c>
      <c r="AI69" s="77">
        <f t="shared" si="7"/>
        <v>2.1800000000000002</v>
      </c>
      <c r="AJ69" s="77">
        <f t="shared" si="8"/>
        <v>9.07</v>
      </c>
      <c r="AK69" s="77">
        <f t="shared" si="9"/>
        <v>0</v>
      </c>
      <c r="AL69" s="77">
        <f t="shared" si="10"/>
        <v>9.07</v>
      </c>
      <c r="AM69" s="77">
        <f t="shared" si="11"/>
        <v>80.62222222222222</v>
      </c>
      <c r="AO69" t="s">
        <v>1594</v>
      </c>
      <c r="AP69" t="str">
        <f t="shared" si="12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3"/>
        <v>2DDm85-15</v>
      </c>
    </row>
    <row r="70" spans="1:53">
      <c r="A70" s="35" t="s">
        <v>86</v>
      </c>
      <c r="B70" s="35" t="s">
        <v>1607</v>
      </c>
      <c r="C70" s="35" t="s">
        <v>1607</v>
      </c>
      <c r="D70" s="35" t="s">
        <v>1674</v>
      </c>
      <c r="E70" s="35" t="s">
        <v>828</v>
      </c>
      <c r="F70" s="35" t="s">
        <v>1597</v>
      </c>
      <c r="G70" s="102">
        <v>75</v>
      </c>
      <c r="H70" s="102">
        <v>28</v>
      </c>
      <c r="I70" s="102">
        <v>850</v>
      </c>
      <c r="J70" s="102">
        <v>46.325000000000003</v>
      </c>
      <c r="K70" s="103">
        <v>44595</v>
      </c>
      <c r="L70" s="102">
        <v>88.29</v>
      </c>
      <c r="M70" s="102">
        <v>41.965000000000003</v>
      </c>
      <c r="N70" s="102">
        <v>77.662499999999994</v>
      </c>
      <c r="O70" s="102">
        <v>31.337499999999999</v>
      </c>
      <c r="P70" s="35" t="s">
        <v>1588</v>
      </c>
      <c r="Q70" s="35" t="s">
        <v>1598</v>
      </c>
      <c r="R70" s="35" t="s">
        <v>1609</v>
      </c>
      <c r="S70" s="102">
        <v>53.330399999999997</v>
      </c>
      <c r="T70" s="102">
        <v>7.0053999999999803</v>
      </c>
      <c r="U70" s="35" t="s">
        <v>1621</v>
      </c>
      <c r="V70" s="35" t="s">
        <v>1732</v>
      </c>
      <c r="W70" s="102">
        <v>180</v>
      </c>
      <c r="X70" s="102">
        <v>133.67500000000001</v>
      </c>
      <c r="Y70" s="102">
        <v>18</v>
      </c>
      <c r="Z70" s="35" t="s">
        <v>8</v>
      </c>
      <c r="AA70">
        <f>VLOOKUP(A70,Cover!A:R,18,0)</f>
        <v>11.1</v>
      </c>
      <c r="AB70" s="77">
        <f t="shared" si="0"/>
        <v>30.865000000000002</v>
      </c>
      <c r="AC70" s="77">
        <f t="shared" si="1"/>
        <v>20.237499999999997</v>
      </c>
      <c r="AD70" s="77">
        <f t="shared" si="2"/>
        <v>34.958658964775175</v>
      </c>
      <c r="AE70" s="77">
        <f t="shared" si="3"/>
        <v>26.058264928375987</v>
      </c>
      <c r="AF70" s="77">
        <f t="shared" si="4"/>
        <v>-4.0946000000000193</v>
      </c>
      <c r="AG70" s="77">
        <f t="shared" si="5"/>
        <v>-7.677797278850373</v>
      </c>
      <c r="AH70" s="345">
        <f>AVERAGE(W70:W71)</f>
        <v>180</v>
      </c>
      <c r="AI70" s="345">
        <f>SUM(J70:J71)</f>
        <v>146.93200000000002</v>
      </c>
      <c r="AJ70" s="345">
        <f t="shared" si="8"/>
        <v>33.067999999999984</v>
      </c>
      <c r="AK70" s="345">
        <f>SUM(AA70:AA71)</f>
        <v>12.6</v>
      </c>
      <c r="AL70" s="345">
        <f t="shared" si="10"/>
        <v>20.467999999999982</v>
      </c>
      <c r="AM70" s="346">
        <f t="shared" si="11"/>
        <v>11.371111111111102</v>
      </c>
      <c r="AN70" s="52" t="s">
        <v>1580</v>
      </c>
      <c r="AO70" t="s">
        <v>1594</v>
      </c>
      <c r="AP70" t="str">
        <f t="shared" si="12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3"/>
        <v>DDm125-33</v>
      </c>
    </row>
    <row r="71" spans="1:53">
      <c r="A71" s="35" t="s">
        <v>87</v>
      </c>
      <c r="B71" s="35" t="s">
        <v>1607</v>
      </c>
      <c r="C71" s="35" t="s">
        <v>1607</v>
      </c>
      <c r="D71" s="35" t="s">
        <v>1674</v>
      </c>
      <c r="E71" s="35" t="s">
        <v>828</v>
      </c>
      <c r="F71" s="35" t="s">
        <v>1641</v>
      </c>
      <c r="G71" s="102">
        <v>55</v>
      </c>
      <c r="H71" s="102">
        <v>54</v>
      </c>
      <c r="I71" s="102">
        <v>1846</v>
      </c>
      <c r="J71" s="102">
        <v>100.607</v>
      </c>
      <c r="K71" s="103">
        <v>44484.625</v>
      </c>
      <c r="L71" s="102">
        <v>127.09399999999999</v>
      </c>
      <c r="M71" s="102">
        <v>26.486999999999998</v>
      </c>
      <c r="N71" s="102">
        <v>93.467500000000001</v>
      </c>
      <c r="O71" s="104">
        <v>-7.1395</v>
      </c>
      <c r="P71" s="35" t="s">
        <v>1634</v>
      </c>
      <c r="Q71" s="35" t="s">
        <v>1598</v>
      </c>
      <c r="R71" s="35" t="s">
        <v>1609</v>
      </c>
      <c r="S71" s="102">
        <v>106.66079999999999</v>
      </c>
      <c r="T71" s="102">
        <v>6.0538000000000798</v>
      </c>
      <c r="U71" s="35" t="s">
        <v>1621</v>
      </c>
      <c r="V71" s="35" t="s">
        <v>1732</v>
      </c>
      <c r="W71" s="102">
        <v>180</v>
      </c>
      <c r="X71" s="102">
        <v>79.393000000000001</v>
      </c>
      <c r="Y71" s="102">
        <v>18</v>
      </c>
      <c r="Z71" s="35" t="s">
        <v>8</v>
      </c>
      <c r="AA71">
        <f>VLOOKUP(A71,Cover!A:R,18,0)</f>
        <v>1.5</v>
      </c>
      <c r="AB71" s="77">
        <f t="shared" si="0"/>
        <v>24.986999999999998</v>
      </c>
      <c r="AC71" s="77">
        <f t="shared" si="1"/>
        <v>-8.6395</v>
      </c>
      <c r="AD71" s="77">
        <f t="shared" si="2"/>
        <v>19.660251467417815</v>
      </c>
      <c r="AE71" s="77">
        <f t="shared" si="3"/>
        <v>-9.2433198705432371</v>
      </c>
      <c r="AF71" s="77">
        <f t="shared" si="4"/>
        <v>4.5538000000000798</v>
      </c>
      <c r="AG71" s="77">
        <f t="shared" si="5"/>
        <v>4.2694223182275772</v>
      </c>
      <c r="AH71" s="345"/>
      <c r="AI71" s="345"/>
      <c r="AJ71" s="345"/>
      <c r="AK71" s="345"/>
      <c r="AL71" s="345"/>
      <c r="AM71" s="346"/>
      <c r="AN71" s="52" t="s">
        <v>1580</v>
      </c>
      <c r="AO71" t="s">
        <v>1594</v>
      </c>
      <c r="AP71" t="str">
        <f t="shared" si="12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3"/>
        <v>DDm125-33</v>
      </c>
    </row>
    <row r="72" spans="1:53">
      <c r="A72" s="35" t="s">
        <v>88</v>
      </c>
      <c r="B72" s="35" t="s">
        <v>1607</v>
      </c>
      <c r="C72" s="35" t="s">
        <v>1607</v>
      </c>
      <c r="D72" s="35" t="s">
        <v>1585</v>
      </c>
      <c r="E72" s="35" t="s">
        <v>842</v>
      </c>
      <c r="F72" s="35" t="s">
        <v>1587</v>
      </c>
      <c r="G72" s="102">
        <v>36.6</v>
      </c>
      <c r="H72" s="102">
        <v>39</v>
      </c>
      <c r="I72" s="102">
        <v>293</v>
      </c>
      <c r="J72" s="102">
        <v>15.968500000000001</v>
      </c>
      <c r="K72" s="103">
        <v>44804</v>
      </c>
      <c r="L72" s="102">
        <v>60.63888</v>
      </c>
      <c r="M72" s="102">
        <v>44.670380000000002</v>
      </c>
      <c r="N72" s="102">
        <v>43.098599999999998</v>
      </c>
      <c r="O72" s="102">
        <v>27.130099999999999</v>
      </c>
      <c r="P72" s="35" t="s">
        <v>1588</v>
      </c>
      <c r="Q72" s="35" t="s">
        <v>1598</v>
      </c>
      <c r="R72" s="35" t="s">
        <v>1609</v>
      </c>
      <c r="S72" s="102">
        <v>53.330399999999997</v>
      </c>
      <c r="T72" s="102">
        <v>37.361899999999999</v>
      </c>
      <c r="U72" s="35" t="s">
        <v>1634</v>
      </c>
      <c r="V72" s="35" t="s">
        <v>1733</v>
      </c>
      <c r="W72" s="102">
        <v>196.5</v>
      </c>
      <c r="X72" s="102">
        <v>180.53149999999999</v>
      </c>
      <c r="Y72" s="102">
        <v>65</v>
      </c>
      <c r="Z72" s="35" t="s">
        <v>1593</v>
      </c>
      <c r="AA72">
        <f>VLOOKUP(A72,Cover!A:R,18,0)</f>
        <v>8.6</v>
      </c>
      <c r="AB72" s="77">
        <f t="shared" si="0"/>
        <v>36.07038</v>
      </c>
      <c r="AC72" s="77">
        <f t="shared" si="1"/>
        <v>18.530099999999997</v>
      </c>
      <c r="AD72" s="77">
        <f t="shared" si="2"/>
        <v>59.483915270202885</v>
      </c>
      <c r="AE72" s="77">
        <f t="shared" si="3"/>
        <v>42.994668040261168</v>
      </c>
      <c r="AF72" s="77">
        <f t="shared" si="4"/>
        <v>28.761899999999997</v>
      </c>
      <c r="AG72" s="77">
        <f t="shared" si="5"/>
        <v>53.931528734080366</v>
      </c>
      <c r="AH72" s="345">
        <f>AVERAGE(W72:W73)</f>
        <v>196.5</v>
      </c>
      <c r="AI72" s="345">
        <f>SUM(J72:J73)</f>
        <v>31.392000000000003</v>
      </c>
      <c r="AJ72" s="345">
        <f t="shared" si="8"/>
        <v>165.108</v>
      </c>
      <c r="AK72" s="345">
        <f>SUM(AA72:AA73)</f>
        <v>17.799999999999997</v>
      </c>
      <c r="AL72" s="345">
        <f t="shared" si="10"/>
        <v>147.30799999999999</v>
      </c>
      <c r="AM72" s="346">
        <f t="shared" si="11"/>
        <v>74.965903307888027</v>
      </c>
      <c r="AO72" t="s">
        <v>1651</v>
      </c>
      <c r="AP72" t="str">
        <f t="shared" si="12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3"/>
        <v>DDm125-33</v>
      </c>
    </row>
    <row r="73" spans="1:53">
      <c r="A73" s="35" t="s">
        <v>89</v>
      </c>
      <c r="B73" s="35" t="s">
        <v>1607</v>
      </c>
      <c r="C73" s="35" t="s">
        <v>1607</v>
      </c>
      <c r="D73" s="35" t="s">
        <v>1585</v>
      </c>
      <c r="E73" s="35" t="s">
        <v>842</v>
      </c>
      <c r="F73" s="35" t="s">
        <v>1587</v>
      </c>
      <c r="G73" s="102">
        <v>36.6</v>
      </c>
      <c r="H73" s="102">
        <v>39</v>
      </c>
      <c r="I73" s="102">
        <v>283</v>
      </c>
      <c r="J73" s="102">
        <v>15.423500000000001</v>
      </c>
      <c r="K73" s="103">
        <v>44979</v>
      </c>
      <c r="L73" s="102">
        <v>60.63888</v>
      </c>
      <c r="M73" s="102">
        <v>45.215380000000003</v>
      </c>
      <c r="N73" s="102">
        <v>43.098599999999998</v>
      </c>
      <c r="O73" s="102">
        <v>27.6751</v>
      </c>
      <c r="P73" s="35" t="s">
        <v>1588</v>
      </c>
      <c r="Q73" s="35" t="s">
        <v>1598</v>
      </c>
      <c r="R73" s="35" t="s">
        <v>1609</v>
      </c>
      <c r="S73" s="102">
        <v>53.330399999999997</v>
      </c>
      <c r="T73" s="102">
        <v>37.9069</v>
      </c>
      <c r="U73" s="35" t="s">
        <v>1634</v>
      </c>
      <c r="V73" s="35" t="s">
        <v>1733</v>
      </c>
      <c r="W73" s="102">
        <v>196.5</v>
      </c>
      <c r="X73" s="102">
        <v>181.07650000000001</v>
      </c>
      <c r="Y73" s="102">
        <v>65</v>
      </c>
      <c r="Z73" s="35" t="s">
        <v>1593</v>
      </c>
      <c r="AA73">
        <f>VLOOKUP(A73,Cover!A:R,18,0)</f>
        <v>9.1999999999999993</v>
      </c>
      <c r="AB73" s="77">
        <f t="shared" ref="AB73" si="57">M73-AA73</f>
        <v>36.015380000000007</v>
      </c>
      <c r="AC73" s="77">
        <f t="shared" ref="AC73" si="58">O73-AA73</f>
        <v>18.475100000000001</v>
      </c>
      <c r="AD73" s="77">
        <f t="shared" ref="AD73" si="59">AB73/L73%</f>
        <v>59.393214386545417</v>
      </c>
      <c r="AE73" s="77">
        <f t="shared" ref="AE73" si="60">AC73/N73%</f>
        <v>42.867053686198631</v>
      </c>
      <c r="AF73" s="77">
        <f t="shared" ref="AF73" si="61">T73-AA73</f>
        <v>28.706900000000001</v>
      </c>
      <c r="AG73" s="77">
        <f t="shared" ref="AG73" si="62">AF73/S73%</f>
        <v>53.828398061893409</v>
      </c>
      <c r="AH73" s="345"/>
      <c r="AI73" s="345"/>
      <c r="AJ73" s="345"/>
      <c r="AK73" s="345"/>
      <c r="AL73" s="345"/>
      <c r="AM73" s="346"/>
      <c r="AO73" t="s">
        <v>1651</v>
      </c>
      <c r="AP73" t="str">
        <f t="shared" si="12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3"/>
        <v>DDm125-33</v>
      </c>
    </row>
    <row r="74" spans="1:53">
      <c r="A74" s="35" t="s">
        <v>90</v>
      </c>
      <c r="B74" s="35" t="s">
        <v>1632</v>
      </c>
      <c r="C74" s="35" t="s">
        <v>1734</v>
      </c>
      <c r="D74" s="35" t="s">
        <v>1585</v>
      </c>
      <c r="E74" s="35" t="s">
        <v>1364</v>
      </c>
      <c r="F74" s="35" t="s">
        <v>1587</v>
      </c>
      <c r="G74" s="102">
        <v>36.6</v>
      </c>
      <c r="H74" s="102">
        <v>18</v>
      </c>
      <c r="I74" s="102">
        <v>29</v>
      </c>
      <c r="J74" s="102">
        <v>1.5805</v>
      </c>
      <c r="K74" s="103">
        <v>45323</v>
      </c>
      <c r="L74" s="102">
        <v>27.12792</v>
      </c>
      <c r="M74" s="102">
        <v>25.547419999999999</v>
      </c>
      <c r="N74" s="102">
        <v>22.791899999999998</v>
      </c>
      <c r="O74" s="102">
        <v>21.211400000000001</v>
      </c>
      <c r="P74" s="35" t="s">
        <v>1591</v>
      </c>
      <c r="Q74" s="35" t="s">
        <v>1598</v>
      </c>
      <c r="R74" s="35" t="s">
        <v>1599</v>
      </c>
      <c r="S74" s="102">
        <v>17.409600000000001</v>
      </c>
      <c r="T74" s="102">
        <v>15.8291</v>
      </c>
      <c r="U74" s="35" t="s">
        <v>1634</v>
      </c>
      <c r="V74" s="35" t="s">
        <v>1627</v>
      </c>
      <c r="W74" s="102">
        <v>112.5</v>
      </c>
      <c r="X74" s="102">
        <v>110.9195</v>
      </c>
      <c r="Y74" s="102">
        <v>24</v>
      </c>
      <c r="Z74" s="35" t="s">
        <v>1593</v>
      </c>
      <c r="AA74">
        <f>VLOOKUP(A74,Cover!A:R,18,0)</f>
        <v>6.9</v>
      </c>
      <c r="AB74" s="77">
        <f t="shared" si="0"/>
        <v>18.647419999999997</v>
      </c>
      <c r="AC74" s="77">
        <f t="shared" si="1"/>
        <v>14.311400000000001</v>
      </c>
      <c r="AD74" s="77">
        <f t="shared" si="2"/>
        <v>68.73884912665622</v>
      </c>
      <c r="AE74" s="77">
        <f t="shared" si="3"/>
        <v>62.791605789776199</v>
      </c>
      <c r="AF74" s="77">
        <f t="shared" si="4"/>
        <v>8.9291</v>
      </c>
      <c r="AG74" s="77">
        <f t="shared" si="5"/>
        <v>51.28836963514383</v>
      </c>
      <c r="AH74" s="77">
        <f t="shared" si="6"/>
        <v>112.5</v>
      </c>
      <c r="AI74" s="77">
        <f t="shared" si="7"/>
        <v>1.5805</v>
      </c>
      <c r="AJ74" s="77">
        <f t="shared" si="8"/>
        <v>110.9195</v>
      </c>
      <c r="AK74" s="77">
        <f t="shared" si="9"/>
        <v>6.9</v>
      </c>
      <c r="AL74" s="77">
        <f t="shared" si="10"/>
        <v>104.01949999999999</v>
      </c>
      <c r="AM74" s="77">
        <f t="shared" si="11"/>
        <v>92.461777777777769</v>
      </c>
      <c r="AO74" t="s">
        <v>1651</v>
      </c>
      <c r="AP74" t="str">
        <f t="shared" si="12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3"/>
        <v>DDm85-25</v>
      </c>
    </row>
    <row r="75" spans="1:53">
      <c r="A75" s="35" t="s">
        <v>91</v>
      </c>
      <c r="B75" s="35" t="s">
        <v>1632</v>
      </c>
      <c r="C75" s="35" t="s">
        <v>1734</v>
      </c>
      <c r="D75" s="35" t="s">
        <v>1585</v>
      </c>
      <c r="E75" s="35" t="s">
        <v>1364</v>
      </c>
      <c r="F75" s="35" t="s">
        <v>1587</v>
      </c>
      <c r="G75" s="102">
        <v>36.6</v>
      </c>
      <c r="H75" s="102">
        <v>18</v>
      </c>
      <c r="I75" s="102">
        <v>57</v>
      </c>
      <c r="J75" s="102">
        <v>3.1065</v>
      </c>
      <c r="K75" s="103">
        <v>45323</v>
      </c>
      <c r="L75" s="102">
        <v>27.12792</v>
      </c>
      <c r="M75" s="102">
        <v>24.021419999999999</v>
      </c>
      <c r="N75" s="102">
        <v>22.791899999999998</v>
      </c>
      <c r="O75" s="102">
        <v>19.685400000000001</v>
      </c>
      <c r="P75" s="35" t="s">
        <v>1591</v>
      </c>
      <c r="Q75" s="35" t="s">
        <v>1598</v>
      </c>
      <c r="R75" s="35" t="s">
        <v>1599</v>
      </c>
      <c r="S75" s="102">
        <v>17.409600000000001</v>
      </c>
      <c r="T75" s="102">
        <v>14.303100000000001</v>
      </c>
      <c r="U75" s="35" t="s">
        <v>1634</v>
      </c>
      <c r="V75" s="35" t="s">
        <v>1627</v>
      </c>
      <c r="W75" s="102">
        <v>112.5</v>
      </c>
      <c r="X75" s="102">
        <v>109.3935</v>
      </c>
      <c r="Y75" s="102">
        <v>24</v>
      </c>
      <c r="Z75" s="35" t="s">
        <v>1593</v>
      </c>
      <c r="AA75">
        <f>VLOOKUP(A75,Cover!A:R,18,0)</f>
        <v>6.8</v>
      </c>
      <c r="AB75" s="77">
        <f t="shared" si="0"/>
        <v>17.221419999999998</v>
      </c>
      <c r="AC75" s="77">
        <f t="shared" si="1"/>
        <v>12.885400000000001</v>
      </c>
      <c r="AD75" s="77">
        <f t="shared" si="2"/>
        <v>63.482272138814913</v>
      </c>
      <c r="AE75" s="77">
        <f t="shared" si="3"/>
        <v>56.53499708229679</v>
      </c>
      <c r="AF75" s="77">
        <f t="shared" si="4"/>
        <v>7.5031000000000008</v>
      </c>
      <c r="AG75" s="77">
        <f t="shared" si="5"/>
        <v>43.097486444260639</v>
      </c>
      <c r="AH75" s="77">
        <f t="shared" si="6"/>
        <v>112.5</v>
      </c>
      <c r="AI75" s="77">
        <f t="shared" si="7"/>
        <v>3.1065</v>
      </c>
      <c r="AJ75" s="77">
        <f t="shared" si="8"/>
        <v>109.3935</v>
      </c>
      <c r="AK75" s="77">
        <f t="shared" si="9"/>
        <v>6.8</v>
      </c>
      <c r="AL75" s="77">
        <f t="shared" si="10"/>
        <v>102.59350000000001</v>
      </c>
      <c r="AM75" s="77">
        <f t="shared" si="11"/>
        <v>91.194222222222223</v>
      </c>
      <c r="AO75" t="s">
        <v>1651</v>
      </c>
      <c r="AP75" t="str">
        <f t="shared" ref="AP75:AP142" si="63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4">IFERROR(LEFT(R75,FIND("(",R75,1)-1),R75)</f>
        <v>DDm85-25</v>
      </c>
    </row>
    <row r="76" spans="1:53">
      <c r="A76" s="35" t="s">
        <v>92</v>
      </c>
      <c r="B76" s="35" t="s">
        <v>1636</v>
      </c>
      <c r="C76" s="35" t="s">
        <v>1735</v>
      </c>
      <c r="D76" s="35" t="s">
        <v>1585</v>
      </c>
      <c r="E76" s="35" t="s">
        <v>998</v>
      </c>
      <c r="F76" s="35" t="s">
        <v>1684</v>
      </c>
      <c r="G76" s="102">
        <v>55</v>
      </c>
      <c r="H76" s="102">
        <v>23</v>
      </c>
      <c r="I76" s="102">
        <v>296</v>
      </c>
      <c r="J76" s="102">
        <v>16.132000000000001</v>
      </c>
      <c r="K76" s="103">
        <v>45223</v>
      </c>
      <c r="L76" s="102">
        <v>52.756</v>
      </c>
      <c r="M76" s="102">
        <v>36.624000000000002</v>
      </c>
      <c r="N76" s="102">
        <v>33.244999999999997</v>
      </c>
      <c r="O76" s="102">
        <v>17.113</v>
      </c>
      <c r="P76" s="35" t="s">
        <v>1588</v>
      </c>
      <c r="Q76" s="35" t="s">
        <v>1598</v>
      </c>
      <c r="R76" s="35" t="s">
        <v>1609</v>
      </c>
      <c r="S76" s="102">
        <v>53.330399999999997</v>
      </c>
      <c r="T76" s="102">
        <v>37.198399999999999</v>
      </c>
      <c r="U76" s="35" t="s">
        <v>1610</v>
      </c>
      <c r="V76" s="35" t="s">
        <v>1670</v>
      </c>
      <c r="W76" s="102">
        <v>90</v>
      </c>
      <c r="X76" s="102">
        <v>73.867999999999995</v>
      </c>
      <c r="Y76" s="102">
        <v>17</v>
      </c>
      <c r="Z76" s="35" t="s">
        <v>1593</v>
      </c>
      <c r="AA76">
        <f>VLOOKUP(A76,Cover!A:R,18,0)</f>
        <v>16.5</v>
      </c>
      <c r="AB76" s="77">
        <f t="shared" si="0"/>
        <v>20.124000000000002</v>
      </c>
      <c r="AC76" s="77">
        <f t="shared" si="1"/>
        <v>0.61299999999999955</v>
      </c>
      <c r="AD76" s="77">
        <f t="shared" si="2"/>
        <v>38.145424217150655</v>
      </c>
      <c r="AE76" s="77">
        <f t="shared" si="3"/>
        <v>1.8438862986915314</v>
      </c>
      <c r="AF76" s="77">
        <f t="shared" si="4"/>
        <v>20.698399999999999</v>
      </c>
      <c r="AG76" s="77">
        <f t="shared" si="5"/>
        <v>38.811634639905193</v>
      </c>
      <c r="AH76" s="346">
        <f>AVERAGE(W76:W77)</f>
        <v>90</v>
      </c>
      <c r="AI76" s="346">
        <f>SUM(J76:J77)</f>
        <v>32.481999999999999</v>
      </c>
      <c r="AJ76" s="346">
        <f t="shared" si="8"/>
        <v>57.518000000000001</v>
      </c>
      <c r="AK76" s="346">
        <f>SUM(AA76:AA77)</f>
        <v>16.5</v>
      </c>
      <c r="AL76" s="346">
        <f t="shared" si="10"/>
        <v>41.018000000000001</v>
      </c>
      <c r="AM76" s="346">
        <f t="shared" si="11"/>
        <v>45.575555555555553</v>
      </c>
      <c r="AO76" t="s">
        <v>1651</v>
      </c>
      <c r="AP76" t="str">
        <f t="shared" si="63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4"/>
        <v>DDm125-33</v>
      </c>
    </row>
    <row r="77" spans="1:53">
      <c r="A77" s="35" t="s">
        <v>93</v>
      </c>
      <c r="B77" s="35" t="s">
        <v>1636</v>
      </c>
      <c r="C77" s="35" t="s">
        <v>1735</v>
      </c>
      <c r="D77" s="35" t="s">
        <v>1585</v>
      </c>
      <c r="E77" s="35" t="s">
        <v>998</v>
      </c>
      <c r="F77" s="35" t="s">
        <v>1684</v>
      </c>
      <c r="G77" s="102">
        <v>55</v>
      </c>
      <c r="H77" s="102">
        <v>23</v>
      </c>
      <c r="I77" s="102">
        <v>300</v>
      </c>
      <c r="J77" s="102">
        <v>16.350000000000001</v>
      </c>
      <c r="K77" s="103">
        <v>45223</v>
      </c>
      <c r="L77" s="102">
        <v>52.756</v>
      </c>
      <c r="M77" s="102">
        <v>36.405999999999999</v>
      </c>
      <c r="N77" s="102">
        <v>33.244999999999997</v>
      </c>
      <c r="O77" s="102">
        <v>16.895</v>
      </c>
      <c r="P77" s="35" t="s">
        <v>1588</v>
      </c>
      <c r="Q77" s="35" t="s">
        <v>1598</v>
      </c>
      <c r="R77" s="35" t="s">
        <v>1609</v>
      </c>
      <c r="S77" s="102">
        <v>53.330399999999997</v>
      </c>
      <c r="T77" s="102">
        <v>36.980400000000003</v>
      </c>
      <c r="U77" s="35" t="s">
        <v>1610</v>
      </c>
      <c r="V77" s="35" t="s">
        <v>1670</v>
      </c>
      <c r="W77" s="102">
        <v>90</v>
      </c>
      <c r="X77" s="102">
        <v>73.650000000000006</v>
      </c>
      <c r="Y77" s="102">
        <v>17</v>
      </c>
      <c r="Z77" s="35" t="s">
        <v>1593</v>
      </c>
      <c r="AA77">
        <f>VLOOKUP(A77,Cover!A:R,18,0)</f>
        <v>0</v>
      </c>
      <c r="AB77" s="77">
        <f t="shared" ref="AB77" si="65">M77-AA77</f>
        <v>36.405999999999999</v>
      </c>
      <c r="AC77" s="77">
        <f t="shared" ref="AC77" si="66">O77-AA77</f>
        <v>16.895</v>
      </c>
      <c r="AD77" s="77">
        <f t="shared" ref="AD77" si="67">AB77/L77%</f>
        <v>69.008264462809905</v>
      </c>
      <c r="AE77" s="77">
        <f t="shared" ref="AE77" si="68">AC77/N77%</f>
        <v>50.819672131147541</v>
      </c>
      <c r="AF77" s="77">
        <f t="shared" ref="AF77" si="69">T77-AA77</f>
        <v>36.980400000000003</v>
      </c>
      <c r="AG77" s="77">
        <f t="shared" ref="AG77" si="70">AF77/S77%</f>
        <v>69.342063813509753</v>
      </c>
      <c r="AH77" s="346"/>
      <c r="AI77" s="346"/>
      <c r="AJ77" s="346"/>
      <c r="AK77" s="346"/>
      <c r="AL77" s="346"/>
      <c r="AM77" s="346"/>
      <c r="AO77" t="s">
        <v>1651</v>
      </c>
      <c r="AP77" t="str">
        <f t="shared" ref="AP77" si="71">TRIM(BA77)</f>
        <v>DDm125-33</v>
      </c>
      <c r="BA77" t="str">
        <f t="shared" si="64"/>
        <v>DDm125-33</v>
      </c>
    </row>
    <row r="78" spans="1:53">
      <c r="A78" s="35" t="s">
        <v>94</v>
      </c>
      <c r="B78" s="35" t="s">
        <v>1624</v>
      </c>
      <c r="C78" s="35" t="s">
        <v>1736</v>
      </c>
      <c r="D78" s="35" t="s">
        <v>1680</v>
      </c>
      <c r="E78" s="35" t="s">
        <v>1737</v>
      </c>
      <c r="F78" s="35" t="s">
        <v>1738</v>
      </c>
      <c r="G78" s="102">
        <v>37.5</v>
      </c>
      <c r="H78" s="102">
        <v>8</v>
      </c>
      <c r="I78" s="102">
        <v>84</v>
      </c>
      <c r="J78" s="102">
        <v>4.5780000000000003</v>
      </c>
      <c r="K78" s="103">
        <v>45323</v>
      </c>
      <c r="L78" s="102">
        <v>11.445</v>
      </c>
      <c r="M78" s="102">
        <v>6.867</v>
      </c>
      <c r="N78" s="102">
        <v>9.5647500000000001</v>
      </c>
      <c r="O78" s="102">
        <v>4.9867499999999998</v>
      </c>
      <c r="P78" s="35" t="s">
        <v>1592</v>
      </c>
      <c r="Q78" s="35" t="s">
        <v>1616</v>
      </c>
      <c r="R78" s="35" t="s">
        <v>1739</v>
      </c>
      <c r="S78" s="102">
        <v>8.9639999999999702</v>
      </c>
      <c r="T78" s="102">
        <v>4.3859999999999699</v>
      </c>
      <c r="U78" s="35" t="s">
        <v>1591</v>
      </c>
      <c r="V78" s="35" t="s">
        <v>1740</v>
      </c>
      <c r="W78" s="102">
        <v>10.5</v>
      </c>
      <c r="X78" s="102">
        <v>5.9219999999999997</v>
      </c>
      <c r="Y78" s="102">
        <v>7</v>
      </c>
      <c r="Z78" s="35" t="s">
        <v>1593</v>
      </c>
      <c r="AA78">
        <f>VLOOKUP(A78,Cover!A:R,18,0)</f>
        <v>0</v>
      </c>
      <c r="AB78" s="77">
        <f t="shared" ref="AB78:AB144" si="72">M78-AA78</f>
        <v>6.867</v>
      </c>
      <c r="AC78" s="77">
        <f t="shared" ref="AC78:AC144" si="73">O78-AA78</f>
        <v>4.9867499999999998</v>
      </c>
      <c r="AD78" s="77">
        <f t="shared" ref="AD78:AD144" si="74">AB78/L78%</f>
        <v>60</v>
      </c>
      <c r="AE78" s="77">
        <f t="shared" ref="AE78:AE144" si="75">AC78/N78%</f>
        <v>52.136752136752136</v>
      </c>
      <c r="AF78" s="77">
        <f t="shared" ref="AF78:AF144" si="76">T78-AA78</f>
        <v>4.3859999999999699</v>
      </c>
      <c r="AG78" s="77">
        <f t="shared" ref="AG78:AG144" si="77">AF78/S78%</f>
        <v>48.929049531458993</v>
      </c>
      <c r="AH78" s="77">
        <f t="shared" ref="AH78:AH139" si="78">W78</f>
        <v>10.5</v>
      </c>
      <c r="AI78" s="77">
        <f t="shared" ref="AI78:AI140" si="79">J78</f>
        <v>4.5780000000000003</v>
      </c>
      <c r="AJ78" s="77">
        <f t="shared" ref="AJ78:AJ143" si="80">AH78-AI78</f>
        <v>5.9219999999999997</v>
      </c>
      <c r="AK78" s="77">
        <f t="shared" ref="AK78:AK140" si="81">AA78</f>
        <v>0</v>
      </c>
      <c r="AL78" s="77">
        <f t="shared" ref="AL78:AL143" si="82">AJ78-AK78</f>
        <v>5.9219999999999997</v>
      </c>
      <c r="AM78" s="77">
        <f t="shared" ref="AM78:AM143" si="83">AL78/AH78%</f>
        <v>56.4</v>
      </c>
      <c r="AO78" t="s">
        <v>1594</v>
      </c>
      <c r="AP78" t="str">
        <f t="shared" si="63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4"/>
        <v>12V105F</v>
      </c>
    </row>
    <row r="79" spans="1:53">
      <c r="A79" s="35" t="s">
        <v>95</v>
      </c>
      <c r="B79" s="35" t="s">
        <v>1672</v>
      </c>
      <c r="C79" s="35" t="s">
        <v>1741</v>
      </c>
      <c r="D79" s="35" t="s">
        <v>1680</v>
      </c>
      <c r="E79" s="35" t="s">
        <v>1140</v>
      </c>
      <c r="F79" s="35" t="s">
        <v>1587</v>
      </c>
      <c r="G79" s="102">
        <v>36.6</v>
      </c>
      <c r="H79" s="102">
        <v>9</v>
      </c>
      <c r="I79" s="102">
        <v>116</v>
      </c>
      <c r="J79" s="102">
        <v>6.3220000000000001</v>
      </c>
      <c r="K79" s="103">
        <v>45323</v>
      </c>
      <c r="L79" s="102">
        <v>12.766080000000001</v>
      </c>
      <c r="M79" s="102">
        <v>6.4440799999999996</v>
      </c>
      <c r="N79" s="102">
        <v>9.4720999999999993</v>
      </c>
      <c r="O79" s="102">
        <v>3.1501000000000001</v>
      </c>
      <c r="P79" s="35" t="s">
        <v>1591</v>
      </c>
      <c r="Q79" s="35" t="s">
        <v>1598</v>
      </c>
      <c r="R79" s="35" t="s">
        <v>1626</v>
      </c>
      <c r="S79" s="102">
        <v>10.1088</v>
      </c>
      <c r="T79" s="102">
        <v>3.78679999999998</v>
      </c>
      <c r="U79" s="35" t="s">
        <v>1588</v>
      </c>
      <c r="V79" s="35" t="s">
        <v>1742</v>
      </c>
      <c r="W79" s="102">
        <v>30</v>
      </c>
      <c r="X79" s="102">
        <v>23.678000000000001</v>
      </c>
      <c r="Y79" s="102">
        <v>8</v>
      </c>
      <c r="Z79" s="35" t="s">
        <v>1593</v>
      </c>
      <c r="AA79">
        <f>VLOOKUP(A79,Cover!A:R,18,0)</f>
        <v>2</v>
      </c>
      <c r="AB79" s="77">
        <f t="shared" si="72"/>
        <v>4.4440799999999996</v>
      </c>
      <c r="AC79" s="77">
        <f t="shared" si="73"/>
        <v>1.1501000000000001</v>
      </c>
      <c r="AD79" s="77">
        <f t="shared" si="74"/>
        <v>34.811625808392229</v>
      </c>
      <c r="AE79" s="77">
        <f t="shared" si="75"/>
        <v>12.141974852461441</v>
      </c>
      <c r="AF79" s="77">
        <f t="shared" si="76"/>
        <v>1.78679999999998</v>
      </c>
      <c r="AG79" s="77">
        <f t="shared" si="77"/>
        <v>17.675688509021644</v>
      </c>
      <c r="AH79" s="77">
        <f t="shared" si="78"/>
        <v>30</v>
      </c>
      <c r="AI79" s="77">
        <f t="shared" si="79"/>
        <v>6.3220000000000001</v>
      </c>
      <c r="AJ79" s="77">
        <f t="shared" si="80"/>
        <v>23.678000000000001</v>
      </c>
      <c r="AK79" s="77">
        <f t="shared" si="81"/>
        <v>2</v>
      </c>
      <c r="AL79" s="77">
        <f t="shared" si="82"/>
        <v>21.678000000000001</v>
      </c>
      <c r="AM79" s="77">
        <f t="shared" si="83"/>
        <v>72.260000000000005</v>
      </c>
      <c r="AO79" t="s">
        <v>1594</v>
      </c>
      <c r="AP79" t="str">
        <f t="shared" si="63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4"/>
        <v>2DDm85-15</v>
      </c>
    </row>
    <row r="80" spans="1:53">
      <c r="A80" s="35" t="s">
        <v>96</v>
      </c>
      <c r="B80" s="35" t="s">
        <v>1632</v>
      </c>
      <c r="C80" s="35" t="s">
        <v>1743</v>
      </c>
      <c r="D80" s="35" t="s">
        <v>1585</v>
      </c>
      <c r="E80" s="35" t="s">
        <v>1357</v>
      </c>
      <c r="F80" s="35" t="s">
        <v>1587</v>
      </c>
      <c r="G80" s="102">
        <v>36.6</v>
      </c>
      <c r="H80" s="102">
        <v>17</v>
      </c>
      <c r="I80" s="102">
        <v>56</v>
      </c>
      <c r="J80" s="102">
        <v>3.052</v>
      </c>
      <c r="K80" s="103">
        <v>45294</v>
      </c>
      <c r="L80" s="102">
        <v>25.532160000000001</v>
      </c>
      <c r="M80" s="102">
        <v>22.480160000000001</v>
      </c>
      <c r="N80" s="102">
        <v>20.7972</v>
      </c>
      <c r="O80" s="102">
        <v>17.745200000000001</v>
      </c>
      <c r="P80" s="35" t="s">
        <v>1591</v>
      </c>
      <c r="Q80" s="35" t="s">
        <v>1598</v>
      </c>
      <c r="R80" s="35" t="s">
        <v>1599</v>
      </c>
      <c r="S80" s="102">
        <v>17.409600000000001</v>
      </c>
      <c r="T80" s="102">
        <v>14.3576</v>
      </c>
      <c r="U80" s="35" t="s">
        <v>1603</v>
      </c>
      <c r="V80" s="35" t="s">
        <v>1744</v>
      </c>
      <c r="W80" s="102">
        <v>49.5</v>
      </c>
      <c r="X80" s="102">
        <v>46.448</v>
      </c>
      <c r="Y80" s="102">
        <v>20</v>
      </c>
      <c r="Z80" s="35" t="s">
        <v>1593</v>
      </c>
      <c r="AA80">
        <f>VLOOKUP(A80,Cover!A:R,18,0)</f>
        <v>6.8</v>
      </c>
      <c r="AB80" s="77">
        <f t="shared" si="72"/>
        <v>15.680160000000001</v>
      </c>
      <c r="AC80" s="77">
        <f t="shared" si="73"/>
        <v>10.9452</v>
      </c>
      <c r="AD80" s="77">
        <f t="shared" si="74"/>
        <v>61.413370431643848</v>
      </c>
      <c r="AE80" s="77">
        <f t="shared" si="75"/>
        <v>52.628238416709941</v>
      </c>
      <c r="AF80" s="77">
        <f t="shared" si="76"/>
        <v>7.5575999999999999</v>
      </c>
      <c r="AG80" s="77">
        <f t="shared" si="77"/>
        <v>43.410532120209538</v>
      </c>
      <c r="AH80" s="345">
        <f>AVERAGE(W80:W81)</f>
        <v>49.5</v>
      </c>
      <c r="AI80" s="345">
        <f>SUM(J80:J81)</f>
        <v>4.5235000000000003</v>
      </c>
      <c r="AJ80" s="345">
        <f>AH80-AI80</f>
        <v>44.976500000000001</v>
      </c>
      <c r="AK80" s="345">
        <f>SUM(AA80:AA81)</f>
        <v>13.7</v>
      </c>
      <c r="AL80" s="345">
        <f t="shared" si="82"/>
        <v>31.276500000000002</v>
      </c>
      <c r="AM80" s="346">
        <f t="shared" si="83"/>
        <v>63.184848484848487</v>
      </c>
      <c r="AO80" t="s">
        <v>1651</v>
      </c>
      <c r="AP80" t="str">
        <f t="shared" si="63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4"/>
        <v>DDm85-25</v>
      </c>
    </row>
    <row r="81" spans="1:53">
      <c r="A81" s="35" t="s">
        <v>97</v>
      </c>
      <c r="B81" s="35" t="s">
        <v>1632</v>
      </c>
      <c r="C81" s="35" t="s">
        <v>1743</v>
      </c>
      <c r="D81" s="35" t="s">
        <v>1585</v>
      </c>
      <c r="E81" s="35" t="s">
        <v>1357</v>
      </c>
      <c r="F81" s="35" t="s">
        <v>1587</v>
      </c>
      <c r="G81" s="102">
        <v>36.6</v>
      </c>
      <c r="H81" s="102">
        <v>17</v>
      </c>
      <c r="I81" s="102">
        <v>27</v>
      </c>
      <c r="J81" s="102">
        <v>1.4715</v>
      </c>
      <c r="K81" s="103">
        <v>45294</v>
      </c>
      <c r="L81" s="102">
        <v>25.532160000000001</v>
      </c>
      <c r="M81" s="102">
        <v>24.060659999999999</v>
      </c>
      <c r="N81" s="102">
        <v>20.7972</v>
      </c>
      <c r="O81" s="102">
        <v>19.325700000000001</v>
      </c>
      <c r="P81" s="35" t="s">
        <v>1591</v>
      </c>
      <c r="Q81" s="35" t="s">
        <v>1598</v>
      </c>
      <c r="R81" s="35" t="s">
        <v>1599</v>
      </c>
      <c r="S81" s="102">
        <v>17.409600000000001</v>
      </c>
      <c r="T81" s="102">
        <v>15.9381</v>
      </c>
      <c r="U81" s="35" t="s">
        <v>1603</v>
      </c>
      <c r="V81" s="35" t="s">
        <v>1744</v>
      </c>
      <c r="W81" s="102">
        <v>49.5</v>
      </c>
      <c r="X81" s="102">
        <v>48.028500000000001</v>
      </c>
      <c r="Y81" s="102">
        <v>20</v>
      </c>
      <c r="Z81" s="35" t="s">
        <v>1593</v>
      </c>
      <c r="AA81">
        <f>VLOOKUP(A81,Cover!A:R,18,0)</f>
        <v>6.9</v>
      </c>
      <c r="AB81" s="77">
        <f t="shared" si="72"/>
        <v>17.16066</v>
      </c>
      <c r="AC81" s="77">
        <f t="shared" si="73"/>
        <v>12.425700000000001</v>
      </c>
      <c r="AD81" s="77">
        <f t="shared" ref="AD81" si="84">AB81/L81%</f>
        <v>67.211939765378247</v>
      </c>
      <c r="AE81" s="77">
        <f t="shared" ref="AE81" si="85">AC81/N81%</f>
        <v>59.74698517108073</v>
      </c>
      <c r="AF81" s="77">
        <f t="shared" ref="AF81" si="86">T81-AA81</f>
        <v>9.0381</v>
      </c>
      <c r="AG81" s="77">
        <f t="shared" ref="AG81" si="87">AF81/S81%</f>
        <v>51.914460987041629</v>
      </c>
      <c r="AH81" s="345"/>
      <c r="AI81" s="345"/>
      <c r="AJ81" s="345"/>
      <c r="AK81" s="345"/>
      <c r="AL81" s="345"/>
      <c r="AM81" s="346"/>
      <c r="AO81" t="s">
        <v>1651</v>
      </c>
      <c r="AP81" t="str">
        <f t="shared" si="63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4"/>
        <v>DDm85-25</v>
      </c>
    </row>
    <row r="82" spans="1:53">
      <c r="A82" s="35" t="s">
        <v>98</v>
      </c>
      <c r="B82" s="35" t="s">
        <v>1672</v>
      </c>
      <c r="C82" s="35" t="s">
        <v>1745</v>
      </c>
      <c r="D82" s="35" t="s">
        <v>1629</v>
      </c>
      <c r="E82" s="35" t="s">
        <v>1142</v>
      </c>
      <c r="F82" s="35" t="s">
        <v>1656</v>
      </c>
      <c r="G82" s="102">
        <v>50</v>
      </c>
      <c r="H82" s="102">
        <v>12</v>
      </c>
      <c r="I82" s="102">
        <v>54.7</v>
      </c>
      <c r="J82" s="102">
        <v>2.98115</v>
      </c>
      <c r="K82" s="103">
        <v>44594.708333333299</v>
      </c>
      <c r="L82" s="102">
        <v>23.98</v>
      </c>
      <c r="M82" s="102">
        <v>20.998850000000001</v>
      </c>
      <c r="N82" s="102">
        <v>23.4895</v>
      </c>
      <c r="O82" s="102">
        <v>20.50835</v>
      </c>
      <c r="P82" s="35" t="s">
        <v>1591</v>
      </c>
      <c r="Q82" s="35" t="s">
        <v>1598</v>
      </c>
      <c r="R82" s="35" t="s">
        <v>1626</v>
      </c>
      <c r="S82" s="102">
        <v>10.1088</v>
      </c>
      <c r="T82" s="102">
        <v>7.1276499999999796</v>
      </c>
      <c r="U82" s="35" t="s">
        <v>1603</v>
      </c>
      <c r="V82" s="35" t="s">
        <v>1724</v>
      </c>
      <c r="W82" s="102">
        <v>16.875</v>
      </c>
      <c r="X82" s="102">
        <v>13.89385</v>
      </c>
      <c r="Y82" s="102">
        <v>7</v>
      </c>
      <c r="Z82" s="35" t="s">
        <v>1593</v>
      </c>
      <c r="AA82">
        <f>VLOOKUP(A82,Cover!A:R,18,0)</f>
        <v>0</v>
      </c>
      <c r="AB82" s="77">
        <f t="shared" si="72"/>
        <v>20.998850000000001</v>
      </c>
      <c r="AC82" s="77">
        <f t="shared" si="73"/>
        <v>20.50835</v>
      </c>
      <c r="AD82" s="77">
        <f t="shared" si="74"/>
        <v>87.568181818181813</v>
      </c>
      <c r="AE82" s="77">
        <f t="shared" si="75"/>
        <v>87.30858468677495</v>
      </c>
      <c r="AF82" s="77">
        <f t="shared" si="76"/>
        <v>7.1276499999999796</v>
      </c>
      <c r="AG82" s="77">
        <f t="shared" si="77"/>
        <v>70.509358182969081</v>
      </c>
      <c r="AH82" s="77">
        <f t="shared" si="78"/>
        <v>16.875</v>
      </c>
      <c r="AI82" s="77">
        <f t="shared" si="79"/>
        <v>2.98115</v>
      </c>
      <c r="AJ82" s="77">
        <f t="shared" si="80"/>
        <v>13.89385</v>
      </c>
      <c r="AK82" s="77">
        <f t="shared" si="81"/>
        <v>0</v>
      </c>
      <c r="AL82" s="77">
        <f t="shared" si="82"/>
        <v>13.89385</v>
      </c>
      <c r="AM82" s="77">
        <f t="shared" si="83"/>
        <v>82.333925925925925</v>
      </c>
      <c r="AO82" t="s">
        <v>1594</v>
      </c>
      <c r="AP82" t="str">
        <f t="shared" si="63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4"/>
        <v>2DDm85-15</v>
      </c>
    </row>
    <row r="83" spans="1:53">
      <c r="A83" s="35" t="s">
        <v>99</v>
      </c>
      <c r="B83" s="35" t="s">
        <v>1672</v>
      </c>
      <c r="C83" s="35" t="s">
        <v>1745</v>
      </c>
      <c r="D83" s="35" t="s">
        <v>1585</v>
      </c>
      <c r="E83" s="35" t="s">
        <v>1144</v>
      </c>
      <c r="F83" s="35" t="s">
        <v>1587</v>
      </c>
      <c r="G83" s="102">
        <v>36.6</v>
      </c>
      <c r="H83" s="102">
        <v>9</v>
      </c>
      <c r="I83" s="102">
        <v>154</v>
      </c>
      <c r="J83" s="102">
        <v>8.3930000000000007</v>
      </c>
      <c r="K83" s="103">
        <v>45323</v>
      </c>
      <c r="L83" s="102">
        <v>12.766080000000001</v>
      </c>
      <c r="M83" s="102">
        <v>4.3730799999999999</v>
      </c>
      <c r="N83" s="102">
        <v>9.4720999999999993</v>
      </c>
      <c r="O83" s="102">
        <v>1.0790999999999999</v>
      </c>
      <c r="P83" s="35" t="s">
        <v>1591</v>
      </c>
      <c r="Q83" s="35" t="s">
        <v>1598</v>
      </c>
      <c r="R83" s="35" t="s">
        <v>1626</v>
      </c>
      <c r="S83" s="102">
        <v>10.1088</v>
      </c>
      <c r="T83" s="102">
        <v>1.71579999999998</v>
      </c>
      <c r="U83" s="35" t="s">
        <v>1591</v>
      </c>
      <c r="V83" s="35" t="s">
        <v>1746</v>
      </c>
      <c r="W83" s="102">
        <v>18.75</v>
      </c>
      <c r="X83" s="102">
        <v>10.356999999999999</v>
      </c>
      <c r="Y83" s="102">
        <v>51</v>
      </c>
      <c r="Z83" s="35" t="s">
        <v>1593</v>
      </c>
      <c r="AA83">
        <f>VLOOKUP(A83,Cover!A:R,18,0)</f>
        <v>4</v>
      </c>
      <c r="AB83" s="77">
        <f t="shared" si="72"/>
        <v>0.37307999999999986</v>
      </c>
      <c r="AC83" s="77">
        <f t="shared" si="73"/>
        <v>-2.9209000000000001</v>
      </c>
      <c r="AD83" s="77">
        <f t="shared" si="74"/>
        <v>2.9224319446533298</v>
      </c>
      <c r="AE83" s="77">
        <f t="shared" si="75"/>
        <v>-30.836878833627178</v>
      </c>
      <c r="AF83" s="77">
        <f t="shared" si="76"/>
        <v>-2.2842000000000198</v>
      </c>
      <c r="AG83" s="77">
        <f t="shared" si="77"/>
        <v>-22.596153846154039</v>
      </c>
      <c r="AH83" s="77">
        <f t="shared" si="78"/>
        <v>18.75</v>
      </c>
      <c r="AI83" s="77">
        <f t="shared" si="79"/>
        <v>8.3930000000000007</v>
      </c>
      <c r="AJ83" s="77">
        <f t="shared" si="80"/>
        <v>10.356999999999999</v>
      </c>
      <c r="AK83" s="77">
        <f t="shared" si="81"/>
        <v>4</v>
      </c>
      <c r="AL83" s="77">
        <f t="shared" si="82"/>
        <v>6.3569999999999993</v>
      </c>
      <c r="AM83" s="77">
        <f t="shared" si="83"/>
        <v>33.903999999999996</v>
      </c>
      <c r="AO83" t="s">
        <v>1594</v>
      </c>
      <c r="AP83" t="str">
        <f t="shared" si="63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4"/>
        <v>2DDm85-15</v>
      </c>
    </row>
    <row r="84" spans="1:53">
      <c r="A84" s="35" t="s">
        <v>100</v>
      </c>
      <c r="B84" s="35" t="s">
        <v>1607</v>
      </c>
      <c r="C84" s="35" t="s">
        <v>1747</v>
      </c>
      <c r="D84" s="35" t="s">
        <v>1580</v>
      </c>
      <c r="E84" s="35" t="s">
        <v>1748</v>
      </c>
      <c r="F84" s="35" t="s">
        <v>1597</v>
      </c>
      <c r="G84" s="102">
        <v>75</v>
      </c>
      <c r="H84" s="102">
        <v>28</v>
      </c>
      <c r="I84" s="102">
        <v>900</v>
      </c>
      <c r="J84" s="102">
        <v>49.05</v>
      </c>
      <c r="K84" s="103">
        <v>45127</v>
      </c>
      <c r="L84" s="102">
        <v>88.29</v>
      </c>
      <c r="M84" s="102">
        <v>39.24</v>
      </c>
      <c r="N84" s="102">
        <v>66.762500000000003</v>
      </c>
      <c r="O84" s="102">
        <v>17.712499999999999</v>
      </c>
      <c r="P84" s="35" t="s">
        <v>1608</v>
      </c>
      <c r="Q84" s="35" t="s">
        <v>1598</v>
      </c>
      <c r="R84" s="35" t="s">
        <v>1661</v>
      </c>
      <c r="S84" s="102">
        <v>70.308000000000007</v>
      </c>
      <c r="T84" s="102">
        <v>21.257999999999999</v>
      </c>
      <c r="U84" s="35" t="s">
        <v>1588</v>
      </c>
      <c r="V84" s="35" t="s">
        <v>1606</v>
      </c>
      <c r="W84" s="102">
        <v>45</v>
      </c>
      <c r="X84" s="102">
        <v>-4.05</v>
      </c>
      <c r="Y84" s="102">
        <v>6</v>
      </c>
      <c r="Z84" s="35" t="s">
        <v>8</v>
      </c>
      <c r="AA84">
        <f>VLOOKUP(A84,Cover!A:R,18,0)</f>
        <v>3</v>
      </c>
      <c r="AB84" s="77">
        <f t="shared" si="72"/>
        <v>36.24</v>
      </c>
      <c r="AC84" s="77">
        <f t="shared" si="73"/>
        <v>14.712499999999999</v>
      </c>
      <c r="AD84" s="77">
        <f t="shared" si="74"/>
        <v>41.046551138294262</v>
      </c>
      <c r="AE84" s="77">
        <f t="shared" si="75"/>
        <v>22.03707170941771</v>
      </c>
      <c r="AF84" s="77">
        <f t="shared" si="76"/>
        <v>18.257999999999999</v>
      </c>
      <c r="AG84" s="77">
        <f t="shared" si="77"/>
        <v>25.96859532343403</v>
      </c>
      <c r="AH84" s="77">
        <f>'Multiroom cooling'!F7</f>
        <v>72</v>
      </c>
      <c r="AI84" s="77">
        <f t="shared" si="79"/>
        <v>49.05</v>
      </c>
      <c r="AJ84" s="77">
        <f t="shared" si="80"/>
        <v>22.950000000000003</v>
      </c>
      <c r="AK84" s="77">
        <f t="shared" si="81"/>
        <v>3</v>
      </c>
      <c r="AL84" s="77">
        <f t="shared" si="82"/>
        <v>19.950000000000003</v>
      </c>
      <c r="AM84" s="77">
        <f t="shared" si="83"/>
        <v>27.708333333333339</v>
      </c>
      <c r="AN84" s="52" t="s">
        <v>1580</v>
      </c>
      <c r="AO84" t="s">
        <v>1594</v>
      </c>
      <c r="AP84" t="str">
        <f t="shared" si="63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4"/>
        <v>DDm100-33</v>
      </c>
    </row>
    <row r="85" spans="1:53">
      <c r="A85" s="35" t="s">
        <v>101</v>
      </c>
      <c r="B85" s="35" t="s">
        <v>1636</v>
      </c>
      <c r="C85" s="35" t="s">
        <v>1749</v>
      </c>
      <c r="D85" s="35" t="s">
        <v>1585</v>
      </c>
      <c r="E85" s="35" t="s">
        <v>1003</v>
      </c>
      <c r="F85" s="35" t="s">
        <v>1587</v>
      </c>
      <c r="G85" s="102">
        <v>36.6</v>
      </c>
      <c r="H85" s="102">
        <v>19</v>
      </c>
      <c r="I85" s="102">
        <v>225</v>
      </c>
      <c r="J85" s="102">
        <v>12.262499999999999</v>
      </c>
      <c r="K85" s="103">
        <v>44530.708333333299</v>
      </c>
      <c r="L85" s="102">
        <v>28.723680000000002</v>
      </c>
      <c r="M85" s="102">
        <v>16.461179999999999</v>
      </c>
      <c r="N85" s="102">
        <v>23.740200000000002</v>
      </c>
      <c r="O85" s="102">
        <v>11.4777</v>
      </c>
      <c r="P85" s="35" t="s">
        <v>1591</v>
      </c>
      <c r="Q85" s="35" t="s">
        <v>1642</v>
      </c>
      <c r="R85" s="35" t="s">
        <v>1649</v>
      </c>
      <c r="S85" s="102">
        <v>25.012799999999999</v>
      </c>
      <c r="T85" s="102">
        <v>12.750299999999999</v>
      </c>
      <c r="U85" s="35" t="s">
        <v>1634</v>
      </c>
      <c r="V85" s="35" t="s">
        <v>1750</v>
      </c>
      <c r="W85" s="102">
        <v>32.25</v>
      </c>
      <c r="X85" s="102">
        <v>19.987500000000001</v>
      </c>
      <c r="Y85" s="102">
        <v>18</v>
      </c>
      <c r="Z85" s="35" t="s">
        <v>1593</v>
      </c>
      <c r="AA85">
        <f>VLOOKUP(A85,Cover!A:R,18,0)</f>
        <v>1</v>
      </c>
      <c r="AB85" s="77">
        <f t="shared" si="72"/>
        <v>15.461179999999999</v>
      </c>
      <c r="AC85" s="77">
        <f t="shared" si="73"/>
        <v>10.4777</v>
      </c>
      <c r="AD85" s="77">
        <f t="shared" si="74"/>
        <v>53.827295109818792</v>
      </c>
      <c r="AE85" s="77">
        <f t="shared" si="75"/>
        <v>44.134843008904731</v>
      </c>
      <c r="AF85" s="77">
        <f t="shared" si="76"/>
        <v>11.750299999999999</v>
      </c>
      <c r="AG85" s="77">
        <f t="shared" si="77"/>
        <v>46.977147700377408</v>
      </c>
      <c r="AH85" s="77">
        <f t="shared" si="78"/>
        <v>32.25</v>
      </c>
      <c r="AI85" s="77">
        <f t="shared" si="79"/>
        <v>12.262499999999999</v>
      </c>
      <c r="AJ85" s="77">
        <f t="shared" si="80"/>
        <v>19.987500000000001</v>
      </c>
      <c r="AK85" s="77">
        <f t="shared" si="81"/>
        <v>1</v>
      </c>
      <c r="AL85" s="77">
        <f t="shared" si="82"/>
        <v>18.987500000000001</v>
      </c>
      <c r="AM85" s="77">
        <f t="shared" si="83"/>
        <v>58.875968992248062</v>
      </c>
      <c r="AO85" t="s">
        <v>1594</v>
      </c>
      <c r="AP85" t="str">
        <f t="shared" si="63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4"/>
        <v>2SLA1500</v>
      </c>
    </row>
    <row r="86" spans="1:53">
      <c r="A86" s="35" t="s">
        <v>102</v>
      </c>
      <c r="B86" s="35" t="s">
        <v>1624</v>
      </c>
      <c r="C86" s="35" t="s">
        <v>1751</v>
      </c>
      <c r="D86" s="35" t="s">
        <v>1585</v>
      </c>
      <c r="E86" s="35" t="s">
        <v>1473</v>
      </c>
      <c r="F86" s="35" t="s">
        <v>1641</v>
      </c>
      <c r="G86" s="102">
        <v>55</v>
      </c>
      <c r="H86" s="102">
        <v>8</v>
      </c>
      <c r="I86" s="102">
        <v>79</v>
      </c>
      <c r="J86" s="102">
        <v>4.3055000000000003</v>
      </c>
      <c r="K86" s="103">
        <v>45044</v>
      </c>
      <c r="L86" s="102">
        <v>16.786000000000001</v>
      </c>
      <c r="M86" s="102">
        <v>12.480499999999999</v>
      </c>
      <c r="N86" s="102">
        <v>14.62562</v>
      </c>
      <c r="O86" s="102">
        <v>10.320119999999999</v>
      </c>
      <c r="P86" s="35" t="s">
        <v>1588</v>
      </c>
      <c r="Q86" s="35" t="s">
        <v>1589</v>
      </c>
      <c r="R86" s="35" t="s">
        <v>1590</v>
      </c>
      <c r="S86" s="102">
        <v>13.154400000000001</v>
      </c>
      <c r="T86" s="102">
        <v>8.8489000000000093</v>
      </c>
      <c r="U86" s="35" t="s">
        <v>1634</v>
      </c>
      <c r="V86" s="35" t="s">
        <v>1606</v>
      </c>
      <c r="W86" s="102">
        <v>45</v>
      </c>
      <c r="X86" s="102">
        <v>40.694499999999998</v>
      </c>
      <c r="Y86" s="102">
        <v>11</v>
      </c>
      <c r="Z86" s="35" t="s">
        <v>1593</v>
      </c>
      <c r="AA86">
        <f>VLOOKUP(A86,Cover!A:R,18,0)</f>
        <v>4.4000000000000004</v>
      </c>
      <c r="AB86" s="77">
        <f t="shared" si="72"/>
        <v>8.0804999999999989</v>
      </c>
      <c r="AC86" s="77">
        <f t="shared" si="73"/>
        <v>5.9201199999999989</v>
      </c>
      <c r="AD86" s="77">
        <f t="shared" si="74"/>
        <v>48.138329560347898</v>
      </c>
      <c r="AE86" s="77">
        <f t="shared" si="75"/>
        <v>40.477737012174515</v>
      </c>
      <c r="AF86" s="77">
        <f t="shared" si="76"/>
        <v>4.448900000000009</v>
      </c>
      <c r="AG86" s="77">
        <f t="shared" si="77"/>
        <v>33.820622757404436</v>
      </c>
      <c r="AH86" s="77">
        <f t="shared" si="78"/>
        <v>45</v>
      </c>
      <c r="AI86" s="77">
        <f t="shared" si="79"/>
        <v>4.3055000000000003</v>
      </c>
      <c r="AJ86" s="77">
        <f t="shared" si="80"/>
        <v>40.694499999999998</v>
      </c>
      <c r="AK86" s="77">
        <f t="shared" si="81"/>
        <v>4.4000000000000004</v>
      </c>
      <c r="AL86" s="77">
        <f t="shared" si="82"/>
        <v>36.294499999999999</v>
      </c>
      <c r="AM86" s="77">
        <f t="shared" si="83"/>
        <v>80.654444444444437</v>
      </c>
      <c r="AO86" t="s">
        <v>1594</v>
      </c>
      <c r="AP86" t="str">
        <f t="shared" si="63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4"/>
        <v>EN480-2</v>
      </c>
    </row>
    <row r="87" spans="1:53">
      <c r="A87" s="35" t="s">
        <v>103</v>
      </c>
      <c r="B87" s="35" t="s">
        <v>1595</v>
      </c>
      <c r="C87" s="35" t="s">
        <v>1752</v>
      </c>
      <c r="D87" s="35" t="s">
        <v>1680</v>
      </c>
      <c r="E87" s="35" t="s">
        <v>1753</v>
      </c>
      <c r="F87" s="35" t="s">
        <v>1587</v>
      </c>
      <c r="G87" s="102">
        <v>36.6</v>
      </c>
      <c r="H87" s="102">
        <v>8</v>
      </c>
      <c r="I87" s="102">
        <v>114</v>
      </c>
      <c r="J87" s="102">
        <v>6.2130000000000001</v>
      </c>
      <c r="K87" s="103">
        <v>45323</v>
      </c>
      <c r="L87" s="102">
        <v>11.17032</v>
      </c>
      <c r="M87" s="102">
        <v>4.9573200000000002</v>
      </c>
      <c r="N87" s="102">
        <v>11.510400000000001</v>
      </c>
      <c r="O87" s="102">
        <v>5.2973999999999997</v>
      </c>
      <c r="P87" s="35" t="s">
        <v>1588</v>
      </c>
      <c r="Q87" s="35" t="s">
        <v>1598</v>
      </c>
      <c r="R87" s="35" t="s">
        <v>1754</v>
      </c>
      <c r="S87" s="102">
        <v>11.689920000000001</v>
      </c>
      <c r="T87" s="102">
        <v>5.4769199999999696</v>
      </c>
      <c r="U87" s="35" t="s">
        <v>1591</v>
      </c>
      <c r="V87" s="35" t="s">
        <v>1740</v>
      </c>
      <c r="W87" s="102">
        <v>10.5</v>
      </c>
      <c r="X87" s="102">
        <v>4.2869999999999999</v>
      </c>
      <c r="Y87" s="102">
        <v>47</v>
      </c>
      <c r="Z87" s="35" t="s">
        <v>1593</v>
      </c>
      <c r="AA87">
        <f>VLOOKUP(A87,Cover!A:R,18,0)</f>
        <v>2</v>
      </c>
      <c r="AB87" s="77">
        <f t="shared" si="72"/>
        <v>2.9573200000000002</v>
      </c>
      <c r="AC87" s="77">
        <f t="shared" si="73"/>
        <v>3.2973999999999997</v>
      </c>
      <c r="AD87" s="77">
        <f t="shared" si="74"/>
        <v>26.47480108000487</v>
      </c>
      <c r="AE87" s="77">
        <f t="shared" si="75"/>
        <v>28.647136502641082</v>
      </c>
      <c r="AF87" s="77">
        <f t="shared" si="76"/>
        <v>3.4769199999999696</v>
      </c>
      <c r="AG87" s="77">
        <f t="shared" si="77"/>
        <v>29.742889600612916</v>
      </c>
      <c r="AH87" s="77">
        <f t="shared" si="78"/>
        <v>10.5</v>
      </c>
      <c r="AI87" s="77">
        <f t="shared" si="79"/>
        <v>6.2130000000000001</v>
      </c>
      <c r="AJ87" s="77">
        <f t="shared" si="80"/>
        <v>4.2869999999999999</v>
      </c>
      <c r="AK87" s="77">
        <f t="shared" si="81"/>
        <v>2</v>
      </c>
      <c r="AL87" s="77">
        <f t="shared" si="82"/>
        <v>2.2869999999999999</v>
      </c>
      <c r="AM87" s="77">
        <f t="shared" si="83"/>
        <v>21.780952380952382</v>
      </c>
      <c r="AO87" t="s">
        <v>1594</v>
      </c>
      <c r="AP87" t="str">
        <f t="shared" si="63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4"/>
        <v xml:space="preserve">SBS XL 150F-FT </v>
      </c>
    </row>
    <row r="88" spans="1:53">
      <c r="A88" s="35" t="s">
        <v>104</v>
      </c>
      <c r="B88" s="35" t="s">
        <v>1595</v>
      </c>
      <c r="C88" s="35" t="s">
        <v>1752</v>
      </c>
      <c r="D88" s="35" t="s">
        <v>1585</v>
      </c>
      <c r="E88" s="35" t="s">
        <v>1755</v>
      </c>
      <c r="F88" s="35" t="s">
        <v>1615</v>
      </c>
      <c r="G88" s="102">
        <v>22</v>
      </c>
      <c r="H88" s="102">
        <v>6</v>
      </c>
      <c r="I88" s="102">
        <v>33</v>
      </c>
      <c r="J88" s="102">
        <v>1.7985</v>
      </c>
      <c r="K88" s="103">
        <v>44445.381944444402</v>
      </c>
      <c r="L88" s="102">
        <v>4.7960000000000003</v>
      </c>
      <c r="M88" s="102">
        <v>2.9975000000000001</v>
      </c>
      <c r="N88" s="102">
        <v>5.8315000000000001</v>
      </c>
      <c r="O88" s="102">
        <v>4.0330000000000004</v>
      </c>
      <c r="P88" s="35" t="s">
        <v>1588</v>
      </c>
      <c r="Q88" s="35" t="s">
        <v>1598</v>
      </c>
      <c r="R88" s="35" t="s">
        <v>1756</v>
      </c>
      <c r="S88" s="102">
        <v>2.8252799999999998</v>
      </c>
      <c r="T88" s="102">
        <v>1.02678</v>
      </c>
      <c r="U88" s="35" t="s">
        <v>1591</v>
      </c>
      <c r="V88" s="35" t="s">
        <v>1592</v>
      </c>
      <c r="W88" s="102">
        <v>7.5</v>
      </c>
      <c r="X88" s="102">
        <v>5.7015000000000002</v>
      </c>
      <c r="Y88" s="102">
        <v>0</v>
      </c>
      <c r="Z88" s="35" t="s">
        <v>1593</v>
      </c>
      <c r="AA88">
        <f>VLOOKUP(A88,Cover!A:R,18,0)</f>
        <v>0</v>
      </c>
      <c r="AB88" s="77">
        <f t="shared" si="72"/>
        <v>2.9975000000000001</v>
      </c>
      <c r="AC88" s="77">
        <f t="shared" si="73"/>
        <v>4.0330000000000004</v>
      </c>
      <c r="AD88" s="77">
        <f t="shared" si="74"/>
        <v>62.5</v>
      </c>
      <c r="AE88" s="77">
        <f t="shared" si="75"/>
        <v>69.158878504672899</v>
      </c>
      <c r="AF88" s="77">
        <f t="shared" si="76"/>
        <v>1.02678</v>
      </c>
      <c r="AG88" s="77">
        <f t="shared" si="77"/>
        <v>36.342592592592595</v>
      </c>
      <c r="AH88" s="77">
        <f t="shared" si="78"/>
        <v>7.5</v>
      </c>
      <c r="AI88" s="77">
        <f t="shared" si="79"/>
        <v>1.7985</v>
      </c>
      <c r="AJ88" s="77">
        <f t="shared" si="80"/>
        <v>5.7015000000000002</v>
      </c>
      <c r="AK88" s="77">
        <f t="shared" si="81"/>
        <v>0</v>
      </c>
      <c r="AL88" s="77">
        <f t="shared" si="82"/>
        <v>5.7015000000000002</v>
      </c>
      <c r="AM88" s="77">
        <f t="shared" si="83"/>
        <v>76.02000000000001</v>
      </c>
      <c r="AO88" t="s">
        <v>1594</v>
      </c>
      <c r="AP88" t="str">
        <f t="shared" si="63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4"/>
        <v>SBS 12V100F</v>
      </c>
    </row>
    <row r="89" spans="1:53">
      <c r="A89" s="35" t="s">
        <v>105</v>
      </c>
      <c r="B89" s="35" t="s">
        <v>1672</v>
      </c>
      <c r="C89" s="35" t="s">
        <v>1757</v>
      </c>
      <c r="D89" s="35" t="s">
        <v>1585</v>
      </c>
      <c r="E89" s="35" t="s">
        <v>1149</v>
      </c>
      <c r="F89" s="35" t="s">
        <v>1597</v>
      </c>
      <c r="G89" s="102">
        <v>75</v>
      </c>
      <c r="H89" s="102">
        <v>6</v>
      </c>
      <c r="I89" s="102">
        <v>48</v>
      </c>
      <c r="J89" s="102">
        <v>2.6160000000000001</v>
      </c>
      <c r="K89" s="103">
        <v>45323</v>
      </c>
      <c r="L89" s="102">
        <v>16.350000000000001</v>
      </c>
      <c r="M89" s="102">
        <v>13.734</v>
      </c>
      <c r="N89" s="102">
        <v>16.7315</v>
      </c>
      <c r="O89" s="102">
        <v>14.115500000000001</v>
      </c>
      <c r="P89" s="35" t="s">
        <v>1603</v>
      </c>
      <c r="Q89" s="35" t="s">
        <v>1616</v>
      </c>
      <c r="R89" s="35" t="s">
        <v>1758</v>
      </c>
      <c r="S89" s="102">
        <v>6.6009600000000201</v>
      </c>
      <c r="T89" s="102">
        <v>3.9849600000000098</v>
      </c>
      <c r="U89" s="35" t="s">
        <v>1588</v>
      </c>
      <c r="V89" s="35" t="s">
        <v>1592</v>
      </c>
      <c r="W89" s="102">
        <v>7.5</v>
      </c>
      <c r="X89" s="102">
        <v>4.8840000000000003</v>
      </c>
      <c r="Y89" s="102">
        <v>3</v>
      </c>
      <c r="Z89" s="35" t="s">
        <v>1593</v>
      </c>
      <c r="AA89">
        <f>VLOOKUP(A89,Cover!A:R,18,0)</f>
        <v>0</v>
      </c>
      <c r="AB89" s="77">
        <f t="shared" si="72"/>
        <v>13.734</v>
      </c>
      <c r="AC89" s="77">
        <f t="shared" si="73"/>
        <v>14.115500000000001</v>
      </c>
      <c r="AD89" s="77">
        <f t="shared" si="74"/>
        <v>84</v>
      </c>
      <c r="AE89" s="77">
        <f t="shared" si="75"/>
        <v>84.364820846905545</v>
      </c>
      <c r="AF89" s="77">
        <f t="shared" si="76"/>
        <v>3.9849600000000098</v>
      </c>
      <c r="AG89" s="77">
        <f t="shared" si="77"/>
        <v>60.36940081442696</v>
      </c>
      <c r="AH89" s="77">
        <f t="shared" si="78"/>
        <v>7.5</v>
      </c>
      <c r="AI89" s="77">
        <f t="shared" si="79"/>
        <v>2.6160000000000001</v>
      </c>
      <c r="AJ89" s="77">
        <f t="shared" si="80"/>
        <v>4.8840000000000003</v>
      </c>
      <c r="AK89" s="77">
        <f t="shared" si="81"/>
        <v>0</v>
      </c>
      <c r="AL89" s="77">
        <f t="shared" si="82"/>
        <v>4.8840000000000003</v>
      </c>
      <c r="AM89" s="77">
        <f t="shared" si="83"/>
        <v>65.12</v>
      </c>
      <c r="AO89" t="s">
        <v>1594</v>
      </c>
      <c r="AP89" t="str">
        <f t="shared" si="63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4"/>
        <v>12v170FS</v>
      </c>
    </row>
    <row r="90" spans="1:53">
      <c r="A90" s="35" t="s">
        <v>106</v>
      </c>
      <c r="B90" s="35" t="s">
        <v>1653</v>
      </c>
      <c r="C90" s="35" t="s">
        <v>1759</v>
      </c>
      <c r="D90" s="35" t="s">
        <v>1629</v>
      </c>
      <c r="E90" s="35" t="s">
        <v>1760</v>
      </c>
      <c r="F90" s="35" t="s">
        <v>1656</v>
      </c>
      <c r="G90" s="102">
        <v>50</v>
      </c>
      <c r="H90" s="102">
        <v>5</v>
      </c>
      <c r="I90" s="102">
        <v>40</v>
      </c>
      <c r="J90" s="102">
        <v>2.1800000000000002</v>
      </c>
      <c r="K90" s="103">
        <v>44574.541666666701</v>
      </c>
      <c r="L90" s="102">
        <v>8.7200000000000006</v>
      </c>
      <c r="M90" s="102">
        <v>6.54</v>
      </c>
      <c r="N90" s="102">
        <v>8.2840000000000007</v>
      </c>
      <c r="O90" s="102">
        <v>6.1040000000000001</v>
      </c>
      <c r="P90" s="35" t="s">
        <v>1634</v>
      </c>
      <c r="Q90" s="35" t="s">
        <v>1616</v>
      </c>
      <c r="R90" s="35" t="s">
        <v>1698</v>
      </c>
      <c r="S90" s="102">
        <v>5.8579200000000098</v>
      </c>
      <c r="T90" s="102">
        <v>3.6779200000000101</v>
      </c>
      <c r="U90" s="35" t="s">
        <v>1591</v>
      </c>
      <c r="V90" s="35" t="s">
        <v>1692</v>
      </c>
      <c r="W90" s="102">
        <v>11.25</v>
      </c>
      <c r="X90" s="102">
        <v>9.07</v>
      </c>
      <c r="Y90" s="102">
        <v>1</v>
      </c>
      <c r="Z90" s="35" t="s">
        <v>1593</v>
      </c>
      <c r="AA90">
        <f>VLOOKUP(A90,Cover!A:R,18,0)</f>
        <v>0</v>
      </c>
      <c r="AB90" s="77">
        <f t="shared" si="72"/>
        <v>6.54</v>
      </c>
      <c r="AC90" s="77">
        <f t="shared" si="73"/>
        <v>6.1040000000000001</v>
      </c>
      <c r="AD90" s="77">
        <f t="shared" si="74"/>
        <v>75</v>
      </c>
      <c r="AE90" s="77">
        <f t="shared" si="75"/>
        <v>73.68421052631578</v>
      </c>
      <c r="AF90" s="77">
        <f t="shared" si="76"/>
        <v>3.6779200000000101</v>
      </c>
      <c r="AG90" s="77">
        <f t="shared" si="77"/>
        <v>62.785425543537706</v>
      </c>
      <c r="AH90" s="77">
        <f t="shared" si="78"/>
        <v>11.25</v>
      </c>
      <c r="AI90" s="77">
        <f t="shared" si="79"/>
        <v>2.1800000000000002</v>
      </c>
      <c r="AJ90" s="77">
        <f t="shared" si="80"/>
        <v>9.07</v>
      </c>
      <c r="AK90" s="77">
        <f t="shared" si="81"/>
        <v>0</v>
      </c>
      <c r="AL90" s="77">
        <f t="shared" si="82"/>
        <v>9.07</v>
      </c>
      <c r="AM90" s="77">
        <f t="shared" si="83"/>
        <v>80.62222222222222</v>
      </c>
      <c r="AO90" t="s">
        <v>1594</v>
      </c>
      <c r="AP90" t="str">
        <f t="shared" si="63"/>
        <v>12V100F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4"/>
        <v>12V100F</v>
      </c>
    </row>
    <row r="91" spans="1:53">
      <c r="A91" s="35" t="s">
        <v>107</v>
      </c>
      <c r="B91" s="35" t="s">
        <v>1607</v>
      </c>
      <c r="C91" s="35" t="s">
        <v>1607</v>
      </c>
      <c r="D91" s="35" t="s">
        <v>1585</v>
      </c>
      <c r="E91" s="35" t="s">
        <v>853</v>
      </c>
      <c r="F91" s="35" t="s">
        <v>1587</v>
      </c>
      <c r="G91" s="102">
        <v>36.6</v>
      </c>
      <c r="H91" s="102">
        <v>49</v>
      </c>
      <c r="I91" s="102">
        <v>1021</v>
      </c>
      <c r="J91" s="102">
        <v>55.644500000000001</v>
      </c>
      <c r="K91" s="103">
        <v>44154</v>
      </c>
      <c r="L91" s="102">
        <v>76.59648</v>
      </c>
      <c r="M91" s="102">
        <v>20.951979999999999</v>
      </c>
      <c r="N91" s="102">
        <v>52.145600000000002</v>
      </c>
      <c r="O91" s="104">
        <v>-3.4988999999999999</v>
      </c>
      <c r="P91" s="35" t="s">
        <v>1603</v>
      </c>
      <c r="Q91" s="35" t="s">
        <v>1598</v>
      </c>
      <c r="R91" s="35" t="s">
        <v>1609</v>
      </c>
      <c r="S91" s="102">
        <v>71.107200000000205</v>
      </c>
      <c r="T91" s="102">
        <v>15.462700000000201</v>
      </c>
      <c r="U91" s="35" t="s">
        <v>1634</v>
      </c>
      <c r="V91" s="35" t="s">
        <v>1761</v>
      </c>
      <c r="W91" s="102">
        <v>150</v>
      </c>
      <c r="X91" s="102">
        <v>94.355500000000006</v>
      </c>
      <c r="Y91" s="102">
        <v>33</v>
      </c>
      <c r="Z91" s="35" t="s">
        <v>1593</v>
      </c>
      <c r="AA91">
        <f>VLOOKUP(A91,Cover!A:R,18,0)</f>
        <v>7.4</v>
      </c>
      <c r="AB91" s="77">
        <f t="shared" si="72"/>
        <v>13.551979999999999</v>
      </c>
      <c r="AC91" s="77">
        <f t="shared" si="73"/>
        <v>-10.898900000000001</v>
      </c>
      <c r="AD91" s="77">
        <f t="shared" si="74"/>
        <v>17.692692927925666</v>
      </c>
      <c r="AE91" s="77">
        <f t="shared" si="75"/>
        <v>-20.900900555368047</v>
      </c>
      <c r="AF91" s="77">
        <f t="shared" si="76"/>
        <v>8.0627000000002003</v>
      </c>
      <c r="AG91" s="77">
        <f t="shared" si="77"/>
        <v>11.338795508753231</v>
      </c>
      <c r="AH91" s="77">
        <f t="shared" si="78"/>
        <v>150</v>
      </c>
      <c r="AI91" s="77">
        <f t="shared" si="79"/>
        <v>55.644500000000001</v>
      </c>
      <c r="AJ91" s="77">
        <f t="shared" si="80"/>
        <v>94.355500000000006</v>
      </c>
      <c r="AK91" s="77">
        <f t="shared" si="81"/>
        <v>7.4</v>
      </c>
      <c r="AL91" s="77">
        <f t="shared" si="82"/>
        <v>86.955500000000001</v>
      </c>
      <c r="AM91" s="77">
        <f t="shared" si="83"/>
        <v>57.970333333333336</v>
      </c>
      <c r="AO91" t="s">
        <v>1594</v>
      </c>
      <c r="AP91" t="str">
        <f t="shared" si="63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4"/>
        <v>DDm125-33</v>
      </c>
    </row>
    <row r="92" spans="1:53">
      <c r="A92" s="35" t="s">
        <v>108</v>
      </c>
      <c r="B92" s="35" t="s">
        <v>1595</v>
      </c>
      <c r="C92" s="35" t="s">
        <v>1762</v>
      </c>
      <c r="D92" s="35" t="s">
        <v>1585</v>
      </c>
      <c r="E92" s="35" t="s">
        <v>1763</v>
      </c>
      <c r="F92" s="35" t="s">
        <v>1587</v>
      </c>
      <c r="G92" s="102">
        <v>36.6</v>
      </c>
      <c r="H92" s="102">
        <v>6</v>
      </c>
      <c r="I92" s="102">
        <v>59</v>
      </c>
      <c r="J92" s="102">
        <v>3.2155</v>
      </c>
      <c r="K92" s="103">
        <v>45323</v>
      </c>
      <c r="L92" s="102">
        <v>7.9787999999999997</v>
      </c>
      <c r="M92" s="102">
        <v>4.7633000000000001</v>
      </c>
      <c r="N92" s="102">
        <v>6.7035</v>
      </c>
      <c r="O92" s="102">
        <v>3.488</v>
      </c>
      <c r="P92" s="35" t="s">
        <v>1634</v>
      </c>
      <c r="Q92" s="35" t="s">
        <v>1598</v>
      </c>
      <c r="R92" s="35" t="s">
        <v>1694</v>
      </c>
      <c r="S92" s="102">
        <v>5.3784000000000001</v>
      </c>
      <c r="T92" s="102">
        <v>2.1629</v>
      </c>
      <c r="U92" s="35" t="s">
        <v>1588</v>
      </c>
      <c r="V92" s="35" t="s">
        <v>1592</v>
      </c>
      <c r="W92" s="102">
        <v>7.5</v>
      </c>
      <c r="X92" s="102">
        <v>4.2845000000000004</v>
      </c>
      <c r="Y92" s="102">
        <v>11</v>
      </c>
      <c r="Z92" s="35" t="s">
        <v>1593</v>
      </c>
      <c r="AA92">
        <f>VLOOKUP(A92,Cover!A:R,18,0)</f>
        <v>0</v>
      </c>
      <c r="AB92" s="77">
        <f t="shared" si="72"/>
        <v>4.7633000000000001</v>
      </c>
      <c r="AC92" s="77">
        <f t="shared" si="73"/>
        <v>3.488</v>
      </c>
      <c r="AD92" s="77">
        <f t="shared" si="74"/>
        <v>59.699453551912569</v>
      </c>
      <c r="AE92" s="77">
        <f t="shared" si="75"/>
        <v>52.032520325203251</v>
      </c>
      <c r="AF92" s="77">
        <f t="shared" si="76"/>
        <v>2.1629</v>
      </c>
      <c r="AG92" s="77">
        <f t="shared" si="77"/>
        <v>40.214561951509744</v>
      </c>
      <c r="AH92" s="77">
        <f t="shared" si="78"/>
        <v>7.5</v>
      </c>
      <c r="AI92" s="77">
        <f t="shared" si="79"/>
        <v>3.2155</v>
      </c>
      <c r="AJ92" s="77">
        <f t="shared" si="80"/>
        <v>4.2844999999999995</v>
      </c>
      <c r="AK92" s="77">
        <f t="shared" si="81"/>
        <v>0</v>
      </c>
      <c r="AL92" s="77">
        <f t="shared" si="82"/>
        <v>4.2844999999999995</v>
      </c>
      <c r="AM92" s="77">
        <f t="shared" si="83"/>
        <v>57.126666666666665</v>
      </c>
      <c r="AO92" t="s">
        <v>1594</v>
      </c>
      <c r="AP92" t="str">
        <f t="shared" si="63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4"/>
        <v xml:space="preserve">12V101F </v>
      </c>
    </row>
    <row r="93" spans="1:53">
      <c r="A93" s="35" t="s">
        <v>109</v>
      </c>
      <c r="B93" s="35" t="s">
        <v>1653</v>
      </c>
      <c r="C93" s="35" t="s">
        <v>1764</v>
      </c>
      <c r="D93" s="35" t="s">
        <v>1585</v>
      </c>
      <c r="E93" s="35" t="s">
        <v>1765</v>
      </c>
      <c r="F93" s="35" t="s">
        <v>1656</v>
      </c>
      <c r="G93" s="102">
        <v>50</v>
      </c>
      <c r="H93" s="102">
        <v>6</v>
      </c>
      <c r="I93" s="102">
        <v>54.76</v>
      </c>
      <c r="J93" s="102">
        <v>2.9844200000000001</v>
      </c>
      <c r="K93" s="103">
        <v>44615.489583333299</v>
      </c>
      <c r="L93" s="102">
        <v>10.9</v>
      </c>
      <c r="M93" s="102">
        <v>7.9155800000000003</v>
      </c>
      <c r="N93" s="102">
        <v>10.355</v>
      </c>
      <c r="O93" s="102">
        <v>7.3705800000000004</v>
      </c>
      <c r="P93" s="35" t="s">
        <v>1591</v>
      </c>
      <c r="Q93" s="35" t="s">
        <v>1598</v>
      </c>
      <c r="R93" s="35" t="s">
        <v>1657</v>
      </c>
      <c r="S93" s="102">
        <v>5.2271999999999998</v>
      </c>
      <c r="T93" s="102">
        <v>2.2427800000000002</v>
      </c>
      <c r="U93" s="35" t="s">
        <v>1591</v>
      </c>
      <c r="V93" s="35" t="s">
        <v>1742</v>
      </c>
      <c r="W93" s="102">
        <v>30</v>
      </c>
      <c r="X93" s="102">
        <v>27.01558</v>
      </c>
      <c r="Y93" s="102">
        <v>67</v>
      </c>
      <c r="Z93" s="35" t="s">
        <v>1593</v>
      </c>
      <c r="AA93">
        <f>VLOOKUP(A93,Cover!A:R,18,0)</f>
        <v>1</v>
      </c>
      <c r="AB93" s="77">
        <f t="shared" si="72"/>
        <v>6.9155800000000003</v>
      </c>
      <c r="AC93" s="77">
        <f t="shared" si="73"/>
        <v>6.3705800000000004</v>
      </c>
      <c r="AD93" s="77">
        <f t="shared" si="74"/>
        <v>63.4456880733945</v>
      </c>
      <c r="AE93" s="77">
        <f t="shared" si="75"/>
        <v>61.52177691936263</v>
      </c>
      <c r="AF93" s="77">
        <f t="shared" si="76"/>
        <v>1.2427800000000002</v>
      </c>
      <c r="AG93" s="77">
        <f t="shared" si="77"/>
        <v>23.77525252525253</v>
      </c>
      <c r="AH93" s="77">
        <f t="shared" si="78"/>
        <v>30</v>
      </c>
      <c r="AI93" s="77">
        <f t="shared" si="79"/>
        <v>2.9844200000000001</v>
      </c>
      <c r="AJ93" s="77">
        <f t="shared" si="80"/>
        <v>27.01558</v>
      </c>
      <c r="AK93" s="77">
        <f t="shared" si="81"/>
        <v>1</v>
      </c>
      <c r="AL93" s="77">
        <f t="shared" si="82"/>
        <v>26.01558</v>
      </c>
      <c r="AM93" s="77">
        <f t="shared" si="83"/>
        <v>86.718600000000009</v>
      </c>
      <c r="AO93" t="s">
        <v>1594</v>
      </c>
      <c r="AP93" t="str">
        <f t="shared" si="63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4"/>
        <v>2DDm50-13</v>
      </c>
    </row>
    <row r="94" spans="1:53">
      <c r="A94" s="35" t="s">
        <v>110</v>
      </c>
      <c r="B94" s="35" t="s">
        <v>1595</v>
      </c>
      <c r="C94" s="35" t="s">
        <v>1766</v>
      </c>
      <c r="D94" s="35" t="s">
        <v>1585</v>
      </c>
      <c r="E94" s="35" t="s">
        <v>1238</v>
      </c>
      <c r="F94" s="35" t="s">
        <v>1587</v>
      </c>
      <c r="G94" s="102">
        <v>36.6</v>
      </c>
      <c r="H94" s="102">
        <v>17</v>
      </c>
      <c r="I94" s="102">
        <v>152</v>
      </c>
      <c r="J94" s="102">
        <v>8.2840000000000007</v>
      </c>
      <c r="K94" s="103">
        <v>45323</v>
      </c>
      <c r="L94" s="102">
        <v>25.532160000000001</v>
      </c>
      <c r="M94" s="102">
        <v>17.248159999999999</v>
      </c>
      <c r="N94" s="102">
        <v>18.944199999999999</v>
      </c>
      <c r="O94" s="102">
        <v>10.6602</v>
      </c>
      <c r="P94" s="35" t="s">
        <v>1603</v>
      </c>
      <c r="Q94" s="35" t="s">
        <v>1598</v>
      </c>
      <c r="R94" s="35" t="s">
        <v>1626</v>
      </c>
      <c r="S94" s="102">
        <v>20.217600000000001</v>
      </c>
      <c r="T94" s="102">
        <v>11.9336</v>
      </c>
      <c r="U94" s="35" t="s">
        <v>1588</v>
      </c>
      <c r="V94" s="35" t="s">
        <v>1600</v>
      </c>
      <c r="W94" s="102">
        <v>22.5</v>
      </c>
      <c r="X94" s="102">
        <v>14.215999999999999</v>
      </c>
      <c r="Y94" s="102">
        <v>17</v>
      </c>
      <c r="Z94" s="35" t="s">
        <v>1593</v>
      </c>
      <c r="AA94">
        <f>VLOOKUP(A94,Cover!A:R,18,0)</f>
        <v>4.7</v>
      </c>
      <c r="AB94" s="77">
        <f t="shared" si="72"/>
        <v>12.548159999999999</v>
      </c>
      <c r="AC94" s="77">
        <f t="shared" si="73"/>
        <v>5.9601999999999995</v>
      </c>
      <c r="AD94" s="77">
        <f t="shared" si="74"/>
        <v>49.146488193713331</v>
      </c>
      <c r="AE94" s="77">
        <f t="shared" si="75"/>
        <v>31.461872235301566</v>
      </c>
      <c r="AF94" s="77">
        <f t="shared" si="76"/>
        <v>7.2336</v>
      </c>
      <c r="AG94" s="77">
        <f t="shared" si="77"/>
        <v>35.778727445394111</v>
      </c>
      <c r="AH94" s="77">
        <f t="shared" si="78"/>
        <v>22.5</v>
      </c>
      <c r="AI94" s="77">
        <f t="shared" si="79"/>
        <v>8.2840000000000007</v>
      </c>
      <c r="AJ94" s="77">
        <f t="shared" si="80"/>
        <v>14.215999999999999</v>
      </c>
      <c r="AK94" s="77">
        <f t="shared" si="81"/>
        <v>4.7</v>
      </c>
      <c r="AL94" s="77">
        <f t="shared" si="82"/>
        <v>9.5159999999999982</v>
      </c>
      <c r="AM94" s="77">
        <f t="shared" si="83"/>
        <v>42.293333333333322</v>
      </c>
      <c r="AO94" t="s">
        <v>1594</v>
      </c>
      <c r="AP94" t="str">
        <f t="shared" si="63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4"/>
        <v>2DDm85-15</v>
      </c>
    </row>
    <row r="95" spans="1:53">
      <c r="A95" s="35" t="s">
        <v>111</v>
      </c>
      <c r="B95" s="35" t="s">
        <v>1595</v>
      </c>
      <c r="C95" s="35" t="s">
        <v>1766</v>
      </c>
      <c r="D95" s="35" t="s">
        <v>1674</v>
      </c>
      <c r="E95" s="35" t="s">
        <v>1240</v>
      </c>
      <c r="F95" s="35" t="s">
        <v>1587</v>
      </c>
      <c r="G95" s="102">
        <v>36.6</v>
      </c>
      <c r="H95" s="102">
        <v>6</v>
      </c>
      <c r="I95" s="102">
        <v>76</v>
      </c>
      <c r="J95" s="102">
        <v>4.1420000000000003</v>
      </c>
      <c r="K95" s="103">
        <v>45323</v>
      </c>
      <c r="L95" s="102">
        <v>7.9787999999999997</v>
      </c>
      <c r="M95" s="102">
        <v>3.8368000000000002</v>
      </c>
      <c r="N95" s="102">
        <v>5.7551996729999999</v>
      </c>
      <c r="O95" s="102">
        <v>1.613199673</v>
      </c>
      <c r="P95" s="35" t="s">
        <v>1634</v>
      </c>
      <c r="Q95" s="35" t="s">
        <v>1616</v>
      </c>
      <c r="R95" s="35" t="s">
        <v>1622</v>
      </c>
      <c r="S95" s="102">
        <v>8.4240000000000297</v>
      </c>
      <c r="T95" s="102">
        <v>4.2820000000000302</v>
      </c>
      <c r="U95" s="35" t="s">
        <v>1591</v>
      </c>
      <c r="V95" s="35" t="s">
        <v>1592</v>
      </c>
      <c r="W95" s="102">
        <v>7.5</v>
      </c>
      <c r="X95" s="102">
        <v>3.3580000000000001</v>
      </c>
      <c r="Y95" s="102">
        <v>0</v>
      </c>
      <c r="Z95" s="35" t="s">
        <v>8</v>
      </c>
      <c r="AA95">
        <f>VLOOKUP(A95,Cover!A:R,18,0)</f>
        <v>0</v>
      </c>
      <c r="AB95" s="77">
        <f t="shared" si="72"/>
        <v>3.8368000000000002</v>
      </c>
      <c r="AC95" s="77">
        <f t="shared" si="73"/>
        <v>1.613199673</v>
      </c>
      <c r="AD95" s="77">
        <f t="shared" si="74"/>
        <v>48.087431693989075</v>
      </c>
      <c r="AE95" s="77">
        <f t="shared" si="75"/>
        <v>28.030298941115472</v>
      </c>
      <c r="AF95" s="77">
        <f t="shared" si="76"/>
        <v>4.2820000000000302</v>
      </c>
      <c r="AG95" s="77">
        <f t="shared" si="77"/>
        <v>50.830959164292672</v>
      </c>
      <c r="AH95" s="77">
        <f t="shared" si="78"/>
        <v>7.5</v>
      </c>
      <c r="AI95" s="77">
        <f t="shared" si="79"/>
        <v>4.1420000000000003</v>
      </c>
      <c r="AJ95" s="77">
        <f t="shared" si="80"/>
        <v>3.3579999999999997</v>
      </c>
      <c r="AK95" s="77">
        <f t="shared" si="81"/>
        <v>0</v>
      </c>
      <c r="AL95" s="77">
        <f t="shared" si="82"/>
        <v>3.3579999999999997</v>
      </c>
      <c r="AM95" s="77">
        <f t="shared" si="83"/>
        <v>44.773333333333333</v>
      </c>
      <c r="AN95" s="52" t="s">
        <v>1580</v>
      </c>
      <c r="AO95" t="s">
        <v>1594</v>
      </c>
      <c r="AP95" t="str">
        <f t="shared" si="63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4"/>
        <v>12V155F</v>
      </c>
    </row>
    <row r="96" spans="1:53">
      <c r="A96" s="35" t="s">
        <v>112</v>
      </c>
      <c r="B96" s="35" t="s">
        <v>1595</v>
      </c>
      <c r="C96" s="35" t="s">
        <v>1767</v>
      </c>
      <c r="D96" s="35" t="s">
        <v>1674</v>
      </c>
      <c r="E96" s="35" t="s">
        <v>1242</v>
      </c>
      <c r="F96" s="35" t="s">
        <v>1587</v>
      </c>
      <c r="G96" s="102">
        <v>36.6</v>
      </c>
      <c r="H96" s="102">
        <v>6</v>
      </c>
      <c r="I96" s="102">
        <v>46</v>
      </c>
      <c r="J96" s="102">
        <v>2.5070000000000001</v>
      </c>
      <c r="K96" s="103">
        <v>45323</v>
      </c>
      <c r="L96" s="102">
        <v>7.9787999999999997</v>
      </c>
      <c r="M96" s="102">
        <v>5.4718</v>
      </c>
      <c r="N96" s="102">
        <v>6.7035</v>
      </c>
      <c r="O96" s="102">
        <v>4.1965000000000003</v>
      </c>
      <c r="P96" s="35" t="s">
        <v>1634</v>
      </c>
      <c r="Q96" s="35" t="s">
        <v>1598</v>
      </c>
      <c r="R96" s="35" t="s">
        <v>1694</v>
      </c>
      <c r="S96" s="102">
        <v>5.3784000000000001</v>
      </c>
      <c r="T96" s="102">
        <v>2.8714</v>
      </c>
      <c r="U96" s="35" t="s">
        <v>1591</v>
      </c>
      <c r="V96" s="35" t="s">
        <v>1618</v>
      </c>
      <c r="W96" s="102">
        <v>5.0250000000000004</v>
      </c>
      <c r="X96" s="102">
        <v>2.5179999999999998</v>
      </c>
      <c r="Y96" s="102">
        <v>2</v>
      </c>
      <c r="Z96" s="35" t="s">
        <v>8</v>
      </c>
      <c r="AA96">
        <f>VLOOKUP(A96,Cover!A:R,18,0)</f>
        <v>0.5</v>
      </c>
      <c r="AB96" s="77">
        <f t="shared" si="72"/>
        <v>4.9718</v>
      </c>
      <c r="AC96" s="77">
        <f t="shared" si="73"/>
        <v>3.6965000000000003</v>
      </c>
      <c r="AD96" s="77">
        <f t="shared" si="74"/>
        <v>62.312628465433399</v>
      </c>
      <c r="AE96" s="77">
        <f t="shared" si="75"/>
        <v>55.142835832028055</v>
      </c>
      <c r="AF96" s="77">
        <f t="shared" si="76"/>
        <v>2.3714</v>
      </c>
      <c r="AG96" s="77">
        <f t="shared" si="77"/>
        <v>44.091179532946605</v>
      </c>
      <c r="AH96" s="77">
        <f t="shared" si="78"/>
        <v>5.0250000000000004</v>
      </c>
      <c r="AI96" s="77">
        <f t="shared" si="79"/>
        <v>2.5070000000000001</v>
      </c>
      <c r="AJ96" s="77">
        <f t="shared" si="80"/>
        <v>2.5180000000000002</v>
      </c>
      <c r="AK96" s="77">
        <f t="shared" si="81"/>
        <v>0.5</v>
      </c>
      <c r="AL96" s="77">
        <f t="shared" si="82"/>
        <v>2.0180000000000002</v>
      </c>
      <c r="AM96" s="77">
        <f t="shared" si="83"/>
        <v>40.159203980099505</v>
      </c>
      <c r="AN96" s="52" t="s">
        <v>1580</v>
      </c>
      <c r="AO96" t="s">
        <v>1594</v>
      </c>
      <c r="AP96" t="str">
        <f t="shared" si="63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4"/>
        <v xml:space="preserve">12V101F </v>
      </c>
    </row>
    <row r="97" spans="1:53">
      <c r="A97" s="35" t="s">
        <v>113</v>
      </c>
      <c r="B97" s="35" t="s">
        <v>1653</v>
      </c>
      <c r="C97" s="35" t="s">
        <v>1768</v>
      </c>
      <c r="D97" s="35" t="s">
        <v>1674</v>
      </c>
      <c r="E97" s="35" t="s">
        <v>1060</v>
      </c>
      <c r="F97" s="35" t="s">
        <v>1597</v>
      </c>
      <c r="G97" s="102">
        <v>75</v>
      </c>
      <c r="H97" s="102">
        <v>7</v>
      </c>
      <c r="I97" s="102">
        <v>180</v>
      </c>
      <c r="J97" s="102">
        <v>9.81</v>
      </c>
      <c r="K97" s="103">
        <v>44602.395833333299</v>
      </c>
      <c r="L97" s="102">
        <v>19.62</v>
      </c>
      <c r="M97" s="102">
        <v>9.81</v>
      </c>
      <c r="N97" s="102">
        <v>11.445</v>
      </c>
      <c r="O97" s="102">
        <v>1.635</v>
      </c>
      <c r="P97" s="35" t="s">
        <v>1591</v>
      </c>
      <c r="Q97" s="35" t="s">
        <v>1598</v>
      </c>
      <c r="R97" s="35" t="s">
        <v>1602</v>
      </c>
      <c r="S97" s="102">
        <v>21.1248</v>
      </c>
      <c r="T97" s="102">
        <v>11.3148</v>
      </c>
      <c r="U97" s="35" t="s">
        <v>1588</v>
      </c>
      <c r="V97" s="35" t="s">
        <v>1769</v>
      </c>
      <c r="W97" s="102">
        <v>19.5</v>
      </c>
      <c r="X97" s="102">
        <v>9.69</v>
      </c>
      <c r="Y97" s="102">
        <v>4</v>
      </c>
      <c r="Z97" s="35" t="s">
        <v>8</v>
      </c>
      <c r="AA97">
        <f>VLOOKUP(A97,Cover!A:R,18,0)</f>
        <v>0</v>
      </c>
      <c r="AB97" s="77">
        <f t="shared" si="72"/>
        <v>9.81</v>
      </c>
      <c r="AC97" s="77">
        <f t="shared" si="73"/>
        <v>1.635</v>
      </c>
      <c r="AD97" s="77">
        <f t="shared" si="74"/>
        <v>50</v>
      </c>
      <c r="AE97" s="77">
        <f t="shared" si="75"/>
        <v>14.285714285714286</v>
      </c>
      <c r="AF97" s="77">
        <f t="shared" si="76"/>
        <v>11.3148</v>
      </c>
      <c r="AG97" s="77">
        <f t="shared" si="77"/>
        <v>53.56169052488071</v>
      </c>
      <c r="AH97" s="77">
        <f t="shared" si="78"/>
        <v>19.5</v>
      </c>
      <c r="AI97" s="77">
        <f t="shared" si="79"/>
        <v>9.81</v>
      </c>
      <c r="AJ97" s="77">
        <f t="shared" si="80"/>
        <v>9.69</v>
      </c>
      <c r="AK97" s="77">
        <f t="shared" si="81"/>
        <v>0</v>
      </c>
      <c r="AL97" s="77">
        <f t="shared" si="82"/>
        <v>9.69</v>
      </c>
      <c r="AM97" s="77">
        <f t="shared" si="83"/>
        <v>49.692307692307686</v>
      </c>
      <c r="AN97" s="52" t="s">
        <v>1580</v>
      </c>
      <c r="AO97" t="s">
        <v>1594</v>
      </c>
      <c r="AP97" t="str">
        <f t="shared" si="63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4"/>
        <v>DDm100-25</v>
      </c>
    </row>
    <row r="98" spans="1:53">
      <c r="A98" s="35" t="s">
        <v>114</v>
      </c>
      <c r="B98" s="35" t="s">
        <v>1632</v>
      </c>
      <c r="C98" s="35" t="s">
        <v>1770</v>
      </c>
      <c r="D98" s="35" t="s">
        <v>1585</v>
      </c>
      <c r="E98" s="35" t="s">
        <v>1368</v>
      </c>
      <c r="F98" s="35" t="s">
        <v>1587</v>
      </c>
      <c r="G98" s="102">
        <v>36.6</v>
      </c>
      <c r="H98" s="102">
        <v>6</v>
      </c>
      <c r="I98" s="102">
        <v>10</v>
      </c>
      <c r="J98" s="102">
        <v>0.54500000000000004</v>
      </c>
      <c r="K98" s="103">
        <v>44553.5</v>
      </c>
      <c r="L98" s="102">
        <v>7.9787999999999997</v>
      </c>
      <c r="M98" s="102">
        <v>7.4337999999999997</v>
      </c>
      <c r="N98" s="102">
        <v>3.7605</v>
      </c>
      <c r="O98" s="102">
        <v>3.2155</v>
      </c>
      <c r="P98" s="35" t="s">
        <v>1634</v>
      </c>
      <c r="Q98" s="35" t="s">
        <v>1616</v>
      </c>
      <c r="R98" s="35" t="s">
        <v>1771</v>
      </c>
      <c r="S98" s="102">
        <v>11.184480000000001</v>
      </c>
      <c r="T98" s="102">
        <v>10.639480000000001</v>
      </c>
      <c r="U98" s="35" t="s">
        <v>1591</v>
      </c>
      <c r="V98" s="35" t="s">
        <v>1592</v>
      </c>
      <c r="W98" s="102">
        <v>7.5</v>
      </c>
      <c r="X98" s="102">
        <v>6.9550000000000001</v>
      </c>
      <c r="Y98" s="102">
        <v>14</v>
      </c>
      <c r="Z98" s="35" t="s">
        <v>1593</v>
      </c>
      <c r="AA98">
        <f>VLOOKUP(A98,Cover!A:R,18,0)</f>
        <v>0</v>
      </c>
      <c r="AB98" s="77">
        <f t="shared" si="72"/>
        <v>7.4337999999999997</v>
      </c>
      <c r="AC98" s="77">
        <f t="shared" si="73"/>
        <v>3.2155</v>
      </c>
      <c r="AD98" s="77">
        <f t="shared" si="74"/>
        <v>93.169398907103826</v>
      </c>
      <c r="AE98" s="77">
        <f t="shared" si="75"/>
        <v>85.507246376811594</v>
      </c>
      <c r="AF98" s="77">
        <f t="shared" si="76"/>
        <v>10.639480000000001</v>
      </c>
      <c r="AG98" s="77">
        <f t="shared" si="77"/>
        <v>95.127176229918604</v>
      </c>
      <c r="AH98" s="77">
        <f t="shared" si="78"/>
        <v>7.5</v>
      </c>
      <c r="AI98" s="77">
        <f t="shared" si="79"/>
        <v>0.54500000000000004</v>
      </c>
      <c r="AJ98" s="77">
        <f t="shared" si="80"/>
        <v>6.9550000000000001</v>
      </c>
      <c r="AK98" s="77">
        <f t="shared" si="81"/>
        <v>0</v>
      </c>
      <c r="AL98" s="77">
        <f t="shared" si="82"/>
        <v>6.9550000000000001</v>
      </c>
      <c r="AM98" s="77">
        <f t="shared" si="83"/>
        <v>92.733333333333334</v>
      </c>
      <c r="AO98" t="s">
        <v>1594</v>
      </c>
      <c r="AP98" t="str">
        <f t="shared" si="63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4"/>
        <v>12V190F</v>
      </c>
    </row>
    <row r="99" spans="1:53">
      <c r="A99" s="35" t="s">
        <v>115</v>
      </c>
      <c r="B99" s="35" t="s">
        <v>1612</v>
      </c>
      <c r="C99" s="35" t="s">
        <v>1772</v>
      </c>
      <c r="D99" s="35" t="s">
        <v>1580</v>
      </c>
      <c r="E99" s="35" t="s">
        <v>1773</v>
      </c>
      <c r="F99" s="35" t="s">
        <v>1774</v>
      </c>
      <c r="G99" s="102">
        <v>37.5</v>
      </c>
      <c r="H99" s="102">
        <v>4</v>
      </c>
      <c r="I99" s="102">
        <v>36</v>
      </c>
      <c r="J99" s="102">
        <v>1.962</v>
      </c>
      <c r="K99" s="103">
        <v>44480.504861111098</v>
      </c>
      <c r="L99" s="102">
        <v>4.9050000000000002</v>
      </c>
      <c r="M99" s="102">
        <v>2.9430000000000001</v>
      </c>
      <c r="N99" s="102">
        <v>5.8042499999999997</v>
      </c>
      <c r="O99" s="102">
        <v>3.8422499999999999</v>
      </c>
      <c r="P99" s="35" t="s">
        <v>1634</v>
      </c>
      <c r="Q99" s="35" t="s">
        <v>1616</v>
      </c>
      <c r="R99" s="35" t="s">
        <v>1617</v>
      </c>
      <c r="S99" s="102">
        <v>5.1840000000000002</v>
      </c>
      <c r="T99" s="102">
        <v>3.222</v>
      </c>
      <c r="U99" s="35" t="s">
        <v>1775</v>
      </c>
      <c r="V99" s="35" t="s">
        <v>1775</v>
      </c>
      <c r="W99" s="102">
        <v>0</v>
      </c>
      <c r="X99" s="102">
        <v>-1.962</v>
      </c>
      <c r="Y99" s="102">
        <v>0</v>
      </c>
      <c r="Z99" s="35" t="s">
        <v>1776</v>
      </c>
      <c r="AA99">
        <f>VLOOKUP(A99,Cover!A:R,18,0)</f>
        <v>4</v>
      </c>
      <c r="AB99" s="77">
        <f t="shared" si="72"/>
        <v>-1.0569999999999999</v>
      </c>
      <c r="AC99" s="77">
        <f t="shared" si="73"/>
        <v>-0.15775000000000006</v>
      </c>
      <c r="AD99" s="77">
        <f t="shared" si="74"/>
        <v>-21.549439347604483</v>
      </c>
      <c r="AE99" s="77">
        <f t="shared" si="75"/>
        <v>-2.7178360683981575</v>
      </c>
      <c r="AF99" s="77">
        <f t="shared" si="76"/>
        <v>-0.77800000000000002</v>
      </c>
      <c r="AG99" s="77">
        <f t="shared" si="77"/>
        <v>-15.007716049382715</v>
      </c>
      <c r="AH99" s="77">
        <f t="shared" si="78"/>
        <v>0</v>
      </c>
      <c r="AI99" s="77">
        <f t="shared" si="79"/>
        <v>1.962</v>
      </c>
      <c r="AJ99" s="77">
        <f t="shared" si="80"/>
        <v>-1.962</v>
      </c>
      <c r="AK99" s="77">
        <f t="shared" si="81"/>
        <v>4</v>
      </c>
      <c r="AL99" s="77">
        <f t="shared" si="82"/>
        <v>-5.9619999999999997</v>
      </c>
      <c r="AM99" s="77" t="e">
        <f>AL99/AH99%</f>
        <v>#DIV/0!</v>
      </c>
      <c r="AN99" s="52" t="s">
        <v>1580</v>
      </c>
      <c r="AO99" t="s">
        <v>1594</v>
      </c>
      <c r="AP99" t="str">
        <f t="shared" si="63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4"/>
        <v>SBS C11F</v>
      </c>
    </row>
    <row r="100" spans="1:53">
      <c r="A100" s="35" t="s">
        <v>116</v>
      </c>
      <c r="B100" s="35" t="s">
        <v>1653</v>
      </c>
      <c r="C100" s="35" t="s">
        <v>1777</v>
      </c>
      <c r="D100" s="35" t="s">
        <v>1585</v>
      </c>
      <c r="E100" s="35" t="s">
        <v>1146</v>
      </c>
      <c r="F100" s="35" t="s">
        <v>1615</v>
      </c>
      <c r="G100" s="102">
        <v>22</v>
      </c>
      <c r="H100" s="102">
        <v>4</v>
      </c>
      <c r="I100" s="102">
        <v>20</v>
      </c>
      <c r="J100" s="102">
        <v>1.0900000000000001</v>
      </c>
      <c r="K100" s="103">
        <v>44879</v>
      </c>
      <c r="L100" s="102">
        <v>2.8776000000000002</v>
      </c>
      <c r="M100" s="102">
        <v>1.7876000000000001</v>
      </c>
      <c r="N100" s="102">
        <v>2.2890000000000001</v>
      </c>
      <c r="O100" s="102">
        <v>1.1990000000000001</v>
      </c>
      <c r="P100" s="35" t="s">
        <v>1588</v>
      </c>
      <c r="Q100" s="35" t="s">
        <v>1616</v>
      </c>
      <c r="R100" s="35" t="s">
        <v>1698</v>
      </c>
      <c r="S100" s="102">
        <v>2.92896</v>
      </c>
      <c r="T100" s="102">
        <v>1.8389599999999999</v>
      </c>
      <c r="U100" s="35" t="s">
        <v>1591</v>
      </c>
      <c r="V100" s="35" t="s">
        <v>1778</v>
      </c>
      <c r="W100" s="102">
        <v>3.375</v>
      </c>
      <c r="X100" s="102">
        <v>2.2850000000000001</v>
      </c>
      <c r="Y100" s="102">
        <v>3</v>
      </c>
      <c r="Z100" s="35" t="s">
        <v>1593</v>
      </c>
      <c r="AA100">
        <f>VLOOKUP(A100,Cover!A:R,18,0)</f>
        <v>1</v>
      </c>
      <c r="AB100" s="77">
        <f t="shared" si="72"/>
        <v>0.78760000000000008</v>
      </c>
      <c r="AC100" s="77">
        <f t="shared" si="73"/>
        <v>0.19900000000000007</v>
      </c>
      <c r="AD100" s="77">
        <f t="shared" si="74"/>
        <v>27.370030581039757</v>
      </c>
      <c r="AE100" s="77">
        <f t="shared" si="75"/>
        <v>8.6937527304499813</v>
      </c>
      <c r="AF100" s="77">
        <f t="shared" si="76"/>
        <v>0.83895999999999993</v>
      </c>
      <c r="AG100" s="77">
        <f t="shared" si="77"/>
        <v>28.643614115590516</v>
      </c>
      <c r="AH100" s="77">
        <f t="shared" si="78"/>
        <v>3.375</v>
      </c>
      <c r="AI100" s="77">
        <f t="shared" si="79"/>
        <v>1.0900000000000001</v>
      </c>
      <c r="AJ100" s="77">
        <f t="shared" si="80"/>
        <v>2.2850000000000001</v>
      </c>
      <c r="AK100" s="77">
        <f t="shared" si="81"/>
        <v>1</v>
      </c>
      <c r="AL100" s="77">
        <f t="shared" si="82"/>
        <v>1.2850000000000001</v>
      </c>
      <c r="AM100" s="77">
        <f t="shared" si="83"/>
        <v>38.074074074074076</v>
      </c>
      <c r="AO100" t="s">
        <v>1594</v>
      </c>
      <c r="AP100" t="str">
        <f t="shared" si="63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4"/>
        <v>12V100F</v>
      </c>
    </row>
    <row r="101" spans="1:53">
      <c r="A101" s="35" t="s">
        <v>117</v>
      </c>
      <c r="B101" s="35" t="s">
        <v>1595</v>
      </c>
      <c r="C101" s="35" t="s">
        <v>1779</v>
      </c>
      <c r="D101" s="35" t="s">
        <v>1585</v>
      </c>
      <c r="E101" s="35" t="s">
        <v>1780</v>
      </c>
      <c r="F101" s="35" t="s">
        <v>1597</v>
      </c>
      <c r="G101" s="102">
        <v>75</v>
      </c>
      <c r="H101" s="102">
        <v>6</v>
      </c>
      <c r="I101" s="102">
        <v>244</v>
      </c>
      <c r="J101" s="102">
        <v>13.298</v>
      </c>
      <c r="K101" s="103">
        <v>44431.5</v>
      </c>
      <c r="L101" s="102">
        <v>16.350000000000001</v>
      </c>
      <c r="M101" s="102">
        <v>3.052</v>
      </c>
      <c r="N101" s="102">
        <v>11.172499999999999</v>
      </c>
      <c r="O101" s="104">
        <v>-2.1255000000000002</v>
      </c>
      <c r="P101" s="35" t="s">
        <v>1591</v>
      </c>
      <c r="Q101" s="35" t="s">
        <v>1598</v>
      </c>
      <c r="R101" s="35" t="s">
        <v>1781</v>
      </c>
      <c r="S101" s="102">
        <v>14.428800000000001</v>
      </c>
      <c r="T101" s="102">
        <v>1.1308</v>
      </c>
      <c r="U101" s="35" t="s">
        <v>1591</v>
      </c>
      <c r="V101" s="35" t="s">
        <v>1592</v>
      </c>
      <c r="W101" s="102">
        <v>7.5</v>
      </c>
      <c r="X101" s="102">
        <v>-5.798</v>
      </c>
      <c r="Y101" s="102">
        <v>0</v>
      </c>
      <c r="Z101" s="35" t="s">
        <v>1593</v>
      </c>
      <c r="AA101">
        <f>VLOOKUP(A101,Cover!A:R,18,0)</f>
        <v>0</v>
      </c>
      <c r="AB101" s="77">
        <f t="shared" si="72"/>
        <v>3.052</v>
      </c>
      <c r="AC101" s="77">
        <f t="shared" si="73"/>
        <v>-2.1255000000000002</v>
      </c>
      <c r="AD101" s="77">
        <f t="shared" si="74"/>
        <v>18.666666666666668</v>
      </c>
      <c r="AE101" s="77">
        <f t="shared" si="75"/>
        <v>-19.024390243902442</v>
      </c>
      <c r="AF101" s="77">
        <f t="shared" si="76"/>
        <v>1.1308</v>
      </c>
      <c r="AG101" s="77">
        <f t="shared" si="77"/>
        <v>7.8371035706365051</v>
      </c>
      <c r="AH101" s="77">
        <f t="shared" si="78"/>
        <v>7.5</v>
      </c>
      <c r="AI101" s="77">
        <f t="shared" si="79"/>
        <v>13.298</v>
      </c>
      <c r="AJ101" s="77">
        <f t="shared" si="80"/>
        <v>-5.798</v>
      </c>
      <c r="AK101" s="77">
        <f t="shared" si="81"/>
        <v>0</v>
      </c>
      <c r="AL101" s="77">
        <f t="shared" si="82"/>
        <v>-5.798</v>
      </c>
      <c r="AM101" s="77">
        <f t="shared" si="83"/>
        <v>-77.306666666666672</v>
      </c>
      <c r="AO101" t="s">
        <v>1594</v>
      </c>
      <c r="AP101" t="str">
        <f t="shared" si="63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4"/>
        <v>DDm85-21</v>
      </c>
    </row>
    <row r="102" spans="1:53">
      <c r="A102" s="35" t="s">
        <v>118</v>
      </c>
      <c r="B102" s="35" t="s">
        <v>1595</v>
      </c>
      <c r="C102" s="35" t="s">
        <v>1779</v>
      </c>
      <c r="D102" s="35" t="s">
        <v>1585</v>
      </c>
      <c r="E102" s="35" t="s">
        <v>1244</v>
      </c>
      <c r="F102" s="35" t="s">
        <v>1587</v>
      </c>
      <c r="G102" s="102">
        <v>36.6</v>
      </c>
      <c r="H102" s="102">
        <v>50</v>
      </c>
      <c r="I102" s="102">
        <v>454</v>
      </c>
      <c r="J102" s="102">
        <v>24.742999999999999</v>
      </c>
      <c r="K102" s="103">
        <v>45323</v>
      </c>
      <c r="L102" s="102">
        <v>78.192239999999998</v>
      </c>
      <c r="M102" s="102">
        <v>53.449240000000003</v>
      </c>
      <c r="N102" s="102">
        <v>54.140300000000003</v>
      </c>
      <c r="O102" s="102">
        <v>29.397300000000001</v>
      </c>
      <c r="P102" s="35" t="s">
        <v>1603</v>
      </c>
      <c r="Q102" s="35" t="s">
        <v>1598</v>
      </c>
      <c r="R102" s="35" t="s">
        <v>1609</v>
      </c>
      <c r="S102" s="102">
        <v>71.107200000000205</v>
      </c>
      <c r="T102" s="102">
        <v>46.364200000000203</v>
      </c>
      <c r="U102" s="35" t="s">
        <v>1648</v>
      </c>
      <c r="V102" s="35" t="s">
        <v>1670</v>
      </c>
      <c r="W102" s="102">
        <v>90</v>
      </c>
      <c r="X102" s="102">
        <v>65.257000000000005</v>
      </c>
      <c r="Y102" s="102">
        <v>4</v>
      </c>
      <c r="Z102" s="35" t="s">
        <v>1593</v>
      </c>
      <c r="AA102">
        <f>VLOOKUP(A102,Cover!A:R,18,0)</f>
        <v>22.349999999999998</v>
      </c>
      <c r="AB102" s="77">
        <f t="shared" si="72"/>
        <v>31.099240000000005</v>
      </c>
      <c r="AC102" s="77">
        <f t="shared" si="73"/>
        <v>7.0473000000000035</v>
      </c>
      <c r="AD102" s="77">
        <f t="shared" si="74"/>
        <v>39.772795868234503</v>
      </c>
      <c r="AE102" s="77">
        <f t="shared" si="75"/>
        <v>13.016736146641231</v>
      </c>
      <c r="AF102" s="77">
        <f t="shared" si="76"/>
        <v>24.014200000000205</v>
      </c>
      <c r="AG102" s="77">
        <f t="shared" si="77"/>
        <v>33.771826200441218</v>
      </c>
      <c r="AH102" s="77">
        <f t="shared" si="78"/>
        <v>90</v>
      </c>
      <c r="AI102" s="77">
        <f t="shared" si="79"/>
        <v>24.742999999999999</v>
      </c>
      <c r="AJ102" s="77">
        <f t="shared" si="80"/>
        <v>65.257000000000005</v>
      </c>
      <c r="AK102" s="77">
        <f t="shared" si="81"/>
        <v>22.349999999999998</v>
      </c>
      <c r="AL102" s="77">
        <f t="shared" si="82"/>
        <v>42.907000000000011</v>
      </c>
      <c r="AM102" s="77">
        <f t="shared" si="83"/>
        <v>47.674444444444454</v>
      </c>
      <c r="AN102" t="s">
        <v>1580</v>
      </c>
      <c r="AO102" t="s">
        <v>1651</v>
      </c>
      <c r="AP102" t="str">
        <f t="shared" si="63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4"/>
        <v>DDm125-33</v>
      </c>
    </row>
    <row r="103" spans="1:53">
      <c r="A103" s="35" t="s">
        <v>119</v>
      </c>
      <c r="B103" s="35" t="s">
        <v>1595</v>
      </c>
      <c r="C103" s="35" t="s">
        <v>1779</v>
      </c>
      <c r="D103" s="35" t="s">
        <v>1585</v>
      </c>
      <c r="E103" s="35" t="s">
        <v>1244</v>
      </c>
      <c r="F103" s="35" t="s">
        <v>1587</v>
      </c>
      <c r="G103" s="102">
        <v>36.6</v>
      </c>
      <c r="H103" s="102">
        <v>50</v>
      </c>
      <c r="I103" s="102">
        <v>506</v>
      </c>
      <c r="J103" s="102">
        <v>27.577000000000002</v>
      </c>
      <c r="K103" s="103">
        <v>45323</v>
      </c>
      <c r="L103" s="102">
        <v>78.192239999999998</v>
      </c>
      <c r="M103" s="102">
        <v>50.61524</v>
      </c>
      <c r="N103" s="102">
        <v>54.140300000000003</v>
      </c>
      <c r="O103" s="102">
        <v>26.563300000000002</v>
      </c>
      <c r="P103" s="35" t="s">
        <v>1603</v>
      </c>
      <c r="Q103" s="35" t="s">
        <v>1598</v>
      </c>
      <c r="R103" s="35" t="s">
        <v>1609</v>
      </c>
      <c r="S103" s="102">
        <v>71.107200000000205</v>
      </c>
      <c r="T103" s="102">
        <v>43.5302000000002</v>
      </c>
      <c r="U103" s="35" t="s">
        <v>1648</v>
      </c>
      <c r="V103" s="35" t="s">
        <v>1670</v>
      </c>
      <c r="W103" s="102">
        <v>90</v>
      </c>
      <c r="X103" s="102">
        <v>62.423000000000002</v>
      </c>
      <c r="Y103" s="102">
        <v>4</v>
      </c>
      <c r="Z103" s="35" t="s">
        <v>1593</v>
      </c>
      <c r="AA103">
        <f>VLOOKUP(A103,Cover!A:R,18,0)</f>
        <v>22.15</v>
      </c>
      <c r="AB103" s="77">
        <f t="shared" si="72"/>
        <v>28.465240000000001</v>
      </c>
      <c r="AC103" s="77">
        <f t="shared" si="73"/>
        <v>4.4133000000000031</v>
      </c>
      <c r="AD103" s="77">
        <f t="shared" si="74"/>
        <v>36.404175145768939</v>
      </c>
      <c r="AE103" s="77">
        <f t="shared" si="75"/>
        <v>8.1515987166676247</v>
      </c>
      <c r="AF103" s="77">
        <f t="shared" si="76"/>
        <v>21.380200000000201</v>
      </c>
      <c r="AG103" s="77">
        <f t="shared" si="77"/>
        <v>30.067559965798317</v>
      </c>
      <c r="AH103" s="77">
        <f t="shared" si="78"/>
        <v>90</v>
      </c>
      <c r="AI103" s="77">
        <f t="shared" si="79"/>
        <v>27.577000000000002</v>
      </c>
      <c r="AJ103" s="77">
        <f t="shared" si="80"/>
        <v>62.423000000000002</v>
      </c>
      <c r="AK103" s="77">
        <f t="shared" si="81"/>
        <v>22.15</v>
      </c>
      <c r="AL103" s="77">
        <f t="shared" si="82"/>
        <v>40.273000000000003</v>
      </c>
      <c r="AM103" s="77">
        <f t="shared" si="83"/>
        <v>44.747777777777777</v>
      </c>
      <c r="AN103" t="s">
        <v>1580</v>
      </c>
      <c r="AO103" t="s">
        <v>1651</v>
      </c>
      <c r="AP103" t="str">
        <f t="shared" si="63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4"/>
        <v>DDm125-33</v>
      </c>
    </row>
    <row r="104" spans="1:53">
      <c r="A104" s="35" t="s">
        <v>120</v>
      </c>
      <c r="B104" s="35" t="s">
        <v>1595</v>
      </c>
      <c r="C104" s="35" t="s">
        <v>1779</v>
      </c>
      <c r="D104" s="35" t="s">
        <v>1580</v>
      </c>
      <c r="E104" s="35" t="s">
        <v>1250</v>
      </c>
      <c r="F104" s="35" t="s">
        <v>1587</v>
      </c>
      <c r="G104" s="102">
        <v>36.6</v>
      </c>
      <c r="H104" s="102">
        <v>42</v>
      </c>
      <c r="I104" s="102">
        <v>438</v>
      </c>
      <c r="J104" s="102">
        <v>23.870999999999999</v>
      </c>
      <c r="K104" s="103">
        <v>45323</v>
      </c>
      <c r="L104" s="102">
        <v>65.426159999999996</v>
      </c>
      <c r="M104" s="102">
        <v>41.555160000000001</v>
      </c>
      <c r="N104" s="102">
        <v>55.213949999999997</v>
      </c>
      <c r="O104" s="102">
        <v>31.342949999999998</v>
      </c>
      <c r="P104" s="35" t="s">
        <v>1588</v>
      </c>
      <c r="Q104" s="35" t="s">
        <v>1598</v>
      </c>
      <c r="R104" s="35" t="s">
        <v>1782</v>
      </c>
      <c r="S104" s="102">
        <v>43.2864</v>
      </c>
      <c r="T104" s="102">
        <v>19.415400000000002</v>
      </c>
      <c r="U104" s="35" t="s">
        <v>1603</v>
      </c>
      <c r="V104" s="35" t="s">
        <v>1686</v>
      </c>
      <c r="W104" s="102">
        <v>67.5</v>
      </c>
      <c r="X104" s="102">
        <v>43.628999999999998</v>
      </c>
      <c r="Y104" s="102">
        <v>31</v>
      </c>
      <c r="Z104" s="35" t="s">
        <v>1542</v>
      </c>
      <c r="AA104">
        <f>VLOOKUP(A104,Cover!A:R,18,0)</f>
        <v>8.7515000000000001</v>
      </c>
      <c r="AB104" s="77">
        <f t="shared" si="72"/>
        <v>32.803660000000001</v>
      </c>
      <c r="AC104" s="77">
        <f t="shared" si="73"/>
        <v>22.591449999999998</v>
      </c>
      <c r="AD104" s="77">
        <f t="shared" si="74"/>
        <v>50.138446150591754</v>
      </c>
      <c r="AE104" s="77">
        <f t="shared" si="75"/>
        <v>40.916199619842445</v>
      </c>
      <c r="AF104" s="77">
        <f t="shared" si="76"/>
        <v>10.663900000000002</v>
      </c>
      <c r="AG104" s="77">
        <f t="shared" si="77"/>
        <v>24.635682339025657</v>
      </c>
      <c r="AH104" s="345">
        <f>AVERAGE(W104:W105)</f>
        <v>67.5</v>
      </c>
      <c r="AI104" s="345">
        <f>SUM(J104:J105)</f>
        <v>63.111000000000004</v>
      </c>
      <c r="AJ104" s="345">
        <f t="shared" si="80"/>
        <v>4.3889999999999958</v>
      </c>
      <c r="AK104" s="345">
        <f>SUM(AA104:AA105)</f>
        <v>15.503</v>
      </c>
      <c r="AL104" s="345">
        <f t="shared" si="82"/>
        <v>-11.114000000000004</v>
      </c>
      <c r="AM104" s="346">
        <f t="shared" si="83"/>
        <v>-16.465185185185192</v>
      </c>
      <c r="AN104" t="s">
        <v>1580</v>
      </c>
      <c r="AO104" t="s">
        <v>1651</v>
      </c>
      <c r="AP104" t="str">
        <f t="shared" si="63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4"/>
        <v>DDm125-27</v>
      </c>
    </row>
    <row r="105" spans="1:53">
      <c r="A105" s="35" t="s">
        <v>121</v>
      </c>
      <c r="B105" s="35" t="s">
        <v>1595</v>
      </c>
      <c r="C105" s="35" t="s">
        <v>1779</v>
      </c>
      <c r="D105" s="35" t="s">
        <v>1580</v>
      </c>
      <c r="E105" s="35" t="s">
        <v>1250</v>
      </c>
      <c r="F105" s="35" t="s">
        <v>1587</v>
      </c>
      <c r="G105" s="102">
        <v>36.6</v>
      </c>
      <c r="H105" s="102">
        <v>42</v>
      </c>
      <c r="I105" s="102">
        <v>720</v>
      </c>
      <c r="J105" s="102">
        <v>39.24</v>
      </c>
      <c r="K105" s="103">
        <v>45323</v>
      </c>
      <c r="L105" s="102">
        <v>65.426159999999996</v>
      </c>
      <c r="M105" s="102">
        <v>26.186160000000001</v>
      </c>
      <c r="N105" s="102">
        <v>55.213949999999997</v>
      </c>
      <c r="O105" s="102">
        <v>15.97395</v>
      </c>
      <c r="P105" s="35" t="s">
        <v>1588</v>
      </c>
      <c r="Q105" s="35" t="s">
        <v>1598</v>
      </c>
      <c r="R105" s="35" t="s">
        <v>1782</v>
      </c>
      <c r="S105" s="102">
        <v>43.2864</v>
      </c>
      <c r="T105" s="102">
        <v>4.0464000000000002</v>
      </c>
      <c r="U105" s="35" t="s">
        <v>1603</v>
      </c>
      <c r="V105" s="35" t="s">
        <v>1686</v>
      </c>
      <c r="W105" s="102">
        <v>67.5</v>
      </c>
      <c r="X105" s="102">
        <v>28.26</v>
      </c>
      <c r="Y105" s="102">
        <v>31</v>
      </c>
      <c r="Z105" s="35" t="s">
        <v>1542</v>
      </c>
      <c r="AA105">
        <f>VLOOKUP(A105,Cover!A:R,18,0)</f>
        <v>6.7515000000000001</v>
      </c>
      <c r="AB105" s="77">
        <f t="shared" si="72"/>
        <v>19.434660000000001</v>
      </c>
      <c r="AC105" s="77">
        <f t="shared" si="73"/>
        <v>9.2224500000000003</v>
      </c>
      <c r="AD105" s="77">
        <f t="shared" si="74"/>
        <v>29.704723615141102</v>
      </c>
      <c r="AE105" s="77">
        <f t="shared" si="75"/>
        <v>16.703115788672971</v>
      </c>
      <c r="AF105" s="77">
        <f t="shared" si="76"/>
        <v>-2.7050999999999998</v>
      </c>
      <c r="AG105" s="77">
        <f t="shared" si="77"/>
        <v>-6.2493069416722102</v>
      </c>
      <c r="AH105" s="345"/>
      <c r="AI105" s="345"/>
      <c r="AJ105" s="345"/>
      <c r="AK105" s="345"/>
      <c r="AL105" s="345"/>
      <c r="AM105" s="346"/>
      <c r="AN105" t="s">
        <v>1580</v>
      </c>
      <c r="AO105" t="s">
        <v>1651</v>
      </c>
      <c r="AP105" t="str">
        <f t="shared" si="63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4"/>
        <v>DDm125-27</v>
      </c>
    </row>
    <row r="106" spans="1:53">
      <c r="A106" s="35" t="s">
        <v>122</v>
      </c>
      <c r="B106" s="35" t="s">
        <v>1595</v>
      </c>
      <c r="C106" s="35" t="s">
        <v>1783</v>
      </c>
      <c r="D106" s="35" t="s">
        <v>1585</v>
      </c>
      <c r="E106" s="35" t="s">
        <v>1784</v>
      </c>
      <c r="F106" s="35" t="s">
        <v>1774</v>
      </c>
      <c r="G106" s="102">
        <v>37.5</v>
      </c>
      <c r="H106" s="102">
        <v>4</v>
      </c>
      <c r="I106" s="102">
        <v>48</v>
      </c>
      <c r="J106" s="102">
        <v>2.6160000000000001</v>
      </c>
      <c r="K106" s="103">
        <v>44564.340277777803</v>
      </c>
      <c r="L106" s="102">
        <v>4.9050000000000002</v>
      </c>
      <c r="M106" s="102">
        <v>2.2890000000000001</v>
      </c>
      <c r="N106" s="102">
        <v>5.8042499999999997</v>
      </c>
      <c r="O106" s="102">
        <v>3.18825</v>
      </c>
      <c r="P106" s="35" t="s">
        <v>1634</v>
      </c>
      <c r="Q106" s="35" t="s">
        <v>1616</v>
      </c>
      <c r="R106" s="35" t="s">
        <v>1617</v>
      </c>
      <c r="S106" s="102">
        <v>5.1840000000000002</v>
      </c>
      <c r="T106" s="102">
        <v>2.5680000000000001</v>
      </c>
      <c r="U106" s="35" t="s">
        <v>1591</v>
      </c>
      <c r="V106" s="35" t="s">
        <v>1618</v>
      </c>
      <c r="W106" s="102">
        <v>5.0250000000000004</v>
      </c>
      <c r="X106" s="102">
        <v>2.4089999999999998</v>
      </c>
      <c r="Y106" s="102">
        <v>3</v>
      </c>
      <c r="Z106" s="35" t="s">
        <v>1593</v>
      </c>
      <c r="AA106">
        <f>VLOOKUP(A106,Cover!A:R,18,0)</f>
        <v>1</v>
      </c>
      <c r="AB106" s="77">
        <f t="shared" si="72"/>
        <v>1.2890000000000001</v>
      </c>
      <c r="AC106" s="77">
        <f t="shared" si="73"/>
        <v>2.18825</v>
      </c>
      <c r="AD106" s="77">
        <f t="shared" si="74"/>
        <v>26.279306829765545</v>
      </c>
      <c r="AE106" s="77">
        <f t="shared" si="75"/>
        <v>37.700822673041309</v>
      </c>
      <c r="AF106" s="77">
        <f t="shared" si="76"/>
        <v>1.5680000000000001</v>
      </c>
      <c r="AG106" s="77">
        <f t="shared" si="77"/>
        <v>30.246913580246911</v>
      </c>
      <c r="AH106" s="77">
        <f t="shared" si="78"/>
        <v>5.0250000000000004</v>
      </c>
      <c r="AI106" s="77">
        <f t="shared" si="79"/>
        <v>2.6160000000000001</v>
      </c>
      <c r="AJ106" s="77">
        <f t="shared" si="80"/>
        <v>2.4090000000000003</v>
      </c>
      <c r="AK106" s="77">
        <f t="shared" si="81"/>
        <v>1</v>
      </c>
      <c r="AL106" s="77">
        <f t="shared" si="82"/>
        <v>1.4090000000000003</v>
      </c>
      <c r="AM106" s="77">
        <f t="shared" si="83"/>
        <v>28.03980099502488</v>
      </c>
      <c r="AO106" t="s">
        <v>1594</v>
      </c>
      <c r="AP106" t="str">
        <f t="shared" si="63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4"/>
        <v>SBS C11F</v>
      </c>
    </row>
    <row r="107" spans="1:53">
      <c r="A107" s="35" t="s">
        <v>123</v>
      </c>
      <c r="B107" s="35" t="s">
        <v>1636</v>
      </c>
      <c r="C107" s="35" t="s">
        <v>1785</v>
      </c>
      <c r="D107" s="35" t="s">
        <v>1585</v>
      </c>
      <c r="E107" s="35" t="s">
        <v>1005</v>
      </c>
      <c r="F107" s="35" t="s">
        <v>1587</v>
      </c>
      <c r="G107" s="102">
        <v>36.6</v>
      </c>
      <c r="H107" s="102">
        <v>9</v>
      </c>
      <c r="I107" s="102">
        <v>49</v>
      </c>
      <c r="J107" s="102">
        <v>2.6705000000000001</v>
      </c>
      <c r="K107" s="103">
        <v>45323</v>
      </c>
      <c r="L107" s="102">
        <v>12.766080000000001</v>
      </c>
      <c r="M107" s="102">
        <v>10.09558</v>
      </c>
      <c r="N107" s="102">
        <v>9.4720999999999993</v>
      </c>
      <c r="O107" s="102">
        <v>6.8015999999999996</v>
      </c>
      <c r="P107" s="35" t="s">
        <v>1591</v>
      </c>
      <c r="Q107" s="35" t="s">
        <v>1598</v>
      </c>
      <c r="R107" s="35" t="s">
        <v>1626</v>
      </c>
      <c r="S107" s="102">
        <v>10.1088</v>
      </c>
      <c r="T107" s="102">
        <v>7.4382999999999804</v>
      </c>
      <c r="U107" s="35" t="s">
        <v>1591</v>
      </c>
      <c r="V107" s="35" t="s">
        <v>1692</v>
      </c>
      <c r="W107" s="102">
        <v>11.25</v>
      </c>
      <c r="X107" s="102">
        <v>8.5794999999999995</v>
      </c>
      <c r="Y107" s="102">
        <v>19</v>
      </c>
      <c r="Z107" s="35" t="s">
        <v>1593</v>
      </c>
      <c r="AA107">
        <f>VLOOKUP(A107,Cover!A:R,18,0)</f>
        <v>1</v>
      </c>
      <c r="AB107" s="77">
        <f t="shared" si="72"/>
        <v>9.09558</v>
      </c>
      <c r="AC107" s="77">
        <f t="shared" si="73"/>
        <v>5.8015999999999996</v>
      </c>
      <c r="AD107" s="77">
        <f t="shared" si="74"/>
        <v>71.248026018950213</v>
      </c>
      <c r="AE107" s="77">
        <f t="shared" si="75"/>
        <v>61.249353364090325</v>
      </c>
      <c r="AF107" s="77">
        <f t="shared" si="76"/>
        <v>6.4382999999999804</v>
      </c>
      <c r="AG107" s="77">
        <f t="shared" si="77"/>
        <v>63.690052231718695</v>
      </c>
      <c r="AH107" s="77">
        <f t="shared" si="78"/>
        <v>11.25</v>
      </c>
      <c r="AI107" s="77">
        <f t="shared" si="79"/>
        <v>2.6705000000000001</v>
      </c>
      <c r="AJ107" s="77">
        <f t="shared" si="80"/>
        <v>8.5794999999999995</v>
      </c>
      <c r="AK107" s="77">
        <f t="shared" si="81"/>
        <v>1</v>
      </c>
      <c r="AL107" s="77">
        <f t="shared" si="82"/>
        <v>7.5794999999999995</v>
      </c>
      <c r="AM107" s="77">
        <f t="shared" si="83"/>
        <v>67.373333333333321</v>
      </c>
      <c r="AO107" t="s">
        <v>1594</v>
      </c>
      <c r="AP107" t="str">
        <f t="shared" si="63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4"/>
        <v>2DDm85-15</v>
      </c>
    </row>
    <row r="108" spans="1:53">
      <c r="A108" s="35" t="s">
        <v>124</v>
      </c>
      <c r="B108" s="35" t="s">
        <v>1632</v>
      </c>
      <c r="C108" s="35" t="s">
        <v>1786</v>
      </c>
      <c r="D108" s="35" t="s">
        <v>1585</v>
      </c>
      <c r="E108" s="35" t="s">
        <v>1370</v>
      </c>
      <c r="F108" s="35" t="s">
        <v>1587</v>
      </c>
      <c r="G108" s="102">
        <v>36.6</v>
      </c>
      <c r="H108" s="102">
        <v>18</v>
      </c>
      <c r="I108" s="102">
        <v>200</v>
      </c>
      <c r="J108" s="102">
        <v>10.9</v>
      </c>
      <c r="K108" s="103">
        <v>44419.5</v>
      </c>
      <c r="L108" s="102">
        <v>27.12792</v>
      </c>
      <c r="M108" s="102">
        <v>16.227920000000001</v>
      </c>
      <c r="N108" s="102">
        <v>19.085899999999999</v>
      </c>
      <c r="O108" s="102">
        <v>8.1859000000000002</v>
      </c>
      <c r="P108" s="35" t="s">
        <v>1591</v>
      </c>
      <c r="Q108" s="35" t="s">
        <v>1598</v>
      </c>
      <c r="R108" s="35" t="s">
        <v>1713</v>
      </c>
      <c r="S108" s="102">
        <v>22.982399999999998</v>
      </c>
      <c r="T108" s="102">
        <v>12.0824</v>
      </c>
      <c r="U108" s="35" t="s">
        <v>1608</v>
      </c>
      <c r="V108" s="35" t="s">
        <v>1787</v>
      </c>
      <c r="W108" s="102">
        <v>50.25</v>
      </c>
      <c r="X108" s="102">
        <v>39.35</v>
      </c>
      <c r="Y108" s="102">
        <v>71</v>
      </c>
      <c r="Z108" s="35" t="s">
        <v>1593</v>
      </c>
      <c r="AA108">
        <f>VLOOKUP(A108,Cover!A:R,18,0)</f>
        <v>3</v>
      </c>
      <c r="AB108" s="77">
        <f t="shared" si="72"/>
        <v>13.227920000000001</v>
      </c>
      <c r="AC108" s="77">
        <f t="shared" si="73"/>
        <v>5.1859000000000002</v>
      </c>
      <c r="AD108" s="77">
        <f t="shared" si="74"/>
        <v>48.761276205473919</v>
      </c>
      <c r="AE108" s="77">
        <f t="shared" si="75"/>
        <v>27.171367344479432</v>
      </c>
      <c r="AF108" s="77">
        <f t="shared" si="76"/>
        <v>9.0823999999999998</v>
      </c>
      <c r="AG108" s="77">
        <f t="shared" si="77"/>
        <v>39.518936229462547</v>
      </c>
      <c r="AH108" s="77">
        <f t="shared" si="78"/>
        <v>50.25</v>
      </c>
      <c r="AI108" s="77">
        <f t="shared" si="79"/>
        <v>10.9</v>
      </c>
      <c r="AJ108" s="77">
        <f t="shared" si="80"/>
        <v>39.35</v>
      </c>
      <c r="AK108" s="77">
        <f t="shared" si="81"/>
        <v>3</v>
      </c>
      <c r="AL108" s="77">
        <f t="shared" si="82"/>
        <v>36.35</v>
      </c>
      <c r="AM108" s="77">
        <f t="shared" si="83"/>
        <v>72.338308457711449</v>
      </c>
      <c r="AO108" t="s">
        <v>1594</v>
      </c>
      <c r="AP108" t="str">
        <f t="shared" si="63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4"/>
        <v>DDm85-33</v>
      </c>
    </row>
    <row r="109" spans="1:53">
      <c r="A109" s="35" t="s">
        <v>125</v>
      </c>
      <c r="B109" s="35" t="s">
        <v>1632</v>
      </c>
      <c r="C109" s="35" t="s">
        <v>1786</v>
      </c>
      <c r="D109" s="35" t="s">
        <v>1585</v>
      </c>
      <c r="E109" s="35" t="s">
        <v>1370</v>
      </c>
      <c r="F109" s="35" t="s">
        <v>1587</v>
      </c>
      <c r="G109" s="102">
        <v>36.6</v>
      </c>
      <c r="H109" s="102">
        <v>16</v>
      </c>
      <c r="I109" s="102">
        <v>13</v>
      </c>
      <c r="J109" s="102">
        <v>0.70850000000000002</v>
      </c>
      <c r="K109" s="103">
        <v>45048</v>
      </c>
      <c r="L109" s="102">
        <v>23.936399999999999</v>
      </c>
      <c r="M109" s="102">
        <v>23.227900000000002</v>
      </c>
      <c r="N109" s="102">
        <v>18.802499999999998</v>
      </c>
      <c r="O109" s="102">
        <v>18.094000000000001</v>
      </c>
      <c r="P109" s="35" t="s">
        <v>1591</v>
      </c>
      <c r="Q109" s="35" t="s">
        <v>1598</v>
      </c>
      <c r="R109" s="35" t="s">
        <v>1599</v>
      </c>
      <c r="S109" s="102">
        <v>17.409600000000001</v>
      </c>
      <c r="T109" s="102">
        <v>16.7011</v>
      </c>
      <c r="U109" s="35" t="s">
        <v>1608</v>
      </c>
      <c r="V109" s="35" t="s">
        <v>1787</v>
      </c>
      <c r="W109" s="102">
        <v>50.25</v>
      </c>
      <c r="X109" s="102">
        <v>49.541499999999999</v>
      </c>
      <c r="Y109" s="102">
        <v>71</v>
      </c>
      <c r="Z109" s="35" t="s">
        <v>1593</v>
      </c>
      <c r="AA109">
        <f>VLOOKUP(A109,Cover!A:R,18,0)</f>
        <v>5.9</v>
      </c>
      <c r="AB109" s="77">
        <f t="shared" ref="AB109" si="88">M109-AA109</f>
        <v>17.3279</v>
      </c>
      <c r="AC109" s="77">
        <f t="shared" ref="AC109" si="89">O109-AA109</f>
        <v>12.194000000000001</v>
      </c>
      <c r="AD109" s="77">
        <f t="shared" ref="AD109" si="90">AB109/L109%</f>
        <v>72.391420597917815</v>
      </c>
      <c r="AE109" s="77">
        <f t="shared" ref="AE109" si="91">AC109/N109%</f>
        <v>64.853078048131906</v>
      </c>
      <c r="AF109" s="77">
        <f t="shared" ref="AF109" si="92">T109-AA109</f>
        <v>10.8011</v>
      </c>
      <c r="AG109" s="77">
        <f t="shared" ref="AG109" si="93">AF109/S109%</f>
        <v>62.041057807186839</v>
      </c>
      <c r="AH109" s="345">
        <f>AVERAGE(W109:W110)</f>
        <v>50.25</v>
      </c>
      <c r="AI109" s="345">
        <f>SUM(J109:J110)</f>
        <v>1.3080000000000001</v>
      </c>
      <c r="AJ109" s="345">
        <f t="shared" ref="AJ109" si="94">AH109-AI109</f>
        <v>48.942</v>
      </c>
      <c r="AK109" s="345">
        <f>SUM(AA109:AA110)</f>
        <v>11.8</v>
      </c>
      <c r="AL109" s="345">
        <f t="shared" ref="AL109" si="95">AJ109-AK109</f>
        <v>37.141999999999996</v>
      </c>
      <c r="AM109" s="346">
        <f t="shared" ref="AM109" si="96">AL109/AH109%</f>
        <v>73.91442786069652</v>
      </c>
      <c r="AO109" s="52" t="s">
        <v>1651</v>
      </c>
      <c r="AP109" t="str">
        <f t="shared" ref="AP109" si="97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4"/>
        <v>DDm85-25</v>
      </c>
    </row>
    <row r="110" spans="1:53">
      <c r="A110" s="35" t="s">
        <v>126</v>
      </c>
      <c r="B110" s="35" t="s">
        <v>1632</v>
      </c>
      <c r="C110" s="35" t="s">
        <v>1786</v>
      </c>
      <c r="D110" s="35" t="s">
        <v>1585</v>
      </c>
      <c r="E110" s="35" t="s">
        <v>1370</v>
      </c>
      <c r="F110" s="35" t="s">
        <v>1587</v>
      </c>
      <c r="G110" s="102">
        <v>36.6</v>
      </c>
      <c r="H110" s="102">
        <v>16</v>
      </c>
      <c r="I110" s="102">
        <v>11</v>
      </c>
      <c r="J110" s="102">
        <v>0.59950000000000003</v>
      </c>
      <c r="K110" s="103">
        <v>45048</v>
      </c>
      <c r="L110" s="102">
        <v>23.936399999999999</v>
      </c>
      <c r="M110" s="102">
        <v>23.3369</v>
      </c>
      <c r="N110" s="102">
        <v>18.802499999999998</v>
      </c>
      <c r="O110" s="102">
        <v>18.202999999999999</v>
      </c>
      <c r="P110" s="35" t="s">
        <v>1591</v>
      </c>
      <c r="Q110" s="35" t="s">
        <v>1598</v>
      </c>
      <c r="R110" s="35" t="s">
        <v>1599</v>
      </c>
      <c r="S110" s="102">
        <v>17.409600000000001</v>
      </c>
      <c r="T110" s="102">
        <v>16.810099999999998</v>
      </c>
      <c r="U110" s="35" t="s">
        <v>1608</v>
      </c>
      <c r="V110" s="35" t="s">
        <v>1787</v>
      </c>
      <c r="W110" s="102">
        <v>50.25</v>
      </c>
      <c r="X110" s="102">
        <v>49.650500000000001</v>
      </c>
      <c r="Y110" s="102">
        <v>71</v>
      </c>
      <c r="Z110" s="35" t="s">
        <v>1593</v>
      </c>
      <c r="AA110">
        <f>VLOOKUP(A110,Cover!A:R,18,0)</f>
        <v>5.9</v>
      </c>
      <c r="AB110" s="77">
        <f t="shared" si="72"/>
        <v>17.436900000000001</v>
      </c>
      <c r="AC110" s="77">
        <f t="shared" si="73"/>
        <v>12.302999999999999</v>
      </c>
      <c r="AD110" s="77">
        <f t="shared" si="74"/>
        <v>72.846794004110905</v>
      </c>
      <c r="AE110" s="77">
        <f t="shared" si="75"/>
        <v>65.432788193059423</v>
      </c>
      <c r="AF110" s="77">
        <f t="shared" si="76"/>
        <v>10.910099999999998</v>
      </c>
      <c r="AG110" s="77">
        <f t="shared" si="77"/>
        <v>62.66714915908463</v>
      </c>
      <c r="AH110" s="345"/>
      <c r="AI110" s="345"/>
      <c r="AJ110" s="345"/>
      <c r="AK110" s="345"/>
      <c r="AL110" s="345"/>
      <c r="AM110" s="346"/>
      <c r="AO110" s="52" t="s">
        <v>1651</v>
      </c>
      <c r="AP110" t="str">
        <f t="shared" si="63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4"/>
        <v>DDm85-25</v>
      </c>
    </row>
    <row r="111" spans="1:53">
      <c r="A111" s="35" t="s">
        <v>127</v>
      </c>
      <c r="B111" s="35" t="s">
        <v>1619</v>
      </c>
      <c r="C111" s="35" t="s">
        <v>1788</v>
      </c>
      <c r="D111" s="35" t="s">
        <v>1585</v>
      </c>
      <c r="E111" s="35" t="s">
        <v>1288</v>
      </c>
      <c r="F111" s="35" t="s">
        <v>1587</v>
      </c>
      <c r="G111" s="102">
        <v>36.6</v>
      </c>
      <c r="H111" s="102">
        <v>20</v>
      </c>
      <c r="I111" s="102">
        <v>145</v>
      </c>
      <c r="J111" s="102">
        <v>7.9024999999999999</v>
      </c>
      <c r="K111" s="103">
        <v>44286.375</v>
      </c>
      <c r="L111" s="102">
        <v>30.31944</v>
      </c>
      <c r="M111" s="102">
        <v>22.41694</v>
      </c>
      <c r="N111" s="102">
        <v>21.549299999999999</v>
      </c>
      <c r="O111" s="102">
        <v>13.646800000000001</v>
      </c>
      <c r="P111" s="35" t="s">
        <v>1591</v>
      </c>
      <c r="Q111" s="35" t="s">
        <v>1598</v>
      </c>
      <c r="R111" s="35" t="s">
        <v>1789</v>
      </c>
      <c r="S111" s="102">
        <v>26.654399999999999</v>
      </c>
      <c r="T111" s="102">
        <v>18.751899999999999</v>
      </c>
      <c r="U111" s="35" t="s">
        <v>1588</v>
      </c>
      <c r="V111" s="35" t="s">
        <v>1600</v>
      </c>
      <c r="W111" s="102">
        <v>22.5</v>
      </c>
      <c r="X111" s="102">
        <v>14.5975</v>
      </c>
      <c r="Y111" s="102">
        <v>19</v>
      </c>
      <c r="Z111" s="35" t="s">
        <v>1593</v>
      </c>
      <c r="AA111">
        <f>VLOOKUP(A111,Cover!A:R,18,0)</f>
        <v>0</v>
      </c>
      <c r="AB111" s="77">
        <f t="shared" si="72"/>
        <v>22.41694</v>
      </c>
      <c r="AC111" s="77">
        <f t="shared" si="73"/>
        <v>13.646800000000001</v>
      </c>
      <c r="AD111" s="77">
        <f t="shared" si="74"/>
        <v>73.935864250790914</v>
      </c>
      <c r="AE111" s="77">
        <f t="shared" si="75"/>
        <v>63.328275164390497</v>
      </c>
      <c r="AF111" s="77">
        <f t="shared" si="76"/>
        <v>18.751899999999999</v>
      </c>
      <c r="AG111" s="77">
        <f t="shared" si="77"/>
        <v>70.351986913980426</v>
      </c>
      <c r="AH111" s="77">
        <f t="shared" si="78"/>
        <v>22.5</v>
      </c>
      <c r="AI111" s="77">
        <f t="shared" si="79"/>
        <v>7.9024999999999999</v>
      </c>
      <c r="AJ111" s="77">
        <f t="shared" si="80"/>
        <v>14.5975</v>
      </c>
      <c r="AK111" s="77">
        <f t="shared" si="81"/>
        <v>0</v>
      </c>
      <c r="AL111" s="77">
        <f t="shared" si="82"/>
        <v>14.5975</v>
      </c>
      <c r="AM111" s="77">
        <f t="shared" si="83"/>
        <v>64.87777777777778</v>
      </c>
      <c r="AO111" t="s">
        <v>1594</v>
      </c>
      <c r="AP111" t="str">
        <f t="shared" si="63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4"/>
        <v>DDm125-25</v>
      </c>
    </row>
    <row r="112" spans="1:53">
      <c r="A112" s="35" t="s">
        <v>128</v>
      </c>
      <c r="B112" s="35" t="s">
        <v>1653</v>
      </c>
      <c r="C112" s="35" t="s">
        <v>1790</v>
      </c>
      <c r="D112" s="35" t="s">
        <v>1585</v>
      </c>
      <c r="E112" s="35" t="s">
        <v>1791</v>
      </c>
      <c r="F112" s="35" t="s">
        <v>1615</v>
      </c>
      <c r="G112" s="102">
        <v>22</v>
      </c>
      <c r="H112" s="102">
        <v>6</v>
      </c>
      <c r="I112" s="102">
        <v>13</v>
      </c>
      <c r="J112" s="102">
        <v>0.70850000000000002</v>
      </c>
      <c r="K112" s="103">
        <v>44700.395833333299</v>
      </c>
      <c r="L112" s="102">
        <v>4.7960000000000003</v>
      </c>
      <c r="M112" s="102">
        <v>4.0875000000000004</v>
      </c>
      <c r="N112" s="102">
        <v>3.8149999999999999</v>
      </c>
      <c r="O112" s="102">
        <v>3.1065</v>
      </c>
      <c r="P112" s="35" t="s">
        <v>1603</v>
      </c>
      <c r="Q112" s="35" t="s">
        <v>1598</v>
      </c>
      <c r="R112" s="35" t="s">
        <v>1756</v>
      </c>
      <c r="S112" s="102">
        <v>3.7670400000000002</v>
      </c>
      <c r="T112" s="102">
        <v>3.0585399999999998</v>
      </c>
      <c r="U112" s="35" t="s">
        <v>1591</v>
      </c>
      <c r="V112" s="35" t="s">
        <v>1618</v>
      </c>
      <c r="W112" s="102">
        <v>5.0250000000000004</v>
      </c>
      <c r="X112" s="102">
        <v>4.3164999999999996</v>
      </c>
      <c r="Y112" s="102">
        <v>6</v>
      </c>
      <c r="Z112" s="35" t="s">
        <v>1593</v>
      </c>
      <c r="AA112">
        <f>VLOOKUP(A112,Cover!A:R,18,0)</f>
        <v>0</v>
      </c>
      <c r="AB112" s="77">
        <f t="shared" si="72"/>
        <v>4.0875000000000004</v>
      </c>
      <c r="AC112" s="77">
        <f t="shared" si="73"/>
        <v>3.1065</v>
      </c>
      <c r="AD112" s="77">
        <f t="shared" si="74"/>
        <v>85.227272727272734</v>
      </c>
      <c r="AE112" s="77">
        <f t="shared" si="75"/>
        <v>81.428571428571431</v>
      </c>
      <c r="AF112" s="77">
        <f t="shared" si="76"/>
        <v>3.0585399999999998</v>
      </c>
      <c r="AG112" s="77">
        <f t="shared" si="77"/>
        <v>81.192129629629619</v>
      </c>
      <c r="AH112" s="77">
        <f t="shared" si="78"/>
        <v>5.0250000000000004</v>
      </c>
      <c r="AI112" s="77">
        <f t="shared" si="79"/>
        <v>0.70850000000000002</v>
      </c>
      <c r="AJ112" s="77">
        <f t="shared" si="80"/>
        <v>4.3165000000000004</v>
      </c>
      <c r="AK112" s="77">
        <f t="shared" si="81"/>
        <v>0</v>
      </c>
      <c r="AL112" s="77">
        <f t="shared" si="82"/>
        <v>4.3165000000000004</v>
      </c>
      <c r="AM112" s="77">
        <f t="shared" si="83"/>
        <v>85.900497512437809</v>
      </c>
      <c r="AO112" t="s">
        <v>1594</v>
      </c>
      <c r="AP112" t="str">
        <f t="shared" si="63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4"/>
        <v>SBS 12V100F</v>
      </c>
    </row>
    <row r="113" spans="1:53">
      <c r="A113" s="35" t="s">
        <v>129</v>
      </c>
      <c r="B113" s="35" t="s">
        <v>1624</v>
      </c>
      <c r="C113" s="35" t="s">
        <v>1792</v>
      </c>
      <c r="D113" s="35" t="s">
        <v>1585</v>
      </c>
      <c r="E113" s="35" t="s">
        <v>1475</v>
      </c>
      <c r="F113" s="35" t="s">
        <v>1587</v>
      </c>
      <c r="G113" s="102">
        <v>36.6</v>
      </c>
      <c r="H113" s="102">
        <v>7</v>
      </c>
      <c r="I113" s="102">
        <v>51</v>
      </c>
      <c r="J113" s="102">
        <v>2.7795000000000001</v>
      </c>
      <c r="K113" s="103">
        <v>45323</v>
      </c>
      <c r="L113" s="102">
        <v>9.57456</v>
      </c>
      <c r="M113" s="102">
        <v>6.7950600000000003</v>
      </c>
      <c r="N113" s="102">
        <v>8.4802</v>
      </c>
      <c r="O113" s="102">
        <v>5.7007000000000003</v>
      </c>
      <c r="P113" s="35" t="s">
        <v>1648</v>
      </c>
      <c r="Q113" s="35" t="s">
        <v>1616</v>
      </c>
      <c r="R113" s="35" t="s">
        <v>1698</v>
      </c>
      <c r="S113" s="102">
        <v>7.8105600000000104</v>
      </c>
      <c r="T113" s="102">
        <v>5.0310600000000099</v>
      </c>
      <c r="U113" s="35" t="s">
        <v>1591</v>
      </c>
      <c r="V113" s="35" t="s">
        <v>1692</v>
      </c>
      <c r="W113" s="102">
        <v>11.25</v>
      </c>
      <c r="X113" s="102">
        <v>8.4704999999999995</v>
      </c>
      <c r="Y113" s="102">
        <v>21</v>
      </c>
      <c r="Z113" s="35" t="s">
        <v>1593</v>
      </c>
      <c r="AA113">
        <f>VLOOKUP(A113,Cover!A:R,18,0)</f>
        <v>0</v>
      </c>
      <c r="AB113" s="77">
        <f t="shared" si="72"/>
        <v>6.7950600000000003</v>
      </c>
      <c r="AC113" s="77">
        <f t="shared" si="73"/>
        <v>5.7007000000000003</v>
      </c>
      <c r="AD113" s="77">
        <f t="shared" si="74"/>
        <v>70.969945355191257</v>
      </c>
      <c r="AE113" s="77">
        <f t="shared" si="75"/>
        <v>67.223650385604117</v>
      </c>
      <c r="AF113" s="77">
        <f t="shared" si="76"/>
        <v>5.0310600000000099</v>
      </c>
      <c r="AG113" s="77">
        <f t="shared" si="77"/>
        <v>64.413563176007898</v>
      </c>
      <c r="AH113" s="77">
        <f t="shared" si="78"/>
        <v>11.25</v>
      </c>
      <c r="AI113" s="77">
        <f t="shared" si="79"/>
        <v>2.7795000000000001</v>
      </c>
      <c r="AJ113" s="77">
        <f t="shared" si="80"/>
        <v>8.4704999999999995</v>
      </c>
      <c r="AK113" s="77">
        <f t="shared" si="81"/>
        <v>0</v>
      </c>
      <c r="AL113" s="77">
        <f t="shared" si="82"/>
        <v>8.4704999999999995</v>
      </c>
      <c r="AM113" s="77">
        <f t="shared" si="83"/>
        <v>75.293333333333322</v>
      </c>
      <c r="AO113" t="s">
        <v>1594</v>
      </c>
      <c r="AP113" t="str">
        <f t="shared" si="63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4"/>
        <v>12V100F</v>
      </c>
    </row>
    <row r="114" spans="1:53">
      <c r="A114" s="35" t="s">
        <v>130</v>
      </c>
      <c r="B114" s="35" t="s">
        <v>1632</v>
      </c>
      <c r="C114" s="35" t="s">
        <v>1793</v>
      </c>
      <c r="D114" s="35" t="s">
        <v>1585</v>
      </c>
      <c r="E114" s="35" t="s">
        <v>1374</v>
      </c>
      <c r="F114" s="35" t="s">
        <v>1587</v>
      </c>
      <c r="G114" s="102">
        <v>36.6</v>
      </c>
      <c r="H114" s="102">
        <v>18</v>
      </c>
      <c r="I114" s="102">
        <v>18</v>
      </c>
      <c r="J114" s="102">
        <v>0.98099999999999998</v>
      </c>
      <c r="K114" s="103">
        <v>45323</v>
      </c>
      <c r="L114" s="102">
        <v>27.12792</v>
      </c>
      <c r="M114" s="102">
        <v>26.146920000000001</v>
      </c>
      <c r="N114" s="102">
        <v>22.791899999999998</v>
      </c>
      <c r="O114" s="102">
        <v>21.8109</v>
      </c>
      <c r="P114" s="35" t="s">
        <v>1591</v>
      </c>
      <c r="Q114" s="35" t="s">
        <v>1598</v>
      </c>
      <c r="R114" s="35" t="s">
        <v>1599</v>
      </c>
      <c r="S114" s="102">
        <v>17.409600000000001</v>
      </c>
      <c r="T114" s="102">
        <v>16.428599999999999</v>
      </c>
      <c r="U114" s="35" t="s">
        <v>1634</v>
      </c>
      <c r="V114" s="35" t="s">
        <v>1627</v>
      </c>
      <c r="W114" s="102">
        <v>112.5</v>
      </c>
      <c r="X114" s="102">
        <v>111.51900000000001</v>
      </c>
      <c r="Y114" s="102">
        <v>22</v>
      </c>
      <c r="Z114" s="35" t="s">
        <v>1593</v>
      </c>
      <c r="AA114">
        <f>VLOOKUP(A114,Cover!A:R,18,0)</f>
        <v>5.9</v>
      </c>
      <c r="AB114" s="77">
        <f t="shared" si="72"/>
        <v>20.246920000000003</v>
      </c>
      <c r="AC114" s="77">
        <f t="shared" si="73"/>
        <v>15.9109</v>
      </c>
      <c r="AD114" s="77">
        <f t="shared" si="74"/>
        <v>74.634988602148653</v>
      </c>
      <c r="AE114" s="77">
        <f t="shared" si="75"/>
        <v>69.809449848411063</v>
      </c>
      <c r="AF114" s="77">
        <f t="shared" si="76"/>
        <v>10.528599999999999</v>
      </c>
      <c r="AG114" s="77">
        <f t="shared" si="77"/>
        <v>60.475829427442328</v>
      </c>
      <c r="AH114" s="345">
        <f>AVERAGE(W114:W115)</f>
        <v>112.5</v>
      </c>
      <c r="AI114" s="345">
        <f>SUM(J114:J115)</f>
        <v>3.052</v>
      </c>
      <c r="AJ114" s="345">
        <f t="shared" si="80"/>
        <v>109.44799999999999</v>
      </c>
      <c r="AK114" s="345">
        <f>SUM(AA114:AA115)</f>
        <v>11.7</v>
      </c>
      <c r="AL114" s="345">
        <f t="shared" si="82"/>
        <v>97.74799999999999</v>
      </c>
      <c r="AM114" s="346">
        <f t="shared" si="83"/>
        <v>86.887111111111096</v>
      </c>
      <c r="AO114" t="s">
        <v>1651</v>
      </c>
      <c r="AP114" t="str">
        <f t="shared" si="63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4"/>
        <v>DDm85-25</v>
      </c>
    </row>
    <row r="115" spans="1:53">
      <c r="A115" s="35" t="s">
        <v>131</v>
      </c>
      <c r="B115" s="35" t="s">
        <v>1632</v>
      </c>
      <c r="C115" s="35" t="s">
        <v>1793</v>
      </c>
      <c r="D115" s="35" t="s">
        <v>1585</v>
      </c>
      <c r="E115" s="35" t="s">
        <v>1374</v>
      </c>
      <c r="F115" s="35" t="s">
        <v>1587</v>
      </c>
      <c r="G115" s="102">
        <v>36.6</v>
      </c>
      <c r="H115" s="102">
        <v>18</v>
      </c>
      <c r="I115" s="102">
        <v>38</v>
      </c>
      <c r="J115" s="102">
        <v>2.0710000000000002</v>
      </c>
      <c r="K115" s="103">
        <v>45323</v>
      </c>
      <c r="L115" s="102">
        <v>27.12792</v>
      </c>
      <c r="M115" s="102">
        <v>25.056920000000002</v>
      </c>
      <c r="N115" s="102">
        <v>22.791899999999998</v>
      </c>
      <c r="O115" s="102">
        <v>20.7209</v>
      </c>
      <c r="P115" s="35" t="s">
        <v>1591</v>
      </c>
      <c r="Q115" s="35" t="s">
        <v>1598</v>
      </c>
      <c r="R115" s="35" t="s">
        <v>1599</v>
      </c>
      <c r="S115" s="102">
        <v>17.409600000000001</v>
      </c>
      <c r="T115" s="102">
        <v>15.3386</v>
      </c>
      <c r="U115" s="35" t="s">
        <v>1634</v>
      </c>
      <c r="V115" s="35" t="s">
        <v>1627</v>
      </c>
      <c r="W115" s="102">
        <v>112.5</v>
      </c>
      <c r="X115" s="102">
        <v>110.429</v>
      </c>
      <c r="Y115" s="102">
        <v>22</v>
      </c>
      <c r="Z115" s="35" t="s">
        <v>1593</v>
      </c>
      <c r="AA115">
        <f>VLOOKUP(A115,Cover!A:R,18,0)</f>
        <v>5.8</v>
      </c>
      <c r="AB115" s="77">
        <f t="shared" ref="AB115" si="98">M115-AA115</f>
        <v>19.256920000000001</v>
      </c>
      <c r="AC115" s="77">
        <f t="shared" ref="AC115" si="99">O115-AA115</f>
        <v>14.9209</v>
      </c>
      <c r="AD115" s="77">
        <f t="shared" ref="AD115" si="100">AB115/L115%</f>
        <v>70.985611871459369</v>
      </c>
      <c r="AE115" s="77">
        <f t="shared" ref="AE115" si="101">AC115/N115%</f>
        <v>65.465801447005305</v>
      </c>
      <c r="AF115" s="77">
        <f t="shared" ref="AF115" si="102">T115-AA115</f>
        <v>9.5385999999999989</v>
      </c>
      <c r="AG115" s="77">
        <f t="shared" ref="AG115" si="103">AF115/S115%</f>
        <v>54.789311644150345</v>
      </c>
      <c r="AH115" s="345"/>
      <c r="AI115" s="345"/>
      <c r="AJ115" s="345"/>
      <c r="AK115" s="345"/>
      <c r="AL115" s="345"/>
      <c r="AM115" s="346"/>
      <c r="AO115" t="s">
        <v>1651</v>
      </c>
      <c r="AP115" t="str">
        <f t="shared" si="63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4"/>
        <v>DDm85-25</v>
      </c>
    </row>
    <row r="116" spans="1:53">
      <c r="A116" s="35" t="s">
        <v>132</v>
      </c>
      <c r="B116" s="35" t="s">
        <v>1632</v>
      </c>
      <c r="C116" s="35" t="s">
        <v>1794</v>
      </c>
      <c r="D116" s="35" t="s">
        <v>1585</v>
      </c>
      <c r="E116" s="35" t="s">
        <v>1795</v>
      </c>
      <c r="F116" s="35" t="s">
        <v>1587</v>
      </c>
      <c r="G116" s="102">
        <v>36.6</v>
      </c>
      <c r="H116" s="102">
        <v>23</v>
      </c>
      <c r="I116" s="102">
        <v>298</v>
      </c>
      <c r="J116" s="102">
        <v>16.241</v>
      </c>
      <c r="K116" s="103">
        <v>45323</v>
      </c>
      <c r="L116" s="102">
        <v>35.106720000000003</v>
      </c>
      <c r="M116" s="102">
        <v>18.86572</v>
      </c>
      <c r="N116" s="102">
        <v>22.083400000000001</v>
      </c>
      <c r="O116" s="102">
        <v>5.8423999999999996</v>
      </c>
      <c r="P116" s="35" t="s">
        <v>1591</v>
      </c>
      <c r="Q116" s="35" t="s">
        <v>1598</v>
      </c>
      <c r="R116" s="35" t="s">
        <v>1609</v>
      </c>
      <c r="S116" s="102">
        <v>35.553600000000003</v>
      </c>
      <c r="T116" s="102">
        <v>19.3126</v>
      </c>
      <c r="U116" s="35" t="s">
        <v>1588</v>
      </c>
      <c r="V116" s="35" t="s">
        <v>1606</v>
      </c>
      <c r="W116" s="102">
        <v>45</v>
      </c>
      <c r="X116" s="102">
        <v>28.759</v>
      </c>
      <c r="Y116" s="102">
        <v>24</v>
      </c>
      <c r="Z116" s="35" t="s">
        <v>1593</v>
      </c>
      <c r="AA116">
        <f>VLOOKUP(A116,Cover!A:R,18,0)</f>
        <v>3.4</v>
      </c>
      <c r="AB116" s="77">
        <f t="shared" si="72"/>
        <v>15.465719999999999</v>
      </c>
      <c r="AC116" s="77">
        <f t="shared" si="73"/>
        <v>2.4423999999999997</v>
      </c>
      <c r="AD116" s="77">
        <f t="shared" si="74"/>
        <v>44.053446177825776</v>
      </c>
      <c r="AE116" s="77">
        <f t="shared" si="75"/>
        <v>11.059891139951274</v>
      </c>
      <c r="AF116" s="77">
        <f t="shared" si="76"/>
        <v>15.912599999999999</v>
      </c>
      <c r="AG116" s="77">
        <f t="shared" si="77"/>
        <v>44.756649115701357</v>
      </c>
      <c r="AH116" s="77">
        <f t="shared" si="78"/>
        <v>45</v>
      </c>
      <c r="AI116" s="77">
        <f t="shared" si="79"/>
        <v>16.241</v>
      </c>
      <c r="AJ116" s="77">
        <f t="shared" si="80"/>
        <v>28.759</v>
      </c>
      <c r="AK116" s="77">
        <f t="shared" si="81"/>
        <v>3.4</v>
      </c>
      <c r="AL116" s="77">
        <f t="shared" si="82"/>
        <v>25.359000000000002</v>
      </c>
      <c r="AM116" s="77">
        <f t="shared" si="83"/>
        <v>56.353333333333339</v>
      </c>
      <c r="AO116" t="s">
        <v>1594</v>
      </c>
      <c r="AP116" t="str">
        <f t="shared" si="63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4"/>
        <v>DDm125-33</v>
      </c>
    </row>
    <row r="117" spans="1:53">
      <c r="A117" s="35" t="s">
        <v>133</v>
      </c>
      <c r="B117" s="35" t="s">
        <v>1687</v>
      </c>
      <c r="C117" s="35" t="s">
        <v>1796</v>
      </c>
      <c r="D117" s="35" t="s">
        <v>1585</v>
      </c>
      <c r="E117" s="35" t="s">
        <v>1433</v>
      </c>
      <c r="F117" s="35" t="s">
        <v>1587</v>
      </c>
      <c r="G117" s="102">
        <v>36.6</v>
      </c>
      <c r="H117" s="102">
        <v>42</v>
      </c>
      <c r="I117" s="102">
        <v>325</v>
      </c>
      <c r="J117" s="102">
        <v>17.712499999999999</v>
      </c>
      <c r="K117" s="103">
        <v>45323</v>
      </c>
      <c r="L117" s="102">
        <v>65.426159999999996</v>
      </c>
      <c r="M117" s="102">
        <v>47.713659999999997</v>
      </c>
      <c r="N117" s="102">
        <v>49.082700000000003</v>
      </c>
      <c r="O117" s="102">
        <v>31.370200000000001</v>
      </c>
      <c r="P117" s="35" t="s">
        <v>1588</v>
      </c>
      <c r="Q117" s="35" t="s">
        <v>1598</v>
      </c>
      <c r="R117" s="35" t="s">
        <v>1609</v>
      </c>
      <c r="S117" s="102">
        <v>53.330399999999997</v>
      </c>
      <c r="T117" s="102">
        <v>35.617899999999999</v>
      </c>
      <c r="U117" s="35" t="s">
        <v>1608</v>
      </c>
      <c r="V117" s="35" t="s">
        <v>1732</v>
      </c>
      <c r="W117" s="102">
        <v>180</v>
      </c>
      <c r="X117" s="102">
        <v>162.28749999999999</v>
      </c>
      <c r="Y117" s="102">
        <v>60</v>
      </c>
      <c r="Z117" s="35" t="s">
        <v>1593</v>
      </c>
      <c r="AA117">
        <f>VLOOKUP(A117,Cover!A:R,18,0)</f>
        <v>7.3</v>
      </c>
      <c r="AB117" s="77">
        <f t="shared" si="72"/>
        <v>40.41366</v>
      </c>
      <c r="AC117" s="77">
        <f t="shared" si="73"/>
        <v>24.0702</v>
      </c>
      <c r="AD117" s="77">
        <f t="shared" si="74"/>
        <v>61.769879204281594</v>
      </c>
      <c r="AE117" s="77">
        <f t="shared" si="75"/>
        <v>49.040089481629984</v>
      </c>
      <c r="AF117" s="77">
        <f t="shared" si="76"/>
        <v>28.317899999999998</v>
      </c>
      <c r="AG117" s="77">
        <f t="shared" si="77"/>
        <v>53.098982944061923</v>
      </c>
      <c r="AH117" s="345">
        <f>AVERAGE(W117:W118)</f>
        <v>180</v>
      </c>
      <c r="AI117" s="345">
        <f>SUM(J117:J118)</f>
        <v>43.272999999999996</v>
      </c>
      <c r="AJ117" s="345">
        <f t="shared" si="80"/>
        <v>136.727</v>
      </c>
      <c r="AK117" s="345">
        <f>SUM(AA117:AA118)</f>
        <v>14.1</v>
      </c>
      <c r="AL117" s="345">
        <f t="shared" si="82"/>
        <v>122.62700000000001</v>
      </c>
      <c r="AM117" s="346">
        <f t="shared" si="83"/>
        <v>68.126111111111115</v>
      </c>
      <c r="AO117" t="s">
        <v>1651</v>
      </c>
      <c r="AP117" t="str">
        <f t="shared" si="63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4"/>
        <v>DDm125-33</v>
      </c>
    </row>
    <row r="118" spans="1:53">
      <c r="A118" s="35" t="s">
        <v>134</v>
      </c>
      <c r="B118" s="35" t="s">
        <v>1687</v>
      </c>
      <c r="C118" s="35" t="s">
        <v>1796</v>
      </c>
      <c r="D118" s="35" t="s">
        <v>1585</v>
      </c>
      <c r="E118" s="35" t="s">
        <v>1433</v>
      </c>
      <c r="F118" s="35" t="s">
        <v>1587</v>
      </c>
      <c r="G118" s="102">
        <v>36.6</v>
      </c>
      <c r="H118" s="102">
        <v>42</v>
      </c>
      <c r="I118" s="102">
        <v>469</v>
      </c>
      <c r="J118" s="102">
        <v>25.560500000000001</v>
      </c>
      <c r="K118" s="103">
        <v>45323</v>
      </c>
      <c r="L118" s="102">
        <v>65.426159999999996</v>
      </c>
      <c r="M118" s="102">
        <v>39.865659999999998</v>
      </c>
      <c r="N118" s="102">
        <v>49.082700000000003</v>
      </c>
      <c r="O118" s="102">
        <v>23.522200000000002</v>
      </c>
      <c r="P118" s="35" t="s">
        <v>1588</v>
      </c>
      <c r="Q118" s="35" t="s">
        <v>1598</v>
      </c>
      <c r="R118" s="35" t="s">
        <v>1609</v>
      </c>
      <c r="S118" s="102">
        <v>53.330399999999997</v>
      </c>
      <c r="T118" s="102">
        <v>27.7699</v>
      </c>
      <c r="U118" s="35" t="s">
        <v>1608</v>
      </c>
      <c r="V118" s="35" t="s">
        <v>1732</v>
      </c>
      <c r="W118" s="102">
        <v>180</v>
      </c>
      <c r="X118" s="102">
        <v>154.43950000000001</v>
      </c>
      <c r="Y118" s="102">
        <v>60</v>
      </c>
      <c r="Z118" s="35" t="s">
        <v>1593</v>
      </c>
      <c r="AA118">
        <f>VLOOKUP(A118,Cover!A:R,18,0)</f>
        <v>6.8</v>
      </c>
      <c r="AB118" s="77">
        <f t="shared" ref="AB118" si="104">M118-AA118</f>
        <v>33.065660000000001</v>
      </c>
      <c r="AC118" s="77">
        <f t="shared" ref="AC118" si="105">O118-AA118</f>
        <v>16.722200000000001</v>
      </c>
      <c r="AD118" s="77">
        <f t="shared" ref="AD118" si="106">AB118/L118%</f>
        <v>50.53889759081077</v>
      </c>
      <c r="AE118" s="77">
        <f t="shared" ref="AE118" si="107">AC118/N118%</f>
        <v>34.069437907857555</v>
      </c>
      <c r="AF118" s="77">
        <f t="shared" ref="AF118" si="108">T118-AA118</f>
        <v>20.969899999999999</v>
      </c>
      <c r="AG118" s="77">
        <f t="shared" ref="AG118" si="109">AF118/S118%</f>
        <v>39.32072513988269</v>
      </c>
      <c r="AH118" s="345"/>
      <c r="AI118" s="345"/>
      <c r="AJ118" s="345"/>
      <c r="AK118" s="345"/>
      <c r="AL118" s="345"/>
      <c r="AM118" s="346"/>
      <c r="AO118" t="s">
        <v>1651</v>
      </c>
      <c r="AP118" t="str">
        <f t="shared" si="63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4"/>
        <v>DDm125-33</v>
      </c>
    </row>
    <row r="119" spans="1:53">
      <c r="A119" s="35" t="s">
        <v>135</v>
      </c>
      <c r="B119" s="35" t="s">
        <v>1595</v>
      </c>
      <c r="C119" s="35" t="s">
        <v>1717</v>
      </c>
      <c r="D119" s="35" t="s">
        <v>1674</v>
      </c>
      <c r="E119" s="35" t="s">
        <v>1257</v>
      </c>
      <c r="F119" s="35" t="s">
        <v>1587</v>
      </c>
      <c r="G119" s="102">
        <v>36.6</v>
      </c>
      <c r="H119" s="102">
        <v>54</v>
      </c>
      <c r="I119" s="102">
        <v>863</v>
      </c>
      <c r="J119" s="102">
        <v>47.033499999999997</v>
      </c>
      <c r="K119" s="103">
        <v>45323</v>
      </c>
      <c r="L119" s="102">
        <v>84.575280000000006</v>
      </c>
      <c r="M119" s="102">
        <v>37.541780000000003</v>
      </c>
      <c r="N119" s="102">
        <v>62.119100000000003</v>
      </c>
      <c r="O119" s="102">
        <v>15.085599999999999</v>
      </c>
      <c r="P119" s="35" t="s">
        <v>1603</v>
      </c>
      <c r="Q119" s="35" t="s">
        <v>1598</v>
      </c>
      <c r="R119" s="35" t="s">
        <v>1609</v>
      </c>
      <c r="S119" s="102">
        <v>71.107200000000205</v>
      </c>
      <c r="T119" s="102">
        <v>24.073700000000201</v>
      </c>
      <c r="U119" s="35" t="s">
        <v>1603</v>
      </c>
      <c r="V119" s="35" t="s">
        <v>1670</v>
      </c>
      <c r="W119" s="102">
        <v>90</v>
      </c>
      <c r="X119" s="102">
        <v>42.966500000000003</v>
      </c>
      <c r="Y119" s="102">
        <v>51</v>
      </c>
      <c r="Z119" s="35" t="s">
        <v>1542</v>
      </c>
      <c r="AA119">
        <f>VLOOKUP(A119,Cover!A:R,18,0)</f>
        <v>9.2999999999999989</v>
      </c>
      <c r="AB119" s="77">
        <f t="shared" si="72"/>
        <v>28.241780000000006</v>
      </c>
      <c r="AC119" s="77">
        <f t="shared" si="73"/>
        <v>5.7856000000000005</v>
      </c>
      <c r="AD119" s="77">
        <f t="shared" si="74"/>
        <v>33.392475910218685</v>
      </c>
      <c r="AE119" s="77">
        <f t="shared" si="75"/>
        <v>9.3137215445812966</v>
      </c>
      <c r="AF119" s="77">
        <f t="shared" si="76"/>
        <v>14.773700000000202</v>
      </c>
      <c r="AG119" s="77">
        <f t="shared" si="77"/>
        <v>20.776658341208993</v>
      </c>
      <c r="AH119" s="345">
        <f>AVERAGE(W119:W120)</f>
        <v>90</v>
      </c>
      <c r="AI119" s="345">
        <f>SUM(J119:J120)</f>
        <v>77.5535</v>
      </c>
      <c r="AJ119" s="345">
        <f t="shared" si="80"/>
        <v>12.4465</v>
      </c>
      <c r="AK119" s="345">
        <f>SUM(AA119:AA120)</f>
        <v>20.549999999999997</v>
      </c>
      <c r="AL119" s="345">
        <f t="shared" si="82"/>
        <v>-8.1034999999999968</v>
      </c>
      <c r="AM119" s="346">
        <f t="shared" si="83"/>
        <v>-9.0038888888888859</v>
      </c>
      <c r="AN119" t="s">
        <v>1580</v>
      </c>
      <c r="AO119" t="s">
        <v>1651</v>
      </c>
      <c r="AP119" t="str">
        <f t="shared" si="63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4"/>
        <v>DDm125-33</v>
      </c>
    </row>
    <row r="120" spans="1:53">
      <c r="A120" s="35" t="s">
        <v>136</v>
      </c>
      <c r="B120" s="35" t="s">
        <v>1595</v>
      </c>
      <c r="C120" s="35" t="s">
        <v>1717</v>
      </c>
      <c r="D120" s="35" t="s">
        <v>1674</v>
      </c>
      <c r="E120" s="35" t="s">
        <v>1257</v>
      </c>
      <c r="F120" s="35" t="s">
        <v>1587</v>
      </c>
      <c r="G120" s="102">
        <v>36.6</v>
      </c>
      <c r="H120" s="102">
        <v>54</v>
      </c>
      <c r="I120" s="102">
        <v>560</v>
      </c>
      <c r="J120" s="102">
        <v>30.52</v>
      </c>
      <c r="K120" s="103">
        <v>45323</v>
      </c>
      <c r="L120" s="102">
        <v>84.575280000000006</v>
      </c>
      <c r="M120" s="102">
        <v>54.055280000000003</v>
      </c>
      <c r="N120" s="102">
        <v>62.119100000000003</v>
      </c>
      <c r="O120" s="102">
        <v>31.5991</v>
      </c>
      <c r="P120" s="35" t="s">
        <v>1603</v>
      </c>
      <c r="Q120" s="35" t="s">
        <v>1598</v>
      </c>
      <c r="R120" s="35" t="s">
        <v>1609</v>
      </c>
      <c r="S120" s="102">
        <v>71.107200000000205</v>
      </c>
      <c r="T120" s="102">
        <v>40.587200000000202</v>
      </c>
      <c r="U120" s="35" t="s">
        <v>1603</v>
      </c>
      <c r="V120" s="35" t="s">
        <v>1670</v>
      </c>
      <c r="W120" s="102">
        <v>90</v>
      </c>
      <c r="X120" s="102">
        <v>59.48</v>
      </c>
      <c r="Y120" s="102">
        <v>51</v>
      </c>
      <c r="Z120" s="35" t="s">
        <v>1542</v>
      </c>
      <c r="AA120">
        <f>VLOOKUP(A120,Cover!A:R,18,0)</f>
        <v>11.25</v>
      </c>
      <c r="AB120" s="77">
        <f t="shared" si="72"/>
        <v>42.805280000000003</v>
      </c>
      <c r="AC120" s="77">
        <f t="shared" si="73"/>
        <v>20.3491</v>
      </c>
      <c r="AD120" s="77">
        <f t="shared" si="74"/>
        <v>50.612046451398093</v>
      </c>
      <c r="AE120" s="77">
        <f t="shared" si="75"/>
        <v>32.758201583731896</v>
      </c>
      <c r="AF120" s="77">
        <f t="shared" si="76"/>
        <v>29.337200000000202</v>
      </c>
      <c r="AG120" s="77">
        <f t="shared" si="77"/>
        <v>41.257706673867226</v>
      </c>
      <c r="AH120" s="345"/>
      <c r="AI120" s="345"/>
      <c r="AJ120" s="345"/>
      <c r="AK120" s="345"/>
      <c r="AL120" s="345"/>
      <c r="AM120" s="346"/>
      <c r="AN120" t="s">
        <v>1580</v>
      </c>
      <c r="AO120" t="s">
        <v>1651</v>
      </c>
      <c r="AP120" t="str">
        <f t="shared" si="63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4"/>
        <v>DDm125-33</v>
      </c>
    </row>
    <row r="121" spans="1:53">
      <c r="A121" s="35" t="s">
        <v>137</v>
      </c>
      <c r="B121" s="35" t="s">
        <v>1595</v>
      </c>
      <c r="C121" s="35" t="s">
        <v>1717</v>
      </c>
      <c r="D121" s="35" t="s">
        <v>1585</v>
      </c>
      <c r="E121" s="35" t="s">
        <v>1266</v>
      </c>
      <c r="F121" s="35" t="s">
        <v>1587</v>
      </c>
      <c r="G121" s="102">
        <v>36.6</v>
      </c>
      <c r="H121" s="102">
        <v>19</v>
      </c>
      <c r="I121" s="102">
        <v>178</v>
      </c>
      <c r="J121" s="102">
        <v>9.7010000000000005</v>
      </c>
      <c r="K121" s="103">
        <v>45323</v>
      </c>
      <c r="L121" s="102">
        <v>28.723680000000002</v>
      </c>
      <c r="M121" s="102">
        <v>19.022680000000001</v>
      </c>
      <c r="N121" s="102">
        <v>19.554600000000001</v>
      </c>
      <c r="O121" s="102">
        <v>9.8536000000000001</v>
      </c>
      <c r="P121" s="35" t="s">
        <v>1591</v>
      </c>
      <c r="Q121" s="35" t="s">
        <v>1598</v>
      </c>
      <c r="R121" s="35" t="s">
        <v>1789</v>
      </c>
      <c r="S121" s="102">
        <v>26.654399999999999</v>
      </c>
      <c r="T121" s="102">
        <v>16.953399999999998</v>
      </c>
      <c r="U121" s="35" t="s">
        <v>1588</v>
      </c>
      <c r="V121" s="35" t="s">
        <v>1600</v>
      </c>
      <c r="W121" s="102">
        <v>22.5</v>
      </c>
      <c r="X121" s="102">
        <v>12.798999999999999</v>
      </c>
      <c r="Y121" s="102">
        <v>61</v>
      </c>
      <c r="Z121" s="35" t="s">
        <v>1593</v>
      </c>
      <c r="AA121">
        <f>VLOOKUP(A121,Cover!A:R,18,0)</f>
        <v>4.4000000000000004</v>
      </c>
      <c r="AB121" s="77">
        <f t="shared" si="72"/>
        <v>14.622680000000001</v>
      </c>
      <c r="AC121" s="77">
        <f t="shared" si="73"/>
        <v>5.4535999999999998</v>
      </c>
      <c r="AD121" s="77">
        <f t="shared" si="74"/>
        <v>50.908100911860878</v>
      </c>
      <c r="AE121" s="77">
        <f t="shared" si="75"/>
        <v>27.88909003508126</v>
      </c>
      <c r="AF121" s="77">
        <f t="shared" si="76"/>
        <v>12.553399999999998</v>
      </c>
      <c r="AG121" s="77">
        <f t="shared" si="77"/>
        <v>47.096914580707114</v>
      </c>
      <c r="AH121" s="77">
        <f t="shared" si="78"/>
        <v>22.5</v>
      </c>
      <c r="AI121" s="77">
        <f t="shared" si="79"/>
        <v>9.7010000000000005</v>
      </c>
      <c r="AJ121" s="77">
        <f t="shared" si="80"/>
        <v>12.798999999999999</v>
      </c>
      <c r="AK121" s="77">
        <f t="shared" si="81"/>
        <v>4.4000000000000004</v>
      </c>
      <c r="AL121" s="77">
        <f t="shared" si="82"/>
        <v>8.3989999999999991</v>
      </c>
      <c r="AM121" s="77">
        <f t="shared" si="83"/>
        <v>37.328888888888883</v>
      </c>
      <c r="AO121" t="s">
        <v>1594</v>
      </c>
      <c r="AP121" t="str">
        <f t="shared" si="63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4"/>
        <v>DDm125-25</v>
      </c>
    </row>
    <row r="122" spans="1:53">
      <c r="A122" s="35" t="s">
        <v>138</v>
      </c>
      <c r="B122" s="35" t="s">
        <v>1595</v>
      </c>
      <c r="C122" s="35" t="s">
        <v>1717</v>
      </c>
      <c r="D122" s="35" t="s">
        <v>1585</v>
      </c>
      <c r="E122" s="35" t="s">
        <v>1269</v>
      </c>
      <c r="F122" s="35" t="s">
        <v>1587</v>
      </c>
      <c r="G122" s="102">
        <v>36.6</v>
      </c>
      <c r="H122" s="102">
        <v>35</v>
      </c>
      <c r="I122" s="102">
        <v>609</v>
      </c>
      <c r="J122" s="102">
        <v>33.1905</v>
      </c>
      <c r="K122" s="103">
        <v>45323</v>
      </c>
      <c r="L122" s="102">
        <v>54.255839999999999</v>
      </c>
      <c r="M122" s="102">
        <v>21.065339999999999</v>
      </c>
      <c r="N122" s="102">
        <v>35.119799999999998</v>
      </c>
      <c r="O122" s="102">
        <v>1.9293</v>
      </c>
      <c r="P122" s="35" t="s">
        <v>1588</v>
      </c>
      <c r="Q122" s="35" t="s">
        <v>1598</v>
      </c>
      <c r="R122" s="35" t="s">
        <v>1609</v>
      </c>
      <c r="S122" s="102">
        <v>53.330399999999997</v>
      </c>
      <c r="T122" s="102">
        <v>20.139900000000001</v>
      </c>
      <c r="U122" s="35" t="s">
        <v>1608</v>
      </c>
      <c r="V122" s="35" t="s">
        <v>1797</v>
      </c>
      <c r="W122" s="102">
        <v>63</v>
      </c>
      <c r="X122" s="102">
        <v>29.8095</v>
      </c>
      <c r="Y122" s="102">
        <v>3</v>
      </c>
      <c r="Z122" s="35" t="s">
        <v>1593</v>
      </c>
      <c r="AA122">
        <f>VLOOKUP(A122,Cover!A:R,18,0)</f>
        <v>3</v>
      </c>
      <c r="AB122" s="77">
        <f t="shared" si="72"/>
        <v>18.065339999999999</v>
      </c>
      <c r="AC122" s="77">
        <f t="shared" si="73"/>
        <v>-1.0707</v>
      </c>
      <c r="AD122" s="77">
        <f t="shared" si="74"/>
        <v>33.296581529287906</v>
      </c>
      <c r="AE122" s="77">
        <f t="shared" si="75"/>
        <v>-3.0487075666717924</v>
      </c>
      <c r="AF122" s="77">
        <f t="shared" si="76"/>
        <v>17.139900000000001</v>
      </c>
      <c r="AG122" s="77">
        <f t="shared" si="77"/>
        <v>32.139080149408215</v>
      </c>
      <c r="AH122" s="77">
        <f t="shared" si="78"/>
        <v>63</v>
      </c>
      <c r="AI122" s="77">
        <f t="shared" si="79"/>
        <v>33.1905</v>
      </c>
      <c r="AJ122" s="77">
        <f t="shared" si="80"/>
        <v>29.8095</v>
      </c>
      <c r="AK122" s="77">
        <f t="shared" si="81"/>
        <v>3</v>
      </c>
      <c r="AL122" s="77">
        <f t="shared" si="82"/>
        <v>26.8095</v>
      </c>
      <c r="AM122" s="77">
        <f t="shared" si="83"/>
        <v>42.554761904761904</v>
      </c>
      <c r="AO122" t="s">
        <v>1594</v>
      </c>
      <c r="AP122" t="str">
        <f t="shared" si="63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4"/>
        <v>DDm125-33</v>
      </c>
    </row>
    <row r="123" spans="1:53">
      <c r="A123" s="35" t="s">
        <v>139</v>
      </c>
      <c r="B123" s="35" t="s">
        <v>1595</v>
      </c>
      <c r="C123" s="35" t="s">
        <v>1798</v>
      </c>
      <c r="D123" s="35" t="s">
        <v>1580</v>
      </c>
      <c r="E123" s="35" t="s">
        <v>1799</v>
      </c>
      <c r="F123" s="35" t="s">
        <v>1587</v>
      </c>
      <c r="G123" s="102">
        <v>36.6</v>
      </c>
      <c r="H123" s="102">
        <v>3</v>
      </c>
      <c r="I123" s="102">
        <v>9</v>
      </c>
      <c r="J123" s="102">
        <v>0.49049999999999999</v>
      </c>
      <c r="K123" s="103">
        <v>45323</v>
      </c>
      <c r="L123" s="102">
        <v>3.1915200000000001</v>
      </c>
      <c r="M123" s="102">
        <v>2.7010200000000002</v>
      </c>
      <c r="N123" s="102">
        <v>2.8994</v>
      </c>
      <c r="O123" s="102">
        <v>2.4089</v>
      </c>
      <c r="P123" s="35" t="s">
        <v>1591</v>
      </c>
      <c r="Q123" s="35" t="s">
        <v>1598</v>
      </c>
      <c r="R123" s="35" t="s">
        <v>1694</v>
      </c>
      <c r="S123" s="102">
        <v>1.7927999999999999</v>
      </c>
      <c r="T123" s="102">
        <v>1.3023</v>
      </c>
      <c r="U123" s="35" t="s">
        <v>1591</v>
      </c>
      <c r="V123" s="35" t="s">
        <v>1618</v>
      </c>
      <c r="W123" s="102">
        <v>5.0250000000000004</v>
      </c>
      <c r="X123" s="102">
        <v>4.5345000000000004</v>
      </c>
      <c r="Y123" s="102">
        <v>6</v>
      </c>
      <c r="Z123" s="35" t="s">
        <v>1593</v>
      </c>
      <c r="AA123">
        <f>VLOOKUP(A123,Cover!A:R,18,0)</f>
        <v>0.5</v>
      </c>
      <c r="AB123" s="77">
        <f t="shared" ref="AB123" si="110">M123-AA123</f>
        <v>2.2010200000000002</v>
      </c>
      <c r="AC123" s="77">
        <f t="shared" ref="AC123" si="111">O123-AA123</f>
        <v>1.9089</v>
      </c>
      <c r="AD123" s="77">
        <f t="shared" ref="AD123" si="112">AB123/L123%</f>
        <v>68.964631272873106</v>
      </c>
      <c r="AE123" s="77">
        <f t="shared" ref="AE123" si="113">AC123/N123%</f>
        <v>65.83775953645582</v>
      </c>
      <c r="AF123" s="77">
        <f t="shared" ref="AF123" si="114">T123-AA123</f>
        <v>0.80230000000000001</v>
      </c>
      <c r="AG123" s="77">
        <f t="shared" ref="AG123" si="115">AF123/S123%</f>
        <v>44.751227130745207</v>
      </c>
      <c r="AH123" s="77">
        <f t="shared" ref="AH123" si="116">W123</f>
        <v>5.0250000000000004</v>
      </c>
      <c r="AI123" s="77">
        <f t="shared" ref="AI123" si="117">J123</f>
        <v>0.49049999999999999</v>
      </c>
      <c r="AJ123" s="77">
        <f t="shared" ref="AJ123" si="118">AH123-AI123</f>
        <v>4.5345000000000004</v>
      </c>
      <c r="AK123" s="77">
        <f t="shared" ref="AK123" si="119">AA123</f>
        <v>0.5</v>
      </c>
      <c r="AL123" s="77">
        <f t="shared" ref="AL123" si="120">AJ123-AK123</f>
        <v>4.0345000000000004</v>
      </c>
      <c r="AM123" s="77">
        <f t="shared" ref="AM123" si="121">AL123/AH123%</f>
        <v>80.288557213930346</v>
      </c>
      <c r="AN123" s="52" t="s">
        <v>1580</v>
      </c>
      <c r="AO123" t="s">
        <v>1594</v>
      </c>
      <c r="AP123" t="str">
        <f t="shared" si="63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4"/>
        <v xml:space="preserve">12V101F </v>
      </c>
    </row>
    <row r="124" spans="1:53">
      <c r="A124" s="35" t="s">
        <v>140</v>
      </c>
      <c r="B124" s="35" t="s">
        <v>1619</v>
      </c>
      <c r="C124" s="35" t="s">
        <v>1800</v>
      </c>
      <c r="D124" s="35" t="s">
        <v>1580</v>
      </c>
      <c r="E124" s="35" t="s">
        <v>1801</v>
      </c>
      <c r="F124" s="35" t="s">
        <v>1802</v>
      </c>
      <c r="G124" s="102">
        <v>37.5</v>
      </c>
      <c r="H124" s="102">
        <v>8</v>
      </c>
      <c r="I124" s="102">
        <v>150</v>
      </c>
      <c r="J124" s="102">
        <v>8.1750000000000007</v>
      </c>
      <c r="K124" s="103">
        <v>45323</v>
      </c>
      <c r="L124" s="102">
        <v>11.445</v>
      </c>
      <c r="M124" s="102">
        <v>3.27</v>
      </c>
      <c r="N124" s="102">
        <v>10.087949673000001</v>
      </c>
      <c r="O124" s="102">
        <v>1.912949673</v>
      </c>
      <c r="P124" s="35" t="s">
        <v>1634</v>
      </c>
      <c r="Q124" s="35" t="s">
        <v>1616</v>
      </c>
      <c r="R124" s="35" t="s">
        <v>1622</v>
      </c>
      <c r="S124" s="102">
        <v>8.4240000000000297</v>
      </c>
      <c r="T124" s="102">
        <v>0.24900000000002501</v>
      </c>
      <c r="U124" s="35" t="s">
        <v>1588</v>
      </c>
      <c r="V124" s="35" t="s">
        <v>1803</v>
      </c>
      <c r="W124" s="102">
        <v>12</v>
      </c>
      <c r="X124" s="102">
        <v>3.8250000000000002</v>
      </c>
      <c r="Y124" s="102">
        <v>3</v>
      </c>
      <c r="Z124" s="35" t="s">
        <v>8</v>
      </c>
      <c r="AA124">
        <f>VLOOKUP(A124,Cover!A:R,18,0)</f>
        <v>0.5</v>
      </c>
      <c r="AB124" s="77">
        <f t="shared" si="72"/>
        <v>2.77</v>
      </c>
      <c r="AC124" s="77">
        <f t="shared" si="73"/>
        <v>1.412949673</v>
      </c>
      <c r="AD124" s="77">
        <f t="shared" si="74"/>
        <v>24.202708606378334</v>
      </c>
      <c r="AE124" s="77">
        <f t="shared" si="75"/>
        <v>14.006311676808856</v>
      </c>
      <c r="AF124" s="77">
        <f t="shared" si="76"/>
        <v>-0.25099999999997502</v>
      </c>
      <c r="AG124" s="77">
        <f t="shared" si="77"/>
        <v>-2.9795821462485059</v>
      </c>
      <c r="AH124" s="77">
        <f t="shared" si="78"/>
        <v>12</v>
      </c>
      <c r="AI124" s="77">
        <f t="shared" si="79"/>
        <v>8.1750000000000007</v>
      </c>
      <c r="AJ124" s="77">
        <f t="shared" si="80"/>
        <v>3.8249999999999993</v>
      </c>
      <c r="AK124" s="77">
        <f t="shared" si="81"/>
        <v>0.5</v>
      </c>
      <c r="AL124" s="77">
        <f t="shared" si="82"/>
        <v>3.3249999999999993</v>
      </c>
      <c r="AM124" s="77">
        <f t="shared" si="83"/>
        <v>27.708333333333329</v>
      </c>
      <c r="AN124" s="52" t="s">
        <v>1580</v>
      </c>
      <c r="AO124" t="s">
        <v>1594</v>
      </c>
      <c r="AP124" t="str">
        <f t="shared" si="63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4"/>
        <v>12V155F</v>
      </c>
    </row>
    <row r="125" spans="1:53">
      <c r="A125" s="35" t="s">
        <v>141</v>
      </c>
      <c r="B125" s="35" t="s">
        <v>1645</v>
      </c>
      <c r="C125" s="35" t="s">
        <v>1804</v>
      </c>
      <c r="D125" s="35" t="s">
        <v>1585</v>
      </c>
      <c r="E125" s="35" t="s">
        <v>1293</v>
      </c>
      <c r="F125" s="35" t="s">
        <v>1587</v>
      </c>
      <c r="G125" s="102">
        <v>36.6</v>
      </c>
      <c r="H125" s="102">
        <v>19</v>
      </c>
      <c r="I125" s="102">
        <v>252</v>
      </c>
      <c r="J125" s="102">
        <v>13.734</v>
      </c>
      <c r="K125" s="103">
        <v>45111</v>
      </c>
      <c r="L125" s="102">
        <v>28.723680000000002</v>
      </c>
      <c r="M125" s="102">
        <v>14.98968</v>
      </c>
      <c r="N125" s="102">
        <v>17.83785</v>
      </c>
      <c r="O125" s="102">
        <v>4.1038500000000004</v>
      </c>
      <c r="P125" s="35" t="s">
        <v>1588</v>
      </c>
      <c r="Q125" s="35" t="s">
        <v>1598</v>
      </c>
      <c r="R125" s="35" t="s">
        <v>1805</v>
      </c>
      <c r="S125" s="102">
        <v>28.187999999999999</v>
      </c>
      <c r="T125" s="102">
        <v>14.454000000000001</v>
      </c>
      <c r="U125" s="35" t="s">
        <v>1634</v>
      </c>
      <c r="V125" s="35" t="s">
        <v>1600</v>
      </c>
      <c r="W125" s="102">
        <v>22.5</v>
      </c>
      <c r="X125" s="102">
        <v>8.766</v>
      </c>
      <c r="Y125" s="102">
        <v>16</v>
      </c>
      <c r="Z125" s="35" t="s">
        <v>1593</v>
      </c>
      <c r="AA125">
        <f>VLOOKUP(A125,Cover!A:R,18,0)</f>
        <v>2</v>
      </c>
      <c r="AB125" s="77">
        <f t="shared" si="72"/>
        <v>12.98968</v>
      </c>
      <c r="AC125" s="77">
        <f t="shared" si="73"/>
        <v>2.1038500000000004</v>
      </c>
      <c r="AD125" s="77">
        <f t="shared" si="74"/>
        <v>45.222896230566555</v>
      </c>
      <c r="AE125" s="77">
        <f t="shared" si="75"/>
        <v>11.794302564490678</v>
      </c>
      <c r="AF125" s="77">
        <f t="shared" si="76"/>
        <v>12.454000000000001</v>
      </c>
      <c r="AG125" s="77">
        <f t="shared" si="77"/>
        <v>44.181921384986524</v>
      </c>
      <c r="AH125" s="77">
        <f t="shared" si="78"/>
        <v>22.5</v>
      </c>
      <c r="AI125" s="77">
        <f t="shared" si="79"/>
        <v>13.734</v>
      </c>
      <c r="AJ125" s="77">
        <f t="shared" si="80"/>
        <v>8.766</v>
      </c>
      <c r="AK125" s="77">
        <f t="shared" si="81"/>
        <v>2</v>
      </c>
      <c r="AL125" s="77">
        <f t="shared" si="82"/>
        <v>6.766</v>
      </c>
      <c r="AM125" s="77">
        <f t="shared" si="83"/>
        <v>30.071111111111112</v>
      </c>
      <c r="AO125" t="s">
        <v>1594</v>
      </c>
      <c r="AP125" t="str">
        <f t="shared" si="63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4"/>
        <v>DDm85-27</v>
      </c>
    </row>
    <row r="126" spans="1:53">
      <c r="A126" s="35" t="s">
        <v>142</v>
      </c>
      <c r="B126" s="35" t="s">
        <v>1607</v>
      </c>
      <c r="C126" s="35" t="s">
        <v>1806</v>
      </c>
      <c r="D126" s="35" t="s">
        <v>1585</v>
      </c>
      <c r="E126" s="35" t="s">
        <v>1807</v>
      </c>
      <c r="F126" s="35" t="s">
        <v>1587</v>
      </c>
      <c r="G126" s="102">
        <v>36.6</v>
      </c>
      <c r="H126" s="102">
        <v>8</v>
      </c>
      <c r="I126" s="102">
        <v>111</v>
      </c>
      <c r="J126" s="102">
        <v>6.0495000000000001</v>
      </c>
      <c r="K126" s="103">
        <v>45323</v>
      </c>
      <c r="L126" s="102">
        <v>11.17032</v>
      </c>
      <c r="M126" s="102">
        <v>5.1208200000000001</v>
      </c>
      <c r="N126" s="102">
        <v>6.9869000000000003</v>
      </c>
      <c r="O126" s="102">
        <v>0.93740000000000001</v>
      </c>
      <c r="P126" s="35" t="s">
        <v>1803</v>
      </c>
      <c r="Q126" s="35" t="s">
        <v>1616</v>
      </c>
      <c r="R126" s="35" t="s">
        <v>1698</v>
      </c>
      <c r="S126" s="102">
        <v>15.621119999999999</v>
      </c>
      <c r="T126" s="102">
        <v>9.5716200000000295</v>
      </c>
      <c r="U126" s="35" t="s">
        <v>1591</v>
      </c>
      <c r="V126" s="35" t="s">
        <v>1635</v>
      </c>
      <c r="W126" s="102">
        <v>48.75</v>
      </c>
      <c r="X126" s="102">
        <v>42.700499999999998</v>
      </c>
      <c r="Y126" s="102">
        <v>12</v>
      </c>
      <c r="Z126" s="35" t="s">
        <v>1593</v>
      </c>
      <c r="AA126">
        <f>VLOOKUP(A126,Cover!A:R,18,0)</f>
        <v>0</v>
      </c>
      <c r="AB126" s="77">
        <f t="shared" si="72"/>
        <v>5.1208200000000001</v>
      </c>
      <c r="AC126" s="77">
        <f t="shared" si="73"/>
        <v>0.93740000000000001</v>
      </c>
      <c r="AD126" s="77">
        <f t="shared" si="74"/>
        <v>45.843091334894616</v>
      </c>
      <c r="AE126" s="77">
        <f t="shared" si="75"/>
        <v>13.416536661466459</v>
      </c>
      <c r="AF126" s="77">
        <f t="shared" si="76"/>
        <v>9.5716200000000295</v>
      </c>
      <c r="AG126" s="77">
        <f t="shared" si="77"/>
        <v>61.273583456244047</v>
      </c>
      <c r="AH126" s="77">
        <f t="shared" si="78"/>
        <v>48.75</v>
      </c>
      <c r="AI126" s="77">
        <f t="shared" si="79"/>
        <v>6.0495000000000001</v>
      </c>
      <c r="AJ126" s="77">
        <f t="shared" si="80"/>
        <v>42.700499999999998</v>
      </c>
      <c r="AK126" s="77">
        <f t="shared" si="81"/>
        <v>0</v>
      </c>
      <c r="AL126" s="77">
        <f t="shared" si="82"/>
        <v>42.700499999999998</v>
      </c>
      <c r="AM126" s="77">
        <f t="shared" si="83"/>
        <v>87.590769230769226</v>
      </c>
      <c r="AO126" t="s">
        <v>1594</v>
      </c>
      <c r="AP126" t="str">
        <f t="shared" si="63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4"/>
        <v>12V100F</v>
      </c>
    </row>
    <row r="127" spans="1:53">
      <c r="A127" s="35" t="s">
        <v>143</v>
      </c>
      <c r="B127" s="35" t="s">
        <v>1607</v>
      </c>
      <c r="C127" s="35" t="s">
        <v>1806</v>
      </c>
      <c r="D127" s="35" t="s">
        <v>1585</v>
      </c>
      <c r="E127" s="35" t="s">
        <v>1808</v>
      </c>
      <c r="F127" s="35" t="s">
        <v>1587</v>
      </c>
      <c r="G127" s="102">
        <v>36.6</v>
      </c>
      <c r="H127" s="102">
        <v>8</v>
      </c>
      <c r="I127" s="102">
        <v>109</v>
      </c>
      <c r="J127" s="102">
        <v>5.9405000000000001</v>
      </c>
      <c r="K127" s="103">
        <v>45323</v>
      </c>
      <c r="L127" s="102">
        <v>11.17032</v>
      </c>
      <c r="M127" s="102">
        <v>5.2298200000000001</v>
      </c>
      <c r="N127" s="102">
        <v>6.9869000000000003</v>
      </c>
      <c r="O127" s="102">
        <v>1.0464</v>
      </c>
      <c r="P127" s="35" t="s">
        <v>1803</v>
      </c>
      <c r="Q127" s="35" t="s">
        <v>1616</v>
      </c>
      <c r="R127" s="35" t="s">
        <v>1698</v>
      </c>
      <c r="S127" s="102">
        <v>15.621119999999999</v>
      </c>
      <c r="T127" s="102">
        <v>9.6806200000000295</v>
      </c>
      <c r="U127" s="35" t="s">
        <v>1591</v>
      </c>
      <c r="V127" s="35" t="s">
        <v>1635</v>
      </c>
      <c r="W127" s="102">
        <v>48.75</v>
      </c>
      <c r="X127" s="102">
        <v>42.8095</v>
      </c>
      <c r="Y127" s="102">
        <v>4</v>
      </c>
      <c r="Z127" s="35" t="s">
        <v>1593</v>
      </c>
      <c r="AA127">
        <f>VLOOKUP(A127,Cover!A:R,18,0)</f>
        <v>0</v>
      </c>
      <c r="AB127" s="77">
        <f t="shared" si="72"/>
        <v>5.2298200000000001</v>
      </c>
      <c r="AC127" s="77">
        <f t="shared" si="73"/>
        <v>1.0464</v>
      </c>
      <c r="AD127" s="77">
        <f t="shared" si="74"/>
        <v>46.81889149102264</v>
      </c>
      <c r="AE127" s="77">
        <f t="shared" si="75"/>
        <v>14.976599063962558</v>
      </c>
      <c r="AF127" s="77">
        <f t="shared" si="76"/>
        <v>9.6806200000000295</v>
      </c>
      <c r="AG127" s="77">
        <f t="shared" si="77"/>
        <v>61.971356727302712</v>
      </c>
      <c r="AH127" s="77">
        <f t="shared" si="78"/>
        <v>48.75</v>
      </c>
      <c r="AI127" s="77">
        <f t="shared" si="79"/>
        <v>5.9405000000000001</v>
      </c>
      <c r="AJ127" s="77">
        <f t="shared" si="80"/>
        <v>42.8095</v>
      </c>
      <c r="AK127" s="77">
        <f t="shared" si="81"/>
        <v>0</v>
      </c>
      <c r="AL127" s="77">
        <f t="shared" si="82"/>
        <v>42.8095</v>
      </c>
      <c r="AM127" s="77">
        <f t="shared" si="83"/>
        <v>87.814358974358981</v>
      </c>
      <c r="AO127" t="s">
        <v>1594</v>
      </c>
      <c r="AP127" t="str">
        <f t="shared" si="63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4"/>
        <v>12V100F</v>
      </c>
    </row>
    <row r="128" spans="1:53">
      <c r="A128" s="35" t="s">
        <v>144</v>
      </c>
      <c r="B128" s="35" t="s">
        <v>1583</v>
      </c>
      <c r="C128" s="35" t="s">
        <v>1809</v>
      </c>
      <c r="D128" s="35" t="s">
        <v>1585</v>
      </c>
      <c r="E128" s="35" t="s">
        <v>1290</v>
      </c>
      <c r="F128" s="35" t="s">
        <v>1587</v>
      </c>
      <c r="G128" s="102">
        <v>36.6</v>
      </c>
      <c r="H128" s="102">
        <v>17</v>
      </c>
      <c r="I128" s="102">
        <v>199</v>
      </c>
      <c r="J128" s="102">
        <v>10.845499999999999</v>
      </c>
      <c r="K128" s="103">
        <v>44880</v>
      </c>
      <c r="L128" s="102">
        <v>25.532160000000001</v>
      </c>
      <c r="M128" s="102">
        <v>14.68666</v>
      </c>
      <c r="N128" s="102">
        <v>22.650200000000002</v>
      </c>
      <c r="O128" s="102">
        <v>11.8047</v>
      </c>
      <c r="P128" s="35" t="s">
        <v>1591</v>
      </c>
      <c r="Q128" s="35" t="s">
        <v>1598</v>
      </c>
      <c r="R128" s="35" t="s">
        <v>1781</v>
      </c>
      <c r="S128" s="102">
        <v>14.428800000000001</v>
      </c>
      <c r="T128" s="102">
        <v>3.5832999999999999</v>
      </c>
      <c r="U128" s="35" t="s">
        <v>1603</v>
      </c>
      <c r="V128" s="35" t="s">
        <v>1686</v>
      </c>
      <c r="W128" s="102">
        <v>67.5</v>
      </c>
      <c r="X128" s="102">
        <v>56.654499999999999</v>
      </c>
      <c r="Y128" s="102">
        <v>38</v>
      </c>
      <c r="Z128" s="35" t="s">
        <v>1593</v>
      </c>
      <c r="AA128">
        <f>VLOOKUP(A128,Cover!A:R,18,0)</f>
        <v>1</v>
      </c>
      <c r="AB128" s="77">
        <f t="shared" si="72"/>
        <v>13.68666</v>
      </c>
      <c r="AC128" s="77">
        <f t="shared" si="73"/>
        <v>10.8047</v>
      </c>
      <c r="AD128" s="77">
        <f t="shared" si="74"/>
        <v>53.605570386524278</v>
      </c>
      <c r="AE128" s="77">
        <f t="shared" si="75"/>
        <v>47.702448543500722</v>
      </c>
      <c r="AF128" s="77">
        <f t="shared" si="76"/>
        <v>2.5832999999999999</v>
      </c>
      <c r="AG128" s="77">
        <f t="shared" si="77"/>
        <v>17.903775781769792</v>
      </c>
      <c r="AH128" s="77">
        <f t="shared" si="78"/>
        <v>67.5</v>
      </c>
      <c r="AI128" s="77">
        <f t="shared" si="79"/>
        <v>10.845499999999999</v>
      </c>
      <c r="AJ128" s="77">
        <f t="shared" si="80"/>
        <v>56.654499999999999</v>
      </c>
      <c r="AK128" s="77">
        <f t="shared" si="81"/>
        <v>1</v>
      </c>
      <c r="AL128" s="77">
        <f t="shared" si="82"/>
        <v>55.654499999999999</v>
      </c>
      <c r="AM128" s="77">
        <f t="shared" si="83"/>
        <v>82.451111111111103</v>
      </c>
      <c r="AO128" t="s">
        <v>1594</v>
      </c>
      <c r="AP128" t="str">
        <f t="shared" si="63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4"/>
        <v>DDm85-21</v>
      </c>
    </row>
    <row r="129" spans="1:53">
      <c r="A129" s="35" t="s">
        <v>145</v>
      </c>
      <c r="B129" s="35" t="s">
        <v>1607</v>
      </c>
      <c r="C129" s="35" t="s">
        <v>1810</v>
      </c>
      <c r="D129" s="35" t="s">
        <v>1585</v>
      </c>
      <c r="E129" s="35" t="s">
        <v>859</v>
      </c>
      <c r="F129" s="35" t="s">
        <v>1587</v>
      </c>
      <c r="G129" s="102">
        <v>36.6</v>
      </c>
      <c r="H129" s="102">
        <v>41</v>
      </c>
      <c r="I129" s="102">
        <v>650</v>
      </c>
      <c r="J129" s="102">
        <v>35.424999999999997</v>
      </c>
      <c r="K129" s="103">
        <v>44062</v>
      </c>
      <c r="L129" s="102">
        <v>63.830399999999997</v>
      </c>
      <c r="M129" s="102">
        <v>28.4054</v>
      </c>
      <c r="N129" s="102">
        <v>47.088000000000001</v>
      </c>
      <c r="O129" s="102">
        <v>11.663</v>
      </c>
      <c r="P129" s="35" t="s">
        <v>1588</v>
      </c>
      <c r="Q129" s="35" t="s">
        <v>1598</v>
      </c>
      <c r="R129" s="35" t="s">
        <v>1609</v>
      </c>
      <c r="S129" s="102">
        <v>53.330399999999997</v>
      </c>
      <c r="T129" s="102">
        <v>17.9054</v>
      </c>
      <c r="U129" s="35" t="s">
        <v>1603</v>
      </c>
      <c r="V129" s="35" t="s">
        <v>1686</v>
      </c>
      <c r="W129" s="102">
        <v>67.5</v>
      </c>
      <c r="X129" s="102">
        <v>32.075000000000003</v>
      </c>
      <c r="Y129" s="102">
        <v>235</v>
      </c>
      <c r="Z129" s="35" t="s">
        <v>1593</v>
      </c>
      <c r="AA129">
        <f>VLOOKUP(A129,Cover!A:R,18,0)</f>
        <v>5.9</v>
      </c>
      <c r="AB129" s="77">
        <f t="shared" si="72"/>
        <v>22.505400000000002</v>
      </c>
      <c r="AC129" s="77">
        <f t="shared" si="73"/>
        <v>5.7629999999999999</v>
      </c>
      <c r="AD129" s="77">
        <f t="shared" si="74"/>
        <v>35.258121522033392</v>
      </c>
      <c r="AE129" s="77">
        <f t="shared" si="75"/>
        <v>12.238786952089704</v>
      </c>
      <c r="AF129" s="77">
        <f t="shared" si="76"/>
        <v>12.0054</v>
      </c>
      <c r="AG129" s="77">
        <f t="shared" si="77"/>
        <v>22.511363124971872</v>
      </c>
      <c r="AH129" s="77">
        <f t="shared" si="78"/>
        <v>67.5</v>
      </c>
      <c r="AI129" s="77">
        <f t="shared" si="79"/>
        <v>35.424999999999997</v>
      </c>
      <c r="AJ129" s="77">
        <f t="shared" si="80"/>
        <v>32.075000000000003</v>
      </c>
      <c r="AK129" s="77">
        <f t="shared" si="81"/>
        <v>5.9</v>
      </c>
      <c r="AL129" s="77">
        <f t="shared" si="82"/>
        <v>26.175000000000004</v>
      </c>
      <c r="AM129" s="77">
        <f t="shared" si="83"/>
        <v>38.777777777777779</v>
      </c>
      <c r="AO129" t="s">
        <v>1594</v>
      </c>
      <c r="AP129" t="str">
        <f t="shared" si="63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4"/>
        <v>DDm125-33</v>
      </c>
    </row>
    <row r="130" spans="1:53">
      <c r="A130" s="35" t="s">
        <v>146</v>
      </c>
      <c r="B130" s="35" t="s">
        <v>1653</v>
      </c>
      <c r="C130" s="35" t="s">
        <v>1811</v>
      </c>
      <c r="D130" s="35" t="s">
        <v>1585</v>
      </c>
      <c r="E130" s="35" t="s">
        <v>1812</v>
      </c>
      <c r="F130" s="35" t="s">
        <v>1597</v>
      </c>
      <c r="G130" s="102">
        <v>75</v>
      </c>
      <c r="H130" s="102">
        <v>5</v>
      </c>
      <c r="I130" s="102">
        <v>90</v>
      </c>
      <c r="J130" s="102">
        <v>4.9050000000000002</v>
      </c>
      <c r="K130" s="103">
        <v>44652.541666666701</v>
      </c>
      <c r="L130" s="102">
        <v>13.08</v>
      </c>
      <c r="M130" s="102">
        <v>8.1750000000000007</v>
      </c>
      <c r="N130" s="102">
        <v>9.8644999999999996</v>
      </c>
      <c r="O130" s="102">
        <v>4.9595000000000002</v>
      </c>
      <c r="P130" s="35" t="s">
        <v>1591</v>
      </c>
      <c r="Q130" s="35" t="s">
        <v>1598</v>
      </c>
      <c r="R130" s="35" t="s">
        <v>1626</v>
      </c>
      <c r="S130" s="102">
        <v>10.1088</v>
      </c>
      <c r="T130" s="102">
        <v>5.2037999999999798</v>
      </c>
      <c r="U130" s="35" t="s">
        <v>1591</v>
      </c>
      <c r="V130" s="35" t="s">
        <v>1681</v>
      </c>
      <c r="W130" s="102">
        <v>9</v>
      </c>
      <c r="X130" s="102">
        <v>4.0949999999999998</v>
      </c>
      <c r="Y130" s="102">
        <v>4</v>
      </c>
      <c r="Z130" s="35" t="s">
        <v>1593</v>
      </c>
      <c r="AA130">
        <f>VLOOKUP(A130,Cover!A:R,18,0)</f>
        <v>1</v>
      </c>
      <c r="AB130" s="77">
        <f t="shared" si="72"/>
        <v>7.1750000000000007</v>
      </c>
      <c r="AC130" s="77">
        <f t="shared" si="73"/>
        <v>3.9595000000000002</v>
      </c>
      <c r="AD130" s="77">
        <f t="shared" si="74"/>
        <v>54.854740061162083</v>
      </c>
      <c r="AE130" s="77">
        <f t="shared" si="75"/>
        <v>40.138881849054698</v>
      </c>
      <c r="AF130" s="77">
        <f t="shared" si="76"/>
        <v>4.2037999999999798</v>
      </c>
      <c r="AG130" s="77">
        <f t="shared" si="77"/>
        <v>41.585549224437912</v>
      </c>
      <c r="AH130" s="77">
        <f t="shared" si="78"/>
        <v>9</v>
      </c>
      <c r="AI130" s="77">
        <f t="shared" si="79"/>
        <v>4.9050000000000002</v>
      </c>
      <c r="AJ130" s="77">
        <f t="shared" si="80"/>
        <v>4.0949999999999998</v>
      </c>
      <c r="AK130" s="77">
        <f t="shared" si="81"/>
        <v>1</v>
      </c>
      <c r="AL130" s="77">
        <f t="shared" si="82"/>
        <v>3.0949999999999998</v>
      </c>
      <c r="AM130" s="77">
        <f t="shared" si="83"/>
        <v>34.388888888888886</v>
      </c>
      <c r="AO130" t="s">
        <v>1594</v>
      </c>
      <c r="AP130" t="str">
        <f t="shared" si="63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4"/>
        <v>2DDm85-15</v>
      </c>
    </row>
    <row r="131" spans="1:53">
      <c r="A131" s="35" t="s">
        <v>147</v>
      </c>
      <c r="B131" s="35" t="s">
        <v>1607</v>
      </c>
      <c r="C131" s="35" t="s">
        <v>1607</v>
      </c>
      <c r="D131" s="35" t="s">
        <v>1580</v>
      </c>
      <c r="E131" s="35" t="s">
        <v>870</v>
      </c>
      <c r="F131" s="35" t="s">
        <v>1587</v>
      </c>
      <c r="G131" s="102">
        <v>36.6</v>
      </c>
      <c r="H131" s="102">
        <v>26</v>
      </c>
      <c r="I131" s="102">
        <v>646</v>
      </c>
      <c r="J131" s="102">
        <v>35.207000000000001</v>
      </c>
      <c r="K131" s="103">
        <v>45323</v>
      </c>
      <c r="L131" s="102">
        <v>39.893999999999998</v>
      </c>
      <c r="M131" s="102">
        <v>4.6870000000000003</v>
      </c>
      <c r="N131" s="102">
        <v>28.067499999999999</v>
      </c>
      <c r="O131" s="104">
        <v>-7.1395</v>
      </c>
      <c r="P131" s="35" t="s">
        <v>1591</v>
      </c>
      <c r="Q131" s="35" t="s">
        <v>1598</v>
      </c>
      <c r="R131" s="35" t="s">
        <v>1609</v>
      </c>
      <c r="S131" s="102">
        <v>35.553600000000003</v>
      </c>
      <c r="T131" s="102">
        <v>0.34660000000000202</v>
      </c>
      <c r="U131" s="35" t="s">
        <v>1588</v>
      </c>
      <c r="V131" s="35" t="s">
        <v>1813</v>
      </c>
      <c r="W131" s="102">
        <v>73.5</v>
      </c>
      <c r="X131" s="102">
        <v>38.292999999999999</v>
      </c>
      <c r="Y131" s="102">
        <v>119</v>
      </c>
      <c r="Z131" s="35" t="s">
        <v>1814</v>
      </c>
      <c r="AA131">
        <f>VLOOKUP(A131,Cover!A:R,18,0)</f>
        <v>4.4000000000000004</v>
      </c>
      <c r="AB131" s="77">
        <f t="shared" si="72"/>
        <v>0.28699999999999992</v>
      </c>
      <c r="AC131" s="77">
        <f t="shared" si="73"/>
        <v>-11.5395</v>
      </c>
      <c r="AD131" s="77">
        <f t="shared" si="74"/>
        <v>0.71940642703163371</v>
      </c>
      <c r="AE131" s="77">
        <f t="shared" si="75"/>
        <v>-41.11338736973368</v>
      </c>
      <c r="AF131" s="77">
        <f t="shared" si="76"/>
        <v>-4.0533999999999981</v>
      </c>
      <c r="AG131" s="77">
        <f t="shared" si="77"/>
        <v>-11.400814544799958</v>
      </c>
      <c r="AH131" s="77">
        <f t="shared" si="78"/>
        <v>73.5</v>
      </c>
      <c r="AI131" s="77">
        <f t="shared" si="79"/>
        <v>35.207000000000001</v>
      </c>
      <c r="AJ131" s="77">
        <f t="shared" si="80"/>
        <v>38.292999999999999</v>
      </c>
      <c r="AK131" s="77">
        <f t="shared" si="81"/>
        <v>4.4000000000000004</v>
      </c>
      <c r="AL131" s="77">
        <f t="shared" si="82"/>
        <v>33.893000000000001</v>
      </c>
      <c r="AM131" s="77">
        <f t="shared" si="83"/>
        <v>46.112925170068031</v>
      </c>
      <c r="AN131" s="52" t="s">
        <v>1580</v>
      </c>
      <c r="AO131" t="s">
        <v>1594</v>
      </c>
      <c r="AP131" t="str">
        <f t="shared" si="63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4"/>
        <v>DDm125-33</v>
      </c>
    </row>
    <row r="132" spans="1:53">
      <c r="A132" s="35" t="s">
        <v>148</v>
      </c>
      <c r="B132" s="35" t="s">
        <v>1595</v>
      </c>
      <c r="C132" s="35" t="s">
        <v>1815</v>
      </c>
      <c r="D132" s="35" t="s">
        <v>1629</v>
      </c>
      <c r="E132" s="35" t="s">
        <v>1273</v>
      </c>
      <c r="F132" s="35" t="s">
        <v>1587</v>
      </c>
      <c r="G132" s="102">
        <v>36.6</v>
      </c>
      <c r="H132" s="102">
        <v>9</v>
      </c>
      <c r="I132" s="102">
        <v>126</v>
      </c>
      <c r="J132" s="102">
        <v>6.867</v>
      </c>
      <c r="K132" s="103">
        <v>45323</v>
      </c>
      <c r="L132" s="102">
        <v>12.766080000000001</v>
      </c>
      <c r="M132" s="102">
        <v>5.8990799999999997</v>
      </c>
      <c r="N132" s="102">
        <v>9.4720999999999993</v>
      </c>
      <c r="O132" s="102">
        <v>2.6051000000000002</v>
      </c>
      <c r="P132" s="35" t="s">
        <v>1591</v>
      </c>
      <c r="Q132" s="35" t="s">
        <v>1598</v>
      </c>
      <c r="R132" s="35" t="s">
        <v>1626</v>
      </c>
      <c r="S132" s="102">
        <v>10.1088</v>
      </c>
      <c r="T132" s="102">
        <v>3.24179999999998</v>
      </c>
      <c r="U132" s="35" t="s">
        <v>1591</v>
      </c>
      <c r="V132" s="35" t="s">
        <v>1692</v>
      </c>
      <c r="W132" s="102">
        <v>11.25</v>
      </c>
      <c r="X132" s="102">
        <v>4.383</v>
      </c>
      <c r="Y132" s="102">
        <v>29</v>
      </c>
      <c r="Z132" s="35" t="s">
        <v>1593</v>
      </c>
      <c r="AA132">
        <f>VLOOKUP(A132,Cover!A:R,18,0)</f>
        <v>6.4</v>
      </c>
      <c r="AB132" s="77">
        <f t="shared" si="72"/>
        <v>-0.5009200000000007</v>
      </c>
      <c r="AC132" s="77">
        <f t="shared" si="73"/>
        <v>-3.7949000000000002</v>
      </c>
      <c r="AD132" s="77">
        <f t="shared" si="74"/>
        <v>-3.9238356645109591</v>
      </c>
      <c r="AE132" s="77">
        <f t="shared" si="75"/>
        <v>-40.063977365103831</v>
      </c>
      <c r="AF132" s="77">
        <f t="shared" si="76"/>
        <v>-3.1582000000000203</v>
      </c>
      <c r="AG132" s="77">
        <f t="shared" si="77"/>
        <v>-31.242086103197412</v>
      </c>
      <c r="AH132" s="77">
        <f t="shared" si="78"/>
        <v>11.25</v>
      </c>
      <c r="AI132" s="77">
        <f t="shared" si="79"/>
        <v>6.867</v>
      </c>
      <c r="AJ132" s="77">
        <f t="shared" si="80"/>
        <v>4.383</v>
      </c>
      <c r="AK132" s="77">
        <f t="shared" si="81"/>
        <v>6.4</v>
      </c>
      <c r="AL132" s="77">
        <f t="shared" si="82"/>
        <v>-2.0170000000000003</v>
      </c>
      <c r="AM132" s="77">
        <f t="shared" si="83"/>
        <v>-17.928888888888892</v>
      </c>
      <c r="AO132" t="s">
        <v>1594</v>
      </c>
      <c r="AP132" t="str">
        <f t="shared" si="63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4"/>
        <v>2DDm85-15</v>
      </c>
    </row>
    <row r="133" spans="1:53">
      <c r="A133" s="35" t="s">
        <v>149</v>
      </c>
      <c r="B133" s="35" t="s">
        <v>1595</v>
      </c>
      <c r="C133" s="35" t="s">
        <v>1815</v>
      </c>
      <c r="D133" s="35" t="s">
        <v>1580</v>
      </c>
      <c r="E133" s="35" t="s">
        <v>1816</v>
      </c>
      <c r="F133" s="35" t="s">
        <v>1587</v>
      </c>
      <c r="G133" s="102">
        <v>36.6</v>
      </c>
      <c r="H133" s="102">
        <v>9</v>
      </c>
      <c r="I133" s="102">
        <v>113</v>
      </c>
      <c r="J133" s="102">
        <v>6.1585000000000001</v>
      </c>
      <c r="K133" s="103">
        <v>45323</v>
      </c>
      <c r="L133" s="102">
        <v>12.766080000000001</v>
      </c>
      <c r="M133" s="102">
        <v>6.6075799999999996</v>
      </c>
      <c r="N133" s="102">
        <v>10.333199563999999</v>
      </c>
      <c r="O133" s="102">
        <v>4.174699564</v>
      </c>
      <c r="P133" s="35" t="s">
        <v>1648</v>
      </c>
      <c r="Q133" s="35" t="s">
        <v>1616</v>
      </c>
      <c r="R133" s="35" t="s">
        <v>1622</v>
      </c>
      <c r="S133" s="102">
        <v>11.231999999999999</v>
      </c>
      <c r="T133" s="102">
        <v>5.0735000000000001</v>
      </c>
      <c r="U133" s="35" t="s">
        <v>1591</v>
      </c>
      <c r="V133" s="35" t="s">
        <v>1740</v>
      </c>
      <c r="W133" s="102">
        <v>10.5</v>
      </c>
      <c r="X133" s="102">
        <v>4.3414999999999999</v>
      </c>
      <c r="Y133" s="102">
        <v>1</v>
      </c>
      <c r="Z133" s="35" t="s">
        <v>1817</v>
      </c>
      <c r="AA133">
        <f>VLOOKUP(A133,Cover!A:R,18,0)</f>
        <v>4</v>
      </c>
      <c r="AB133" s="77">
        <f t="shared" si="72"/>
        <v>2.6075799999999996</v>
      </c>
      <c r="AC133" s="77">
        <f t="shared" si="73"/>
        <v>0.17469956399999997</v>
      </c>
      <c r="AD133" s="77">
        <f t="shared" si="74"/>
        <v>20.425847245199773</v>
      </c>
      <c r="AE133" s="77">
        <f t="shared" si="75"/>
        <v>1.6906628282747833</v>
      </c>
      <c r="AF133" s="77">
        <f t="shared" si="76"/>
        <v>1.0735000000000001</v>
      </c>
      <c r="AG133" s="77">
        <f t="shared" si="77"/>
        <v>9.5575142450142465</v>
      </c>
      <c r="AH133" s="77">
        <f t="shared" si="78"/>
        <v>10.5</v>
      </c>
      <c r="AI133" s="77">
        <f t="shared" si="79"/>
        <v>6.1585000000000001</v>
      </c>
      <c r="AJ133" s="77">
        <f t="shared" si="80"/>
        <v>4.3414999999999999</v>
      </c>
      <c r="AK133" s="77">
        <f t="shared" si="81"/>
        <v>4</v>
      </c>
      <c r="AL133" s="77">
        <f t="shared" si="82"/>
        <v>0.34149999999999991</v>
      </c>
      <c r="AM133" s="77">
        <f t="shared" si="83"/>
        <v>3.2523809523809515</v>
      </c>
      <c r="AN133" s="52" t="s">
        <v>1580</v>
      </c>
      <c r="AO133" t="s">
        <v>1594</v>
      </c>
      <c r="AP133" t="str">
        <f t="shared" si="63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4"/>
        <v>12V155F</v>
      </c>
    </row>
    <row r="134" spans="1:53">
      <c r="A134" s="35" t="s">
        <v>150</v>
      </c>
      <c r="B134" s="35" t="s">
        <v>1607</v>
      </c>
      <c r="C134" s="35" t="s">
        <v>1607</v>
      </c>
      <c r="D134" s="35" t="s">
        <v>1585</v>
      </c>
      <c r="E134" s="35" t="s">
        <v>862</v>
      </c>
      <c r="F134" s="35" t="s">
        <v>1641</v>
      </c>
      <c r="G134" s="102">
        <v>55</v>
      </c>
      <c r="H134" s="102">
        <v>20</v>
      </c>
      <c r="I134" s="102">
        <v>433</v>
      </c>
      <c r="J134" s="102">
        <v>23.598500000000001</v>
      </c>
      <c r="K134" s="103">
        <v>44369</v>
      </c>
      <c r="L134" s="102">
        <v>45.561999999999998</v>
      </c>
      <c r="M134" s="102">
        <v>21.9635</v>
      </c>
      <c r="N134" s="102">
        <v>35.152500000000003</v>
      </c>
      <c r="O134" s="102">
        <v>11.554</v>
      </c>
      <c r="P134" s="35" t="s">
        <v>1591</v>
      </c>
      <c r="Q134" s="35" t="s">
        <v>1598</v>
      </c>
      <c r="R134" s="35" t="s">
        <v>1609</v>
      </c>
      <c r="S134" s="102">
        <v>35.553600000000003</v>
      </c>
      <c r="T134" s="102">
        <v>11.9551</v>
      </c>
      <c r="U134" s="35" t="s">
        <v>1588</v>
      </c>
      <c r="V134" s="35" t="s">
        <v>1761</v>
      </c>
      <c r="W134" s="102">
        <v>150</v>
      </c>
      <c r="X134" s="102">
        <v>126.4015</v>
      </c>
      <c r="Y134" s="102">
        <v>16</v>
      </c>
      <c r="Z134" s="35" t="s">
        <v>1593</v>
      </c>
      <c r="AA134">
        <f>VLOOKUP(A134,Cover!A:R,18,0)</f>
        <v>10.4</v>
      </c>
      <c r="AB134" s="77">
        <f t="shared" si="72"/>
        <v>11.563499999999999</v>
      </c>
      <c r="AC134" s="77">
        <f t="shared" si="73"/>
        <v>1.1539999999999999</v>
      </c>
      <c r="AD134" s="77">
        <f t="shared" si="74"/>
        <v>25.379702383565252</v>
      </c>
      <c r="AE134" s="77">
        <f t="shared" si="75"/>
        <v>3.2828390583884497</v>
      </c>
      <c r="AF134" s="77">
        <f t="shared" si="76"/>
        <v>1.5550999999999995</v>
      </c>
      <c r="AG134" s="77">
        <f t="shared" si="77"/>
        <v>4.3739593177624752</v>
      </c>
      <c r="AH134" s="77">
        <f t="shared" si="78"/>
        <v>150</v>
      </c>
      <c r="AI134" s="77">
        <f t="shared" si="79"/>
        <v>23.598500000000001</v>
      </c>
      <c r="AJ134" s="77">
        <f t="shared" si="80"/>
        <v>126.4015</v>
      </c>
      <c r="AK134" s="77">
        <f t="shared" si="81"/>
        <v>10.4</v>
      </c>
      <c r="AL134" s="77">
        <f t="shared" si="82"/>
        <v>116.00149999999999</v>
      </c>
      <c r="AM134" s="77">
        <f t="shared" si="83"/>
        <v>77.334333333333333</v>
      </c>
      <c r="AO134" t="s">
        <v>1594</v>
      </c>
      <c r="AP134" t="str">
        <f t="shared" si="63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4"/>
        <v>DDm125-33</v>
      </c>
    </row>
    <row r="135" spans="1:53">
      <c r="A135" s="35" t="s">
        <v>151</v>
      </c>
      <c r="B135" s="35" t="s">
        <v>1607</v>
      </c>
      <c r="C135" s="35" t="s">
        <v>1607</v>
      </c>
      <c r="D135" s="35" t="s">
        <v>1580</v>
      </c>
      <c r="E135" s="35" t="s">
        <v>1818</v>
      </c>
      <c r="F135" s="35" t="s">
        <v>1819</v>
      </c>
      <c r="G135" s="102">
        <v>31</v>
      </c>
      <c r="H135" s="102">
        <v>32</v>
      </c>
      <c r="I135" s="102">
        <v>547</v>
      </c>
      <c r="J135" s="102">
        <v>29.811499999999999</v>
      </c>
      <c r="K135" s="103">
        <v>45323</v>
      </c>
      <c r="L135" s="102">
        <v>41.8996</v>
      </c>
      <c r="M135" s="102">
        <v>12.088100000000001</v>
      </c>
      <c r="N135" s="102">
        <v>21.8</v>
      </c>
      <c r="O135" s="104">
        <v>-8.0114999999999998</v>
      </c>
      <c r="P135" s="35" t="s">
        <v>1588</v>
      </c>
      <c r="Q135" s="35" t="s">
        <v>1598</v>
      </c>
      <c r="R135" s="35" t="s">
        <v>1820</v>
      </c>
      <c r="S135" s="102">
        <v>49.247999999999998</v>
      </c>
      <c r="T135" s="102">
        <v>19.436499999999999</v>
      </c>
      <c r="U135" s="35" t="s">
        <v>1588</v>
      </c>
      <c r="V135" s="35" t="s">
        <v>1821</v>
      </c>
      <c r="W135" s="102">
        <v>42</v>
      </c>
      <c r="X135" s="102">
        <v>12.188499999999999</v>
      </c>
      <c r="Y135" s="102">
        <v>3</v>
      </c>
      <c r="Z135" s="35" t="s">
        <v>1822</v>
      </c>
      <c r="AA135">
        <f>VLOOKUP(A135,Cover!A:R,18,0)</f>
        <v>1</v>
      </c>
      <c r="AB135" s="77">
        <f t="shared" ref="AB135" si="122">M135-AA135</f>
        <v>11.088100000000001</v>
      </c>
      <c r="AC135" s="77">
        <f t="shared" ref="AC135" si="123">O135-AA135</f>
        <v>-9.0114999999999998</v>
      </c>
      <c r="AD135" s="77">
        <f>AB135/L135%</f>
        <v>26.463498458219174</v>
      </c>
      <c r="AE135" s="77">
        <f>AC135/N135%</f>
        <v>-41.337155963302749</v>
      </c>
      <c r="AF135" s="77">
        <f>T135-AA135</f>
        <v>18.436499999999999</v>
      </c>
      <c r="AG135" s="77">
        <f>AF135/S135%</f>
        <v>37.436038011695906</v>
      </c>
      <c r="AH135" s="77">
        <f>W135</f>
        <v>42</v>
      </c>
      <c r="AI135" s="77">
        <f>J135</f>
        <v>29.811499999999999</v>
      </c>
      <c r="AJ135" s="77">
        <f>AH135-AI135</f>
        <v>12.188500000000001</v>
      </c>
      <c r="AK135" s="77">
        <f>AA135</f>
        <v>1</v>
      </c>
      <c r="AL135" s="77">
        <f>AJ135-AK135</f>
        <v>11.188500000000001</v>
      </c>
      <c r="AM135" s="77">
        <f>AL135/AH135%</f>
        <v>26.63928571428572</v>
      </c>
      <c r="AO135" t="s">
        <v>1594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4"/>
        <v>SBS EON 1800</v>
      </c>
    </row>
    <row r="136" spans="1:53">
      <c r="A136" s="35" t="s">
        <v>152</v>
      </c>
      <c r="B136" s="35" t="s">
        <v>1583</v>
      </c>
      <c r="C136" s="35" t="s">
        <v>1823</v>
      </c>
      <c r="D136" s="35" t="s">
        <v>1585</v>
      </c>
      <c r="E136" s="35" t="s">
        <v>1295</v>
      </c>
      <c r="F136" s="35" t="s">
        <v>1587</v>
      </c>
      <c r="G136" s="102">
        <v>36.6</v>
      </c>
      <c r="H136" s="102">
        <v>26</v>
      </c>
      <c r="I136" s="102">
        <v>285</v>
      </c>
      <c r="J136" s="102">
        <v>15.532500000000001</v>
      </c>
      <c r="K136" s="103">
        <v>44854</v>
      </c>
      <c r="L136" s="102">
        <v>39.893999999999998</v>
      </c>
      <c r="M136" s="102">
        <v>24.361499999999999</v>
      </c>
      <c r="N136" s="102">
        <v>28.067499999999999</v>
      </c>
      <c r="O136" s="102">
        <v>12.535</v>
      </c>
      <c r="P136" s="35" t="s">
        <v>1591</v>
      </c>
      <c r="Q136" s="35" t="s">
        <v>1598</v>
      </c>
      <c r="R136" s="35" t="s">
        <v>1609</v>
      </c>
      <c r="S136" s="102">
        <v>35.553600000000003</v>
      </c>
      <c r="T136" s="102">
        <v>20.021100000000001</v>
      </c>
      <c r="U136" s="35" t="s">
        <v>1588</v>
      </c>
      <c r="V136" s="35" t="s">
        <v>1600</v>
      </c>
      <c r="W136" s="102">
        <v>22.5</v>
      </c>
      <c r="X136" s="102">
        <v>6.9675000000000002</v>
      </c>
      <c r="Y136" s="102">
        <v>98</v>
      </c>
      <c r="Z136" s="35" t="s">
        <v>1593</v>
      </c>
      <c r="AA136">
        <f>VLOOKUP(A136,Cover!A:R,18,0)</f>
        <v>6.7</v>
      </c>
      <c r="AB136" s="77">
        <f t="shared" si="72"/>
        <v>17.6615</v>
      </c>
      <c r="AC136" s="77">
        <f t="shared" si="73"/>
        <v>5.835</v>
      </c>
      <c r="AD136" s="77">
        <f t="shared" si="74"/>
        <v>44.271068331077359</v>
      </c>
      <c r="AE136" s="77">
        <f t="shared" si="75"/>
        <v>20.78916896766723</v>
      </c>
      <c r="AF136" s="77">
        <f t="shared" si="76"/>
        <v>13.321100000000001</v>
      </c>
      <c r="AG136" s="77">
        <f t="shared" si="77"/>
        <v>37.467654470995903</v>
      </c>
      <c r="AH136" s="77">
        <f t="shared" si="78"/>
        <v>22.5</v>
      </c>
      <c r="AI136" s="77">
        <f t="shared" si="79"/>
        <v>15.532500000000001</v>
      </c>
      <c r="AJ136" s="77">
        <f t="shared" si="80"/>
        <v>6.9674999999999994</v>
      </c>
      <c r="AK136" s="77">
        <f t="shared" si="81"/>
        <v>6.7</v>
      </c>
      <c r="AL136" s="77">
        <f t="shared" si="82"/>
        <v>0.26749999999999918</v>
      </c>
      <c r="AM136" s="77">
        <f t="shared" si="83"/>
        <v>1.1888888888888853</v>
      </c>
      <c r="AO136" t="s">
        <v>1594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4"/>
        <v>DDm125-33</v>
      </c>
    </row>
    <row r="137" spans="1:53">
      <c r="A137" s="35" t="s">
        <v>153</v>
      </c>
      <c r="B137" s="35" t="s">
        <v>1624</v>
      </c>
      <c r="C137" s="35" t="s">
        <v>1824</v>
      </c>
      <c r="D137" s="35" t="s">
        <v>1580</v>
      </c>
      <c r="E137" s="35" t="s">
        <v>1478</v>
      </c>
      <c r="F137" s="35" t="s">
        <v>1587</v>
      </c>
      <c r="G137" s="102">
        <v>36.6</v>
      </c>
      <c r="H137" s="102">
        <v>5</v>
      </c>
      <c r="I137" s="102">
        <v>99</v>
      </c>
      <c r="J137" s="102">
        <v>5.3955000000000002</v>
      </c>
      <c r="K137" s="103">
        <v>44383.583333333299</v>
      </c>
      <c r="L137" s="102">
        <v>6.3830400000000003</v>
      </c>
      <c r="M137" s="102">
        <v>0.98753999999999997</v>
      </c>
      <c r="N137" s="102">
        <v>4.7088000000000001</v>
      </c>
      <c r="O137" s="104">
        <v>-0.68669999999999998</v>
      </c>
      <c r="P137" s="35" t="s">
        <v>1634</v>
      </c>
      <c r="Q137" s="35" t="s">
        <v>1598</v>
      </c>
      <c r="R137" s="35" t="s">
        <v>1825</v>
      </c>
      <c r="S137" s="102">
        <v>9.2145600000000005</v>
      </c>
      <c r="T137" s="102">
        <v>3.8190599999999999</v>
      </c>
      <c r="U137" s="35" t="s">
        <v>1675</v>
      </c>
      <c r="V137" s="35" t="s">
        <v>1681</v>
      </c>
      <c r="W137" s="102">
        <v>9</v>
      </c>
      <c r="X137" s="102">
        <v>3.6044999999999998</v>
      </c>
      <c r="Y137" s="102">
        <v>4</v>
      </c>
      <c r="Z137" s="35" t="s">
        <v>1826</v>
      </c>
      <c r="AA137">
        <f>VLOOKUP(A137,Cover!A:R,18,0)</f>
        <v>0</v>
      </c>
      <c r="AB137" s="77">
        <f t="shared" si="72"/>
        <v>0.98753999999999997</v>
      </c>
      <c r="AC137" s="77">
        <f t="shared" si="73"/>
        <v>-0.68669999999999998</v>
      </c>
      <c r="AD137" s="77">
        <f t="shared" si="74"/>
        <v>15.471311475409834</v>
      </c>
      <c r="AE137" s="77">
        <f t="shared" si="75"/>
        <v>-14.583333333333334</v>
      </c>
      <c r="AF137" s="77">
        <f t="shared" si="76"/>
        <v>3.8190599999999999</v>
      </c>
      <c r="AG137" s="77">
        <f t="shared" si="77"/>
        <v>41.445929051414282</v>
      </c>
      <c r="AH137" s="77">
        <f t="shared" si="78"/>
        <v>9</v>
      </c>
      <c r="AI137" s="77">
        <f t="shared" si="79"/>
        <v>5.3955000000000002</v>
      </c>
      <c r="AJ137" s="77">
        <f t="shared" si="80"/>
        <v>3.6044999999999998</v>
      </c>
      <c r="AK137" s="77">
        <f t="shared" si="81"/>
        <v>0</v>
      </c>
      <c r="AL137" s="77">
        <f t="shared" si="82"/>
        <v>3.6044999999999998</v>
      </c>
      <c r="AM137" s="77">
        <f t="shared" si="83"/>
        <v>40.049999999999997</v>
      </c>
      <c r="AN137" s="52" t="s">
        <v>1580</v>
      </c>
      <c r="AO137" t="s">
        <v>1594</v>
      </c>
      <c r="AP137" t="str">
        <f t="shared" si="63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4"/>
        <v xml:space="preserve">12V101F </v>
      </c>
    </row>
    <row r="138" spans="1:53">
      <c r="A138" s="35" t="s">
        <v>154</v>
      </c>
      <c r="B138" s="35" t="s">
        <v>1583</v>
      </c>
      <c r="C138" s="35" t="s">
        <v>1827</v>
      </c>
      <c r="D138" s="35" t="s">
        <v>1580</v>
      </c>
      <c r="E138" s="35" t="s">
        <v>791</v>
      </c>
      <c r="F138" s="35" t="s">
        <v>1597</v>
      </c>
      <c r="G138" s="102">
        <v>75</v>
      </c>
      <c r="H138" s="102">
        <v>3</v>
      </c>
      <c r="I138" s="102">
        <v>16</v>
      </c>
      <c r="J138" s="102">
        <v>0.872</v>
      </c>
      <c r="K138" s="103">
        <v>44413.708333333299</v>
      </c>
      <c r="L138" s="102">
        <v>6.54</v>
      </c>
      <c r="M138" s="102">
        <v>5.6680000000000001</v>
      </c>
      <c r="N138" s="102">
        <v>7.2267000000000001</v>
      </c>
      <c r="O138" s="102">
        <v>6.3547000000000002</v>
      </c>
      <c r="P138" s="35" t="s">
        <v>1591</v>
      </c>
      <c r="Q138" s="35" t="s">
        <v>1616</v>
      </c>
      <c r="R138" s="35" t="s">
        <v>1739</v>
      </c>
      <c r="S138" s="102">
        <v>1.7927999999999999</v>
      </c>
      <c r="T138" s="102">
        <v>0.92079999999999995</v>
      </c>
      <c r="U138" s="35" t="s">
        <v>1591</v>
      </c>
      <c r="V138" s="35" t="s">
        <v>1608</v>
      </c>
      <c r="W138" s="102">
        <v>3.75</v>
      </c>
      <c r="X138" s="102">
        <v>2.8780000000000001</v>
      </c>
      <c r="Y138" s="102">
        <v>1</v>
      </c>
      <c r="Z138" s="35" t="s">
        <v>1676</v>
      </c>
      <c r="AA138">
        <f>VLOOKUP(A138,Cover!A:R,18,0)</f>
        <v>0</v>
      </c>
      <c r="AB138" s="77">
        <f t="shared" si="72"/>
        <v>5.6680000000000001</v>
      </c>
      <c r="AC138" s="77">
        <f t="shared" si="73"/>
        <v>6.3547000000000002</v>
      </c>
      <c r="AD138" s="77">
        <f t="shared" si="74"/>
        <v>86.666666666666671</v>
      </c>
      <c r="AE138" s="77">
        <f t="shared" si="75"/>
        <v>87.933634992458522</v>
      </c>
      <c r="AF138" s="77">
        <f t="shared" si="76"/>
        <v>0.92079999999999995</v>
      </c>
      <c r="AG138" s="77">
        <f t="shared" si="77"/>
        <v>51.36099955377064</v>
      </c>
      <c r="AH138" s="77">
        <f t="shared" si="78"/>
        <v>3.75</v>
      </c>
      <c r="AI138" s="77">
        <f t="shared" si="79"/>
        <v>0.872</v>
      </c>
      <c r="AJ138" s="77">
        <f t="shared" si="80"/>
        <v>2.8780000000000001</v>
      </c>
      <c r="AK138" s="77">
        <f t="shared" si="81"/>
        <v>0</v>
      </c>
      <c r="AL138" s="77">
        <f t="shared" si="82"/>
        <v>2.8780000000000001</v>
      </c>
      <c r="AM138" s="77">
        <f t="shared" si="83"/>
        <v>76.74666666666667</v>
      </c>
      <c r="AN138" s="52" t="s">
        <v>1580</v>
      </c>
      <c r="AO138" t="s">
        <v>1594</v>
      </c>
      <c r="AP138" t="str">
        <f t="shared" si="63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4"/>
        <v>12V105F</v>
      </c>
    </row>
    <row r="139" spans="1:53">
      <c r="A139" s="35" t="s">
        <v>155</v>
      </c>
      <c r="B139" s="35" t="s">
        <v>1672</v>
      </c>
      <c r="C139" s="35" t="s">
        <v>1828</v>
      </c>
      <c r="D139" s="35" t="s">
        <v>1585</v>
      </c>
      <c r="E139" s="35" t="s">
        <v>1153</v>
      </c>
      <c r="F139" s="35" t="s">
        <v>1587</v>
      </c>
      <c r="G139" s="102">
        <v>36.6</v>
      </c>
      <c r="H139" s="102">
        <v>9</v>
      </c>
      <c r="I139" s="102">
        <v>123</v>
      </c>
      <c r="J139" s="102">
        <v>6.7035</v>
      </c>
      <c r="K139" s="103">
        <v>45323</v>
      </c>
      <c r="L139" s="102">
        <v>12.766080000000001</v>
      </c>
      <c r="M139" s="102">
        <v>6.0625799999999996</v>
      </c>
      <c r="N139" s="102">
        <v>9.4720999999999993</v>
      </c>
      <c r="O139" s="102">
        <v>2.7686000000000002</v>
      </c>
      <c r="P139" s="35" t="s">
        <v>1591</v>
      </c>
      <c r="Q139" s="35" t="s">
        <v>1598</v>
      </c>
      <c r="R139" s="35" t="s">
        <v>1626</v>
      </c>
      <c r="S139" s="102">
        <v>10.1088</v>
      </c>
      <c r="T139" s="102">
        <v>3.40529999999998</v>
      </c>
      <c r="U139" s="35" t="s">
        <v>1591</v>
      </c>
      <c r="V139" s="35" t="s">
        <v>1600</v>
      </c>
      <c r="W139" s="102">
        <v>22.5</v>
      </c>
      <c r="X139" s="102">
        <v>15.7965</v>
      </c>
      <c r="Y139" s="102">
        <v>4</v>
      </c>
      <c r="Z139" s="35" t="s">
        <v>1593</v>
      </c>
      <c r="AA139">
        <f>VLOOKUP(A139,Cover!A:R,18,0)</f>
        <v>1</v>
      </c>
      <c r="AB139" s="77">
        <f t="shared" si="72"/>
        <v>5.0625799999999996</v>
      </c>
      <c r="AC139" s="77">
        <f t="shared" si="73"/>
        <v>1.7686000000000002</v>
      </c>
      <c r="AD139" s="77">
        <f t="shared" si="74"/>
        <v>39.6564959643054</v>
      </c>
      <c r="AE139" s="77">
        <f t="shared" si="75"/>
        <v>18.671677875022436</v>
      </c>
      <c r="AF139" s="77">
        <f t="shared" si="76"/>
        <v>2.40529999999998</v>
      </c>
      <c r="AG139" s="77">
        <f t="shared" si="77"/>
        <v>23.794119974675329</v>
      </c>
      <c r="AH139" s="77">
        <f t="shared" si="78"/>
        <v>22.5</v>
      </c>
      <c r="AI139" s="77">
        <f t="shared" si="79"/>
        <v>6.7035</v>
      </c>
      <c r="AJ139" s="77">
        <f t="shared" si="80"/>
        <v>15.7965</v>
      </c>
      <c r="AK139" s="77">
        <f t="shared" si="81"/>
        <v>1</v>
      </c>
      <c r="AL139" s="77">
        <f t="shared" si="82"/>
        <v>14.7965</v>
      </c>
      <c r="AM139" s="77">
        <f t="shared" si="83"/>
        <v>65.762222222222221</v>
      </c>
      <c r="AO139" t="s">
        <v>1594</v>
      </c>
      <c r="AP139" t="str">
        <f t="shared" si="63"/>
        <v>2DDm85-15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4">IFERROR(LEFT(R139,FIND("(",R139,1)-1),R139)</f>
        <v>2DDm85-15</v>
      </c>
    </row>
    <row r="140" spans="1:53">
      <c r="A140" s="35" t="s">
        <v>156</v>
      </c>
      <c r="B140" s="35" t="s">
        <v>1636</v>
      </c>
      <c r="C140" s="35" t="s">
        <v>1829</v>
      </c>
      <c r="D140" s="35" t="s">
        <v>1585</v>
      </c>
      <c r="E140" s="35" t="s">
        <v>1014</v>
      </c>
      <c r="F140" s="35" t="s">
        <v>1587</v>
      </c>
      <c r="G140" s="102">
        <v>36.6</v>
      </c>
      <c r="H140" s="102">
        <v>70</v>
      </c>
      <c r="I140" s="102">
        <v>929</v>
      </c>
      <c r="J140" s="102">
        <v>50.630499999999998</v>
      </c>
      <c r="K140" s="103">
        <v>45323</v>
      </c>
      <c r="L140" s="102">
        <v>110.10744</v>
      </c>
      <c r="M140" s="102">
        <v>59.476939999999999</v>
      </c>
      <c r="N140" s="102">
        <v>76.594300000000004</v>
      </c>
      <c r="O140" s="102">
        <v>25.963799999999999</v>
      </c>
      <c r="P140" s="35" t="s">
        <v>1603</v>
      </c>
      <c r="Q140" s="35" t="s">
        <v>1598</v>
      </c>
      <c r="R140" s="35" t="s">
        <v>1830</v>
      </c>
      <c r="S140" s="102">
        <v>95.610240000000005</v>
      </c>
      <c r="T140" s="102">
        <v>44.97974</v>
      </c>
      <c r="U140" s="35" t="s">
        <v>1588</v>
      </c>
      <c r="V140" s="35" t="s">
        <v>1714</v>
      </c>
      <c r="W140" s="102">
        <v>60</v>
      </c>
      <c r="X140" s="102">
        <v>9.3695000000000004</v>
      </c>
      <c r="Y140" s="102">
        <v>11</v>
      </c>
      <c r="Z140" s="35" t="s">
        <v>1593</v>
      </c>
      <c r="AA140">
        <f>VLOOKUP(A140,Cover!A:R,18,0)</f>
        <v>13</v>
      </c>
      <c r="AB140" s="77">
        <f t="shared" si="72"/>
        <v>46.476939999999999</v>
      </c>
      <c r="AC140" s="77">
        <f t="shared" si="73"/>
        <v>12.963799999999999</v>
      </c>
      <c r="AD140" s="77">
        <f t="shared" si="74"/>
        <v>42.210535455188136</v>
      </c>
      <c r="AE140" s="77">
        <f t="shared" si="75"/>
        <v>16.925280340704202</v>
      </c>
      <c r="AF140" s="77">
        <f t="shared" si="76"/>
        <v>31.97974</v>
      </c>
      <c r="AG140" s="77">
        <f t="shared" si="77"/>
        <v>33.44802816100033</v>
      </c>
      <c r="AH140" s="77">
        <f>'Multiroom cooling'!F12</f>
        <v>82.5</v>
      </c>
      <c r="AI140" s="77">
        <f t="shared" si="79"/>
        <v>50.630499999999998</v>
      </c>
      <c r="AJ140" s="77">
        <f t="shared" si="80"/>
        <v>31.869500000000002</v>
      </c>
      <c r="AK140" s="77">
        <f t="shared" si="81"/>
        <v>13</v>
      </c>
      <c r="AL140" s="77">
        <f t="shared" si="82"/>
        <v>18.869500000000002</v>
      </c>
      <c r="AM140" s="77">
        <f t="shared" si="83"/>
        <v>22.872121212121215</v>
      </c>
      <c r="AO140" t="s">
        <v>1594</v>
      </c>
      <c r="AP140" t="str">
        <f t="shared" si="63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4"/>
        <v>2CP3000</v>
      </c>
    </row>
    <row r="141" spans="1:53">
      <c r="A141" s="35" t="s">
        <v>157</v>
      </c>
      <c r="B141" s="35" t="s">
        <v>1653</v>
      </c>
      <c r="C141" s="35" t="s">
        <v>1831</v>
      </c>
      <c r="D141" s="35" t="s">
        <v>1580</v>
      </c>
      <c r="E141" s="35" t="s">
        <v>1062</v>
      </c>
      <c r="F141" s="35" t="s">
        <v>1641</v>
      </c>
      <c r="G141" s="102">
        <v>55</v>
      </c>
      <c r="H141" s="102">
        <v>8</v>
      </c>
      <c r="I141" s="102">
        <v>45</v>
      </c>
      <c r="J141" s="102">
        <v>2.4525000000000001</v>
      </c>
      <c r="K141" s="103">
        <v>44713.541666666701</v>
      </c>
      <c r="L141" s="102">
        <v>16.786000000000001</v>
      </c>
      <c r="M141" s="102">
        <v>14.333500000000001</v>
      </c>
      <c r="N141" s="102">
        <v>17.712499999999999</v>
      </c>
      <c r="O141" s="102">
        <v>15.26</v>
      </c>
      <c r="P141" s="35" t="s">
        <v>1634</v>
      </c>
      <c r="Q141" s="35" t="s">
        <v>1598</v>
      </c>
      <c r="R141" s="35" t="s">
        <v>1694</v>
      </c>
      <c r="S141" s="102">
        <v>5.3784000000000001</v>
      </c>
      <c r="T141" s="102">
        <v>2.9258999999999999</v>
      </c>
      <c r="U141" s="35" t="s">
        <v>1675</v>
      </c>
      <c r="V141" s="35" t="s">
        <v>1832</v>
      </c>
      <c r="W141" s="102">
        <v>24</v>
      </c>
      <c r="X141" s="102">
        <v>21.547499999999999</v>
      </c>
      <c r="Y141" s="102">
        <v>4</v>
      </c>
      <c r="Z141" s="35" t="s">
        <v>8</v>
      </c>
      <c r="AA141">
        <f>VLOOKUP(A141,Cover!A:R,18,0)</f>
        <v>0</v>
      </c>
      <c r="AB141" s="77">
        <f t="shared" si="72"/>
        <v>14.333500000000001</v>
      </c>
      <c r="AC141" s="77">
        <f t="shared" si="73"/>
        <v>15.26</v>
      </c>
      <c r="AD141" s="77">
        <f t="shared" si="74"/>
        <v>85.389610389610397</v>
      </c>
      <c r="AE141" s="77">
        <f t="shared" si="75"/>
        <v>86.15384615384616</v>
      </c>
      <c r="AF141" s="77">
        <f t="shared" si="76"/>
        <v>2.9258999999999999</v>
      </c>
      <c r="AG141" s="77">
        <f t="shared" si="77"/>
        <v>54.400937081659976</v>
      </c>
      <c r="AH141" s="345">
        <f>AVERAGE(W141:W142)</f>
        <v>24</v>
      </c>
      <c r="AI141" s="345">
        <f>SUM(J141:J142)</f>
        <v>7.0305</v>
      </c>
      <c r="AJ141" s="345">
        <f t="shared" si="80"/>
        <v>16.9695</v>
      </c>
      <c r="AK141" s="345">
        <f>SUM(AA141:AA142)</f>
        <v>0</v>
      </c>
      <c r="AL141" s="345">
        <f t="shared" si="82"/>
        <v>16.9695</v>
      </c>
      <c r="AM141" s="346">
        <f t="shared" si="83"/>
        <v>70.706249999999997</v>
      </c>
      <c r="AN141" s="52" t="s">
        <v>1580</v>
      </c>
      <c r="AO141" t="s">
        <v>1651</v>
      </c>
      <c r="AP141" t="str">
        <f t="shared" si="63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4"/>
        <v xml:space="preserve">12V101F </v>
      </c>
    </row>
    <row r="142" spans="1:53">
      <c r="A142" s="35" t="s">
        <v>158</v>
      </c>
      <c r="B142" s="35" t="s">
        <v>1653</v>
      </c>
      <c r="C142" s="35" t="s">
        <v>1831</v>
      </c>
      <c r="D142" s="35" t="s">
        <v>1580</v>
      </c>
      <c r="E142" s="35" t="s">
        <v>1062</v>
      </c>
      <c r="F142" s="35" t="s">
        <v>1641</v>
      </c>
      <c r="G142" s="102">
        <v>55</v>
      </c>
      <c r="H142" s="102">
        <v>8</v>
      </c>
      <c r="I142" s="102">
        <v>84</v>
      </c>
      <c r="J142" s="102">
        <v>4.5780000000000003</v>
      </c>
      <c r="K142" s="103">
        <v>44700.645833333299</v>
      </c>
      <c r="L142" s="102">
        <v>16.786000000000001</v>
      </c>
      <c r="M142" s="102">
        <v>12.208</v>
      </c>
      <c r="N142" s="102">
        <v>17.712499999999999</v>
      </c>
      <c r="O142" s="102">
        <v>13.134499999999999</v>
      </c>
      <c r="P142" s="35" t="s">
        <v>1634</v>
      </c>
      <c r="Q142" s="35" t="s">
        <v>1598</v>
      </c>
      <c r="R142" s="35" t="s">
        <v>1694</v>
      </c>
      <c r="S142" s="102">
        <v>5.3784000000000001</v>
      </c>
      <c r="T142" s="102">
        <v>0.800400000000001</v>
      </c>
      <c r="U142" s="35" t="s">
        <v>1675</v>
      </c>
      <c r="V142" s="35" t="s">
        <v>1832</v>
      </c>
      <c r="W142" s="102">
        <v>24</v>
      </c>
      <c r="X142" s="102">
        <v>19.422000000000001</v>
      </c>
      <c r="Y142" s="102">
        <v>4</v>
      </c>
      <c r="Z142" s="35" t="s">
        <v>8</v>
      </c>
      <c r="AA142">
        <f>VLOOKUP(A142,Cover!A:R,18,0)</f>
        <v>0</v>
      </c>
      <c r="AB142" s="77">
        <f t="shared" si="72"/>
        <v>12.208</v>
      </c>
      <c r="AC142" s="77">
        <f t="shared" si="73"/>
        <v>13.134499999999999</v>
      </c>
      <c r="AD142" s="77">
        <f t="shared" si="74"/>
        <v>72.72727272727272</v>
      </c>
      <c r="AE142" s="77">
        <f t="shared" si="75"/>
        <v>74.15384615384616</v>
      </c>
      <c r="AF142" s="77">
        <f t="shared" si="76"/>
        <v>0.800400000000001</v>
      </c>
      <c r="AG142" s="77">
        <f t="shared" si="77"/>
        <v>14.881749219098635</v>
      </c>
      <c r="AH142" s="345"/>
      <c r="AI142" s="345"/>
      <c r="AJ142" s="345"/>
      <c r="AK142" s="345"/>
      <c r="AL142" s="345"/>
      <c r="AM142" s="346"/>
      <c r="AN142" s="52" t="s">
        <v>1580</v>
      </c>
      <c r="AO142" t="s">
        <v>1651</v>
      </c>
      <c r="AP142" t="str">
        <f t="shared" si="63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4"/>
        <v xml:space="preserve">12V101F </v>
      </c>
    </row>
    <row r="143" spans="1:53">
      <c r="A143" s="35" t="s">
        <v>159</v>
      </c>
      <c r="B143" s="35" t="s">
        <v>1653</v>
      </c>
      <c r="C143" s="35" t="s">
        <v>1831</v>
      </c>
      <c r="D143" s="35" t="s">
        <v>1629</v>
      </c>
      <c r="E143" s="35" t="s">
        <v>1070</v>
      </c>
      <c r="F143" s="35" t="s">
        <v>1641</v>
      </c>
      <c r="G143" s="102">
        <v>55</v>
      </c>
      <c r="H143" s="102">
        <v>69</v>
      </c>
      <c r="I143" s="102">
        <v>1461</v>
      </c>
      <c r="J143" s="102">
        <v>79.624499999999998</v>
      </c>
      <c r="K143" s="103">
        <v>45323</v>
      </c>
      <c r="L143" s="102">
        <v>163.06399999999999</v>
      </c>
      <c r="M143" s="102">
        <v>83.439499999999995</v>
      </c>
      <c r="N143" s="102">
        <v>138.43</v>
      </c>
      <c r="O143" s="102">
        <v>58.805500000000002</v>
      </c>
      <c r="P143" s="35" t="s">
        <v>1634</v>
      </c>
      <c r="Q143" s="35" t="s">
        <v>1598</v>
      </c>
      <c r="R143" s="35" t="s">
        <v>1609</v>
      </c>
      <c r="S143" s="102">
        <v>106.66079999999999</v>
      </c>
      <c r="T143" s="102">
        <v>27.0363000000001</v>
      </c>
      <c r="U143" s="35" t="s">
        <v>1638</v>
      </c>
      <c r="V143" s="35" t="s">
        <v>1833</v>
      </c>
      <c r="W143" s="102">
        <v>195</v>
      </c>
      <c r="X143" s="102">
        <v>115.3755</v>
      </c>
      <c r="Y143" s="102">
        <v>37</v>
      </c>
      <c r="Z143" s="35" t="s">
        <v>1593</v>
      </c>
      <c r="AA143">
        <f>VLOOKUP(A143,Cover!A:R,18,0)</f>
        <v>14.6</v>
      </c>
      <c r="AB143" s="77">
        <f t="shared" si="72"/>
        <v>68.839500000000001</v>
      </c>
      <c r="AC143" s="77">
        <f t="shared" si="73"/>
        <v>44.205500000000001</v>
      </c>
      <c r="AD143" s="77">
        <f t="shared" si="74"/>
        <v>42.21624638178875</v>
      </c>
      <c r="AE143" s="77">
        <f t="shared" si="75"/>
        <v>31.933468178862963</v>
      </c>
      <c r="AF143" s="77">
        <f t="shared" si="76"/>
        <v>12.4363000000001</v>
      </c>
      <c r="AG143" s="77">
        <f t="shared" si="77"/>
        <v>11.659672531989354</v>
      </c>
      <c r="AH143" s="345">
        <f>AVERAGE(W143:W144)</f>
        <v>195</v>
      </c>
      <c r="AI143" s="345">
        <f>SUM(J143:J144)</f>
        <v>132.81649999999999</v>
      </c>
      <c r="AJ143" s="345">
        <f t="shared" si="80"/>
        <v>62.183500000000009</v>
      </c>
      <c r="AK143" s="345">
        <f>SUM(AA143:AA144)</f>
        <v>33.1</v>
      </c>
      <c r="AL143" s="345">
        <f t="shared" si="82"/>
        <v>29.083500000000008</v>
      </c>
      <c r="AM143" s="346">
        <f t="shared" si="83"/>
        <v>14.91461538461539</v>
      </c>
      <c r="AN143" s="52"/>
      <c r="AO143" t="s">
        <v>1651</v>
      </c>
      <c r="AP143" t="str">
        <f t="shared" ref="AP143:AP208" si="125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4"/>
        <v>DDm125-33</v>
      </c>
    </row>
    <row r="144" spans="1:53">
      <c r="A144" s="35" t="s">
        <v>160</v>
      </c>
      <c r="B144" s="35" t="s">
        <v>1653</v>
      </c>
      <c r="C144" s="35" t="s">
        <v>1831</v>
      </c>
      <c r="D144" s="35" t="s">
        <v>1629</v>
      </c>
      <c r="E144" s="35" t="s">
        <v>1070</v>
      </c>
      <c r="F144" s="35" t="s">
        <v>1641</v>
      </c>
      <c r="G144" s="102">
        <v>55</v>
      </c>
      <c r="H144" s="102">
        <v>70</v>
      </c>
      <c r="I144" s="102">
        <v>976</v>
      </c>
      <c r="J144" s="102">
        <v>53.192</v>
      </c>
      <c r="K144" s="103">
        <v>45323</v>
      </c>
      <c r="L144" s="102">
        <v>165.46199999999999</v>
      </c>
      <c r="M144" s="102">
        <v>112.27</v>
      </c>
      <c r="N144" s="102">
        <v>141.42750000000001</v>
      </c>
      <c r="O144" s="102">
        <v>88.235500000000002</v>
      </c>
      <c r="P144" s="35" t="s">
        <v>1634</v>
      </c>
      <c r="Q144" s="35" t="s">
        <v>1598</v>
      </c>
      <c r="R144" s="35" t="s">
        <v>1609</v>
      </c>
      <c r="S144" s="102">
        <v>106.66079999999999</v>
      </c>
      <c r="T144" s="102">
        <v>53.468800000000101</v>
      </c>
      <c r="U144" s="35" t="s">
        <v>1638</v>
      </c>
      <c r="V144" s="35" t="s">
        <v>1833</v>
      </c>
      <c r="W144" s="102">
        <v>195</v>
      </c>
      <c r="X144" s="102">
        <v>141.80799999999999</v>
      </c>
      <c r="Y144" s="102">
        <v>37</v>
      </c>
      <c r="Z144" s="35" t="s">
        <v>1593</v>
      </c>
      <c r="AA144">
        <f>VLOOKUP(A144,Cover!A:R,18,0)</f>
        <v>18.5</v>
      </c>
      <c r="AB144" s="77">
        <f t="shared" si="72"/>
        <v>93.77</v>
      </c>
      <c r="AC144" s="77">
        <f t="shared" si="73"/>
        <v>69.735500000000002</v>
      </c>
      <c r="AD144" s="77">
        <f t="shared" si="74"/>
        <v>56.671622487338482</v>
      </c>
      <c r="AE144" s="77">
        <f t="shared" si="75"/>
        <v>49.308302840678081</v>
      </c>
      <c r="AF144" s="77">
        <f t="shared" si="76"/>
        <v>34.968800000000101</v>
      </c>
      <c r="AG144" s="77">
        <f t="shared" si="77"/>
        <v>32.78505317792488</v>
      </c>
      <c r="AH144" s="345"/>
      <c r="AI144" s="345"/>
      <c r="AJ144" s="345"/>
      <c r="AK144" s="345"/>
      <c r="AL144" s="345"/>
      <c r="AM144" s="346"/>
      <c r="AN144" s="52"/>
      <c r="AO144" t="s">
        <v>1651</v>
      </c>
      <c r="AP144" t="str">
        <f t="shared" si="125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4"/>
        <v>DDm125-33</v>
      </c>
    </row>
    <row r="145" spans="1:53">
      <c r="A145" s="35" t="s">
        <v>161</v>
      </c>
      <c r="B145" s="35" t="s">
        <v>1653</v>
      </c>
      <c r="C145" s="35" t="s">
        <v>1831</v>
      </c>
      <c r="D145" s="35" t="s">
        <v>1585</v>
      </c>
      <c r="E145" s="35" t="s">
        <v>1834</v>
      </c>
      <c r="F145" s="35" t="s">
        <v>1802</v>
      </c>
      <c r="G145" s="102">
        <v>37.5</v>
      </c>
      <c r="H145" s="102">
        <v>12</v>
      </c>
      <c r="I145" s="102">
        <v>120</v>
      </c>
      <c r="J145" s="102">
        <v>6.54</v>
      </c>
      <c r="K145" s="103">
        <v>44637.666666666701</v>
      </c>
      <c r="L145" s="102">
        <v>17.984999999999999</v>
      </c>
      <c r="M145" s="102">
        <v>11.445</v>
      </c>
      <c r="N145" s="102">
        <v>10.43675</v>
      </c>
      <c r="O145" s="102">
        <v>3.8967499999999999</v>
      </c>
      <c r="P145" s="35" t="s">
        <v>1591</v>
      </c>
      <c r="Q145" s="35" t="s">
        <v>1598</v>
      </c>
      <c r="R145" s="35" t="s">
        <v>1805</v>
      </c>
      <c r="S145" s="102">
        <v>18.792000000000002</v>
      </c>
      <c r="T145" s="102">
        <v>12.252000000000001</v>
      </c>
      <c r="U145" s="35" t="s">
        <v>1591</v>
      </c>
      <c r="V145" s="35" t="s">
        <v>1832</v>
      </c>
      <c r="W145" s="102">
        <v>24</v>
      </c>
      <c r="X145" s="102">
        <v>17.46</v>
      </c>
      <c r="Y145" s="102">
        <v>3</v>
      </c>
      <c r="Z145" s="35" t="s">
        <v>1593</v>
      </c>
      <c r="AA145">
        <f>VLOOKUP(A145,Cover!A:R,18,0)</f>
        <v>0.1</v>
      </c>
      <c r="AB145" s="77">
        <f t="shared" ref="AB145:AB212" si="126">M145-AA145</f>
        <v>11.345000000000001</v>
      </c>
      <c r="AC145" s="77">
        <f t="shared" ref="AC145:AC212" si="127">O145-AA145</f>
        <v>3.7967499999999998</v>
      </c>
      <c r="AD145" s="77">
        <f t="shared" ref="AD145:AD212" si="128">AB145/L145%</f>
        <v>63.080344731720885</v>
      </c>
      <c r="AE145" s="77">
        <f t="shared" ref="AE145:AE212" si="129">AC145/N145%</f>
        <v>36.378661939780102</v>
      </c>
      <c r="AF145" s="77">
        <f t="shared" ref="AF145:AF212" si="130">T145-AA145</f>
        <v>12.152000000000001</v>
      </c>
      <c r="AG145" s="77">
        <f t="shared" ref="AG145:AG212" si="131">AF145/S145%</f>
        <v>64.665815240527891</v>
      </c>
      <c r="AH145" s="77">
        <f t="shared" ref="AH145:AH212" si="132">W145</f>
        <v>24</v>
      </c>
      <c r="AI145" s="77">
        <f t="shared" ref="AI145:AI212" si="133">J145</f>
        <v>6.54</v>
      </c>
      <c r="AJ145" s="77">
        <f t="shared" ref="AJ145:AJ212" si="134">AH145-AI145</f>
        <v>17.46</v>
      </c>
      <c r="AK145" s="77">
        <f t="shared" ref="AK145:AK212" si="135">AA145</f>
        <v>0.1</v>
      </c>
      <c r="AL145" s="77">
        <f t="shared" ref="AL145:AL212" si="136">AJ145-AK145</f>
        <v>17.36</v>
      </c>
      <c r="AM145" s="77">
        <f t="shared" ref="AM145:AM212" si="137">AL145/AH145%</f>
        <v>72.333333333333329</v>
      </c>
      <c r="AO145" t="s">
        <v>1594</v>
      </c>
      <c r="AP145" t="str">
        <f t="shared" si="125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4"/>
        <v>DDm85-27</v>
      </c>
    </row>
    <row r="146" spans="1:53">
      <c r="A146" s="35" t="s">
        <v>162</v>
      </c>
      <c r="B146" s="35" t="s">
        <v>1653</v>
      </c>
      <c r="C146" s="35" t="s">
        <v>1831</v>
      </c>
      <c r="D146" s="35" t="s">
        <v>1585</v>
      </c>
      <c r="E146" s="35" t="s">
        <v>1084</v>
      </c>
      <c r="F146" s="35" t="s">
        <v>1587</v>
      </c>
      <c r="G146" s="102">
        <v>36.6</v>
      </c>
      <c r="H146" s="102">
        <v>35</v>
      </c>
      <c r="I146" s="102">
        <v>523</v>
      </c>
      <c r="J146" s="102">
        <v>28.503499999999999</v>
      </c>
      <c r="K146" s="103">
        <v>45323</v>
      </c>
      <c r="L146" s="102">
        <v>54.255839999999999</v>
      </c>
      <c r="M146" s="102">
        <v>25.75234</v>
      </c>
      <c r="N146" s="102">
        <v>35.119799999999998</v>
      </c>
      <c r="O146" s="102">
        <v>6.6162999999999998</v>
      </c>
      <c r="P146" s="35" t="s">
        <v>1588</v>
      </c>
      <c r="Q146" s="35" t="s">
        <v>1598</v>
      </c>
      <c r="R146" s="35" t="s">
        <v>1609</v>
      </c>
      <c r="S146" s="102">
        <v>53.330399999999997</v>
      </c>
      <c r="T146" s="102">
        <v>24.826899999999998</v>
      </c>
      <c r="U146" s="35" t="s">
        <v>1638</v>
      </c>
      <c r="V146" s="35" t="s">
        <v>1835</v>
      </c>
      <c r="W146" s="102">
        <v>135</v>
      </c>
      <c r="X146" s="102">
        <v>106.4965</v>
      </c>
      <c r="Y146" s="102">
        <v>135</v>
      </c>
      <c r="Z146" s="35" t="s">
        <v>1593</v>
      </c>
      <c r="AA146">
        <f>VLOOKUP(A146,Cover!A:R,18,0)</f>
        <v>8.1</v>
      </c>
      <c r="AB146" s="77">
        <f t="shared" si="126"/>
        <v>17.652340000000002</v>
      </c>
      <c r="AC146" s="77">
        <f t="shared" si="127"/>
        <v>-1.4836999999999998</v>
      </c>
      <c r="AD146" s="77">
        <f t="shared" si="128"/>
        <v>32.535373150613836</v>
      </c>
      <c r="AE146" s="77">
        <f t="shared" si="129"/>
        <v>-4.224682372906452</v>
      </c>
      <c r="AF146" s="77">
        <f t="shared" si="130"/>
        <v>16.726900000000001</v>
      </c>
      <c r="AG146" s="77">
        <f t="shared" si="131"/>
        <v>31.364662556440607</v>
      </c>
      <c r="AH146" s="77">
        <f t="shared" si="132"/>
        <v>135</v>
      </c>
      <c r="AI146" s="77">
        <f t="shared" si="133"/>
        <v>28.503499999999999</v>
      </c>
      <c r="AJ146" s="77">
        <f t="shared" si="134"/>
        <v>106.4965</v>
      </c>
      <c r="AK146" s="77">
        <f t="shared" si="135"/>
        <v>8.1</v>
      </c>
      <c r="AL146" s="77">
        <f t="shared" si="136"/>
        <v>98.396500000000003</v>
      </c>
      <c r="AM146" s="77">
        <f t="shared" si="137"/>
        <v>72.886296296296294</v>
      </c>
      <c r="AN146" s="52" t="s">
        <v>1580</v>
      </c>
      <c r="AO146" t="s">
        <v>1594</v>
      </c>
      <c r="AP146" t="str">
        <f t="shared" si="125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4"/>
        <v>DDm125-33</v>
      </c>
    </row>
    <row r="147" spans="1:53">
      <c r="A147" s="35" t="s">
        <v>163</v>
      </c>
      <c r="B147" s="35" t="s">
        <v>1595</v>
      </c>
      <c r="C147" s="35" t="s">
        <v>1836</v>
      </c>
      <c r="D147" s="35" t="s">
        <v>1585</v>
      </c>
      <c r="E147" s="35" t="s">
        <v>1275</v>
      </c>
      <c r="F147" s="35" t="s">
        <v>1587</v>
      </c>
      <c r="G147" s="102">
        <v>36.6</v>
      </c>
      <c r="H147" s="102">
        <v>35</v>
      </c>
      <c r="I147" s="102">
        <v>530</v>
      </c>
      <c r="J147" s="102">
        <v>28.885000000000002</v>
      </c>
      <c r="K147" s="103">
        <v>45323</v>
      </c>
      <c r="L147" s="102">
        <v>54.255839999999999</v>
      </c>
      <c r="M147" s="102">
        <v>25.370840000000001</v>
      </c>
      <c r="N147" s="102">
        <v>35.119799999999998</v>
      </c>
      <c r="O147" s="102">
        <v>6.2347999999999999</v>
      </c>
      <c r="P147" s="35" t="s">
        <v>1588</v>
      </c>
      <c r="Q147" s="35" t="s">
        <v>1598</v>
      </c>
      <c r="R147" s="35" t="s">
        <v>1609</v>
      </c>
      <c r="S147" s="102">
        <v>53.330399999999997</v>
      </c>
      <c r="T147" s="102">
        <v>24.445399999999999</v>
      </c>
      <c r="U147" s="35" t="s">
        <v>1603</v>
      </c>
      <c r="V147" s="35" t="s">
        <v>1686</v>
      </c>
      <c r="W147" s="102">
        <v>67.5</v>
      </c>
      <c r="X147" s="102">
        <v>38.615000000000002</v>
      </c>
      <c r="Y147" s="102">
        <v>44</v>
      </c>
      <c r="Z147" s="35" t="s">
        <v>1593</v>
      </c>
      <c r="AA147">
        <f>VLOOKUP(A147,Cover!A:R,18,0)</f>
        <v>2</v>
      </c>
      <c r="AB147" s="77">
        <f t="shared" si="126"/>
        <v>23.370840000000001</v>
      </c>
      <c r="AC147" s="77">
        <f t="shared" si="127"/>
        <v>4.2347999999999999</v>
      </c>
      <c r="AD147" s="77">
        <f t="shared" si="128"/>
        <v>43.075252359930289</v>
      </c>
      <c r="AE147" s="77">
        <f t="shared" si="129"/>
        <v>12.058155228674424</v>
      </c>
      <c r="AF147" s="77">
        <f t="shared" si="130"/>
        <v>22.445399999999999</v>
      </c>
      <c r="AG147" s="77">
        <f t="shared" si="131"/>
        <v>42.087439809189505</v>
      </c>
      <c r="AH147" s="77">
        <f t="shared" si="132"/>
        <v>67.5</v>
      </c>
      <c r="AI147" s="77">
        <f t="shared" si="133"/>
        <v>28.885000000000002</v>
      </c>
      <c r="AJ147" s="77">
        <f t="shared" si="134"/>
        <v>38.614999999999995</v>
      </c>
      <c r="AK147" s="77">
        <f t="shared" si="135"/>
        <v>2</v>
      </c>
      <c r="AL147" s="77">
        <f t="shared" si="136"/>
        <v>36.614999999999995</v>
      </c>
      <c r="AM147" s="77">
        <f t="shared" si="137"/>
        <v>54.244444444444433</v>
      </c>
      <c r="AO147" t="s">
        <v>1594</v>
      </c>
      <c r="AP147" t="str">
        <f t="shared" si="125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4"/>
        <v>DDm125-33</v>
      </c>
    </row>
    <row r="148" spans="1:53">
      <c r="A148" s="35" t="s">
        <v>164</v>
      </c>
      <c r="B148" s="35" t="s">
        <v>1672</v>
      </c>
      <c r="C148" s="35" t="s">
        <v>1837</v>
      </c>
      <c r="D148" s="35" t="s">
        <v>1585</v>
      </c>
      <c r="E148" s="35" t="s">
        <v>1157</v>
      </c>
      <c r="F148" s="35" t="s">
        <v>1587</v>
      </c>
      <c r="G148" s="102">
        <v>36.6</v>
      </c>
      <c r="H148" s="102">
        <v>18</v>
      </c>
      <c r="I148" s="102">
        <v>205</v>
      </c>
      <c r="J148" s="102">
        <v>11.172499999999999</v>
      </c>
      <c r="K148" s="103">
        <v>45323</v>
      </c>
      <c r="L148" s="102">
        <v>27.12792</v>
      </c>
      <c r="M148" s="102">
        <v>15.95542</v>
      </c>
      <c r="N148" s="102">
        <v>12.1099</v>
      </c>
      <c r="O148" s="102">
        <v>0.93740000000000101</v>
      </c>
      <c r="P148" s="35" t="s">
        <v>1591</v>
      </c>
      <c r="Q148" s="35" t="s">
        <v>1598</v>
      </c>
      <c r="R148" s="35" t="s">
        <v>1609</v>
      </c>
      <c r="S148" s="102">
        <v>35.553600000000003</v>
      </c>
      <c r="T148" s="102">
        <v>24.3811</v>
      </c>
      <c r="U148" s="35" t="s">
        <v>1591</v>
      </c>
      <c r="V148" s="35" t="s">
        <v>1600</v>
      </c>
      <c r="W148" s="102">
        <v>22.5</v>
      </c>
      <c r="X148" s="102">
        <v>11.327500000000001</v>
      </c>
      <c r="Y148" s="102">
        <v>174</v>
      </c>
      <c r="Z148" s="35" t="s">
        <v>1593</v>
      </c>
      <c r="AA148">
        <f>VLOOKUP(A148,Cover!A:R,18,0)</f>
        <v>5.9</v>
      </c>
      <c r="AB148" s="77">
        <f t="shared" si="126"/>
        <v>10.05542</v>
      </c>
      <c r="AC148" s="77">
        <f t="shared" si="127"/>
        <v>-4.9625999999999992</v>
      </c>
      <c r="AD148" s="77">
        <f t="shared" si="128"/>
        <v>37.066682591219674</v>
      </c>
      <c r="AE148" s="77">
        <f t="shared" si="129"/>
        <v>-40.979694299705194</v>
      </c>
      <c r="AF148" s="77">
        <f t="shared" si="130"/>
        <v>18.481099999999998</v>
      </c>
      <c r="AG148" s="77">
        <f t="shared" si="131"/>
        <v>51.980952702398625</v>
      </c>
      <c r="AH148" s="77">
        <f t="shared" si="132"/>
        <v>22.5</v>
      </c>
      <c r="AI148" s="77">
        <f t="shared" si="133"/>
        <v>11.172499999999999</v>
      </c>
      <c r="AJ148" s="77">
        <f t="shared" si="134"/>
        <v>11.327500000000001</v>
      </c>
      <c r="AK148" s="77">
        <f t="shared" si="135"/>
        <v>5.9</v>
      </c>
      <c r="AL148" s="77">
        <f t="shared" si="136"/>
        <v>5.4275000000000002</v>
      </c>
      <c r="AM148" s="77">
        <f t="shared" si="137"/>
        <v>24.122222222222224</v>
      </c>
      <c r="AO148" t="s">
        <v>1594</v>
      </c>
      <c r="AP148" t="str">
        <f t="shared" si="125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4"/>
        <v>DDm125-33</v>
      </c>
    </row>
    <row r="149" spans="1:53">
      <c r="A149" s="35" t="s">
        <v>165</v>
      </c>
      <c r="B149" s="35" t="s">
        <v>1636</v>
      </c>
      <c r="C149" s="35" t="s">
        <v>1838</v>
      </c>
      <c r="D149" s="35" t="s">
        <v>1580</v>
      </c>
      <c r="E149" s="35" t="s">
        <v>1010</v>
      </c>
      <c r="F149" s="35" t="s">
        <v>1587</v>
      </c>
      <c r="G149" s="102">
        <v>36.6</v>
      </c>
      <c r="H149" s="102">
        <v>11</v>
      </c>
      <c r="I149" s="102">
        <v>142</v>
      </c>
      <c r="J149" s="102">
        <v>7.7389999999999999</v>
      </c>
      <c r="K149" s="103">
        <v>44707.604166666701</v>
      </c>
      <c r="L149" s="102">
        <v>15.957599999999999</v>
      </c>
      <c r="M149" s="102">
        <v>8.2186000000000003</v>
      </c>
      <c r="N149" s="102">
        <v>6.0495000000000001</v>
      </c>
      <c r="O149" s="104">
        <v>-1.6895</v>
      </c>
      <c r="P149" s="35" t="s">
        <v>1588</v>
      </c>
      <c r="Q149" s="35" t="s">
        <v>1598</v>
      </c>
      <c r="R149" s="35" t="s">
        <v>1781</v>
      </c>
      <c r="S149" s="102">
        <v>21.6432</v>
      </c>
      <c r="T149" s="102">
        <v>13.904199999999999</v>
      </c>
      <c r="U149" s="35" t="s">
        <v>1588</v>
      </c>
      <c r="V149" s="35" t="s">
        <v>1839</v>
      </c>
      <c r="W149" s="102">
        <v>21</v>
      </c>
      <c r="X149" s="102">
        <v>13.260999999999999</v>
      </c>
      <c r="Y149" s="102">
        <v>1</v>
      </c>
      <c r="Z149" s="35" t="s">
        <v>8</v>
      </c>
      <c r="AA149">
        <f>VLOOKUP(A149,Cover!A:R,18,0)</f>
        <v>0</v>
      </c>
      <c r="AB149" s="77">
        <f t="shared" si="126"/>
        <v>8.2186000000000003</v>
      </c>
      <c r="AC149" s="77">
        <f t="shared" si="127"/>
        <v>-1.6895</v>
      </c>
      <c r="AD149" s="77">
        <f t="shared" si="128"/>
        <v>51.502732240437162</v>
      </c>
      <c r="AE149" s="77">
        <f t="shared" si="129"/>
        <v>-27.927927927927929</v>
      </c>
      <c r="AF149" s="77">
        <f t="shared" si="130"/>
        <v>13.904199999999999</v>
      </c>
      <c r="AG149" s="77">
        <f t="shared" si="131"/>
        <v>64.242810674946398</v>
      </c>
      <c r="AH149" s="77">
        <f t="shared" si="132"/>
        <v>21</v>
      </c>
      <c r="AI149" s="77">
        <f t="shared" si="133"/>
        <v>7.7389999999999999</v>
      </c>
      <c r="AJ149" s="77">
        <f t="shared" si="134"/>
        <v>13.260999999999999</v>
      </c>
      <c r="AK149" s="77">
        <f t="shared" si="135"/>
        <v>0</v>
      </c>
      <c r="AL149" s="77">
        <f t="shared" si="136"/>
        <v>13.260999999999999</v>
      </c>
      <c r="AM149" s="77">
        <f t="shared" si="137"/>
        <v>63.147619047619045</v>
      </c>
      <c r="AN149" s="52" t="s">
        <v>1580</v>
      </c>
      <c r="AO149" t="s">
        <v>1594</v>
      </c>
      <c r="AP149" t="str">
        <f t="shared" si="125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4"/>
        <v>DDm85-21</v>
      </c>
    </row>
    <row r="150" spans="1:53">
      <c r="A150" s="35" t="s">
        <v>166</v>
      </c>
      <c r="B150" s="35" t="s">
        <v>1672</v>
      </c>
      <c r="C150" s="35" t="s">
        <v>1840</v>
      </c>
      <c r="D150" s="35" t="s">
        <v>1585</v>
      </c>
      <c r="E150" s="35" t="s">
        <v>1159</v>
      </c>
      <c r="F150" s="35" t="s">
        <v>1587</v>
      </c>
      <c r="G150" s="102">
        <v>36.6</v>
      </c>
      <c r="H150" s="102">
        <v>10</v>
      </c>
      <c r="I150" s="102">
        <v>98</v>
      </c>
      <c r="J150" s="102">
        <v>5.3410000000000002</v>
      </c>
      <c r="K150" s="103">
        <v>45323</v>
      </c>
      <c r="L150" s="102">
        <v>14.361840000000001</v>
      </c>
      <c r="M150" s="102">
        <v>9.0208399999999997</v>
      </c>
      <c r="N150" s="102">
        <v>17.734300000000001</v>
      </c>
      <c r="O150" s="102">
        <v>12.3933</v>
      </c>
      <c r="P150" s="35" t="s">
        <v>1603</v>
      </c>
      <c r="Q150" s="35" t="s">
        <v>1616</v>
      </c>
      <c r="R150" s="35" t="s">
        <v>1617</v>
      </c>
      <c r="S150" s="102">
        <v>3.456</v>
      </c>
      <c r="T150" s="102">
        <v>-1.885</v>
      </c>
      <c r="U150" s="35" t="s">
        <v>1591</v>
      </c>
      <c r="V150" s="35" t="s">
        <v>1692</v>
      </c>
      <c r="W150" s="102">
        <v>11.25</v>
      </c>
      <c r="X150" s="102">
        <v>5.9089999999999998</v>
      </c>
      <c r="Y150" s="102">
        <v>4</v>
      </c>
      <c r="Z150" s="35" t="s">
        <v>1593</v>
      </c>
      <c r="AA150">
        <f>VLOOKUP(A150,Cover!A:R,18,0)</f>
        <v>0</v>
      </c>
      <c r="AB150" s="77">
        <f t="shared" si="126"/>
        <v>9.0208399999999997</v>
      </c>
      <c r="AC150" s="77">
        <f t="shared" si="127"/>
        <v>12.3933</v>
      </c>
      <c r="AD150" s="77">
        <f t="shared" si="128"/>
        <v>62.811171827565268</v>
      </c>
      <c r="AE150" s="77">
        <f t="shared" si="129"/>
        <v>69.883220651505837</v>
      </c>
      <c r="AF150" s="77">
        <f t="shared" si="130"/>
        <v>-1.885</v>
      </c>
      <c r="AG150" s="77">
        <f t="shared" si="131"/>
        <v>-54.542824074074076</v>
      </c>
      <c r="AH150" s="77">
        <f t="shared" si="132"/>
        <v>11.25</v>
      </c>
      <c r="AI150" s="77">
        <f t="shared" si="133"/>
        <v>5.3410000000000002</v>
      </c>
      <c r="AJ150" s="77">
        <f t="shared" si="134"/>
        <v>5.9089999999999998</v>
      </c>
      <c r="AK150" s="77">
        <f t="shared" si="135"/>
        <v>0</v>
      </c>
      <c r="AL150" s="77">
        <f t="shared" si="136"/>
        <v>5.9089999999999998</v>
      </c>
      <c r="AM150" s="77">
        <f t="shared" si="137"/>
        <v>52.524444444444441</v>
      </c>
      <c r="AO150" t="s">
        <v>1594</v>
      </c>
      <c r="AP150" t="str">
        <f t="shared" si="125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4"/>
        <v>SBS C11F</v>
      </c>
    </row>
    <row r="151" spans="1:53">
      <c r="A151" s="35" t="s">
        <v>167</v>
      </c>
      <c r="B151" s="35" t="s">
        <v>1672</v>
      </c>
      <c r="C151" s="35" t="s">
        <v>1841</v>
      </c>
      <c r="D151" s="35" t="s">
        <v>1629</v>
      </c>
      <c r="E151" s="35" t="s">
        <v>1842</v>
      </c>
      <c r="F151" s="35" t="s">
        <v>1587</v>
      </c>
      <c r="G151" s="102">
        <v>36.6</v>
      </c>
      <c r="H151" s="102">
        <v>26</v>
      </c>
      <c r="I151" s="102">
        <v>302</v>
      </c>
      <c r="J151" s="102">
        <v>16.459</v>
      </c>
      <c r="K151" s="103">
        <v>45323</v>
      </c>
      <c r="L151" s="102">
        <v>39.893999999999998</v>
      </c>
      <c r="M151" s="102">
        <v>23.434999999999999</v>
      </c>
      <c r="N151" s="102">
        <v>28.067499999999999</v>
      </c>
      <c r="O151" s="102">
        <v>11.608499999999999</v>
      </c>
      <c r="P151" s="35" t="s">
        <v>1591</v>
      </c>
      <c r="Q151" s="35" t="s">
        <v>1598</v>
      </c>
      <c r="R151" s="35" t="s">
        <v>1609</v>
      </c>
      <c r="S151" s="102">
        <v>35.553600000000003</v>
      </c>
      <c r="T151" s="102">
        <v>19.0946</v>
      </c>
      <c r="U151" s="35" t="s">
        <v>1588</v>
      </c>
      <c r="V151" s="35" t="s">
        <v>1658</v>
      </c>
      <c r="W151" s="102">
        <v>37.5</v>
      </c>
      <c r="X151" s="102">
        <v>21.041</v>
      </c>
      <c r="Y151" s="102">
        <v>18</v>
      </c>
      <c r="Z151" s="35" t="s">
        <v>1593</v>
      </c>
      <c r="AA151">
        <f>VLOOKUP(A151,Cover!A:R,18,0)</f>
        <v>1.7</v>
      </c>
      <c r="AB151" s="77">
        <f t="shared" si="126"/>
        <v>21.734999999999999</v>
      </c>
      <c r="AC151" s="77">
        <f t="shared" si="127"/>
        <v>9.9085000000000001</v>
      </c>
      <c r="AD151" s="77">
        <f t="shared" si="128"/>
        <v>54.481876973981052</v>
      </c>
      <c r="AE151" s="77">
        <f t="shared" si="129"/>
        <v>35.302396009619663</v>
      </c>
      <c r="AF151" s="77">
        <f t="shared" si="130"/>
        <v>17.394600000000001</v>
      </c>
      <c r="AG151" s="77">
        <f t="shared" si="131"/>
        <v>48.925003375185632</v>
      </c>
      <c r="AH151" s="77">
        <f t="shared" si="132"/>
        <v>37.5</v>
      </c>
      <c r="AI151" s="77">
        <f t="shared" si="133"/>
        <v>16.459</v>
      </c>
      <c r="AJ151" s="77">
        <f t="shared" si="134"/>
        <v>21.041</v>
      </c>
      <c r="AK151" s="77">
        <f t="shared" si="135"/>
        <v>1.7</v>
      </c>
      <c r="AL151" s="77">
        <f t="shared" si="136"/>
        <v>19.341000000000001</v>
      </c>
      <c r="AM151" s="77">
        <f t="shared" si="137"/>
        <v>51.576000000000001</v>
      </c>
      <c r="AO151" t="s">
        <v>1594</v>
      </c>
      <c r="AP151" t="str">
        <f t="shared" si="125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4"/>
        <v>DDm125-33</v>
      </c>
    </row>
    <row r="152" spans="1:53">
      <c r="A152" s="35" t="s">
        <v>168</v>
      </c>
      <c r="B152" s="35" t="s">
        <v>1607</v>
      </c>
      <c r="C152" s="35" t="s">
        <v>1607</v>
      </c>
      <c r="D152" s="35" t="s">
        <v>1580</v>
      </c>
      <c r="E152" s="35" t="s">
        <v>875</v>
      </c>
      <c r="F152" s="35" t="s">
        <v>1597</v>
      </c>
      <c r="G152" s="102">
        <v>75</v>
      </c>
      <c r="H152" s="102">
        <v>35</v>
      </c>
      <c r="I152" s="102">
        <v>1430</v>
      </c>
      <c r="J152" s="102">
        <v>77.935000000000002</v>
      </c>
      <c r="K152" s="103">
        <v>44944</v>
      </c>
      <c r="L152" s="102">
        <v>111.18</v>
      </c>
      <c r="M152" s="102">
        <v>33.244999999999997</v>
      </c>
      <c r="N152" s="102">
        <v>95.375</v>
      </c>
      <c r="O152" s="102">
        <v>17.440000000000001</v>
      </c>
      <c r="P152" s="35" t="s">
        <v>1603</v>
      </c>
      <c r="Q152" s="35" t="s">
        <v>1598</v>
      </c>
      <c r="R152" s="35" t="s">
        <v>1652</v>
      </c>
      <c r="S152" s="102">
        <v>113.616</v>
      </c>
      <c r="T152" s="102">
        <v>35.680999999999997</v>
      </c>
      <c r="U152" s="35" t="s">
        <v>1675</v>
      </c>
      <c r="V152" s="35" t="s">
        <v>1843</v>
      </c>
      <c r="W152" s="102">
        <v>71.25</v>
      </c>
      <c r="X152" s="102">
        <v>-6.6849999999999996</v>
      </c>
      <c r="Y152" s="102">
        <v>45</v>
      </c>
      <c r="Z152" s="35" t="s">
        <v>1707</v>
      </c>
      <c r="AA152">
        <f>VLOOKUP(A152,Cover!A:R,18,0)</f>
        <v>11.5</v>
      </c>
      <c r="AB152" s="77">
        <f t="shared" si="126"/>
        <v>21.744999999999997</v>
      </c>
      <c r="AC152" s="77">
        <f t="shared" si="127"/>
        <v>5.9400000000000013</v>
      </c>
      <c r="AD152" s="77">
        <f t="shared" si="128"/>
        <v>19.558373808238887</v>
      </c>
      <c r="AE152" s="77">
        <f t="shared" si="129"/>
        <v>6.228047182175624</v>
      </c>
      <c r="AF152" s="77">
        <f t="shared" si="130"/>
        <v>24.180999999999997</v>
      </c>
      <c r="AG152" s="77">
        <f t="shared" si="131"/>
        <v>21.283093930432329</v>
      </c>
      <c r="AH152" s="77">
        <f t="shared" si="132"/>
        <v>71.25</v>
      </c>
      <c r="AI152" s="77">
        <f t="shared" si="133"/>
        <v>77.935000000000002</v>
      </c>
      <c r="AJ152" s="77">
        <f t="shared" si="134"/>
        <v>-6.6850000000000023</v>
      </c>
      <c r="AK152" s="77">
        <f t="shared" si="135"/>
        <v>11.5</v>
      </c>
      <c r="AL152" s="77">
        <f t="shared" si="136"/>
        <v>-18.185000000000002</v>
      </c>
      <c r="AM152" s="77">
        <f t="shared" si="137"/>
        <v>-25.522807017543862</v>
      </c>
      <c r="AN152" t="s">
        <v>1580</v>
      </c>
      <c r="AO152" t="s">
        <v>1594</v>
      </c>
      <c r="AP152" t="str">
        <f t="shared" si="125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4"/>
        <v xml:space="preserve">DDm125-33 </v>
      </c>
    </row>
    <row r="153" spans="1:53">
      <c r="A153" s="35" t="s">
        <v>169</v>
      </c>
      <c r="B153" s="35" t="s">
        <v>1645</v>
      </c>
      <c r="C153" s="35" t="s">
        <v>1844</v>
      </c>
      <c r="D153" s="35" t="s">
        <v>1580</v>
      </c>
      <c r="E153" s="35" t="s">
        <v>1301</v>
      </c>
      <c r="F153" s="35" t="s">
        <v>1597</v>
      </c>
      <c r="G153" s="102">
        <v>75</v>
      </c>
      <c r="H153" s="102">
        <v>12</v>
      </c>
      <c r="I153" s="102">
        <v>240</v>
      </c>
      <c r="J153" s="102">
        <v>13.08</v>
      </c>
      <c r="K153" s="103">
        <v>44676.708333333299</v>
      </c>
      <c r="L153" s="102">
        <v>35.97</v>
      </c>
      <c r="M153" s="102">
        <v>22.89</v>
      </c>
      <c r="N153" s="102">
        <v>27.522500000000001</v>
      </c>
      <c r="O153" s="102">
        <v>14.442500000000001</v>
      </c>
      <c r="P153" s="35" t="s">
        <v>1591</v>
      </c>
      <c r="Q153" s="35" t="s">
        <v>1598</v>
      </c>
      <c r="R153" s="35" t="s">
        <v>1661</v>
      </c>
      <c r="S153" s="102">
        <v>28.123200000000001</v>
      </c>
      <c r="T153" s="102">
        <v>15.043200000000001</v>
      </c>
      <c r="U153" s="35" t="s">
        <v>1591</v>
      </c>
      <c r="V153" s="35" t="s">
        <v>1600</v>
      </c>
      <c r="W153" s="102">
        <v>22.5</v>
      </c>
      <c r="X153" s="102">
        <v>9.42</v>
      </c>
      <c r="Y153" s="102">
        <v>7</v>
      </c>
      <c r="Z153" s="35" t="s">
        <v>8</v>
      </c>
      <c r="AA153">
        <f>VLOOKUP(A153,Cover!A:R,18,0)</f>
        <v>1</v>
      </c>
      <c r="AB153" s="77">
        <f t="shared" si="126"/>
        <v>21.89</v>
      </c>
      <c r="AC153" s="77">
        <f t="shared" si="127"/>
        <v>13.442500000000001</v>
      </c>
      <c r="AD153" s="77">
        <f t="shared" si="128"/>
        <v>60.856269113149857</v>
      </c>
      <c r="AE153" s="77">
        <f t="shared" si="129"/>
        <v>48.8418566627305</v>
      </c>
      <c r="AF153" s="77">
        <f t="shared" si="130"/>
        <v>14.043200000000001</v>
      </c>
      <c r="AG153" s="77">
        <f t="shared" si="131"/>
        <v>49.934573590487574</v>
      </c>
      <c r="AH153" s="77">
        <f t="shared" si="132"/>
        <v>22.5</v>
      </c>
      <c r="AI153" s="77">
        <f t="shared" si="133"/>
        <v>13.08</v>
      </c>
      <c r="AJ153" s="77">
        <f t="shared" si="134"/>
        <v>9.42</v>
      </c>
      <c r="AK153" s="77">
        <f t="shared" si="135"/>
        <v>1</v>
      </c>
      <c r="AL153" s="77">
        <f t="shared" si="136"/>
        <v>8.42</v>
      </c>
      <c r="AM153" s="77">
        <f t="shared" si="137"/>
        <v>37.422222222222224</v>
      </c>
      <c r="AN153" t="s">
        <v>1580</v>
      </c>
      <c r="AO153" t="s">
        <v>1594</v>
      </c>
      <c r="AP153" t="str">
        <f t="shared" si="125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4"/>
        <v>DDm100-33</v>
      </c>
    </row>
    <row r="154" spans="1:53">
      <c r="A154" s="35" t="s">
        <v>170</v>
      </c>
      <c r="B154" s="35" t="s">
        <v>1672</v>
      </c>
      <c r="C154" s="35" t="s">
        <v>1845</v>
      </c>
      <c r="D154" s="35" t="s">
        <v>1585</v>
      </c>
      <c r="E154" s="35" t="s">
        <v>1188</v>
      </c>
      <c r="F154" s="35" t="s">
        <v>1587</v>
      </c>
      <c r="G154" s="102">
        <v>36.6</v>
      </c>
      <c r="H154" s="102">
        <v>48</v>
      </c>
      <c r="I154" s="102">
        <v>364</v>
      </c>
      <c r="J154" s="102">
        <v>19.838000000000001</v>
      </c>
      <c r="K154" s="103">
        <v>45323</v>
      </c>
      <c r="L154" s="102">
        <v>75.000720000000001</v>
      </c>
      <c r="M154" s="102">
        <v>55.16272</v>
      </c>
      <c r="N154" s="102">
        <v>50.1509</v>
      </c>
      <c r="O154" s="102">
        <v>30.312899999999999</v>
      </c>
      <c r="P154" s="35" t="s">
        <v>1603</v>
      </c>
      <c r="Q154" s="35" t="s">
        <v>1598</v>
      </c>
      <c r="R154" s="35" t="s">
        <v>1609</v>
      </c>
      <c r="S154" s="102">
        <v>71.107200000000205</v>
      </c>
      <c r="T154" s="102">
        <v>51.269200000000197</v>
      </c>
      <c r="U154" s="35" t="s">
        <v>1588</v>
      </c>
      <c r="V154" s="35" t="s">
        <v>1670</v>
      </c>
      <c r="W154" s="102">
        <v>90</v>
      </c>
      <c r="X154" s="102">
        <v>70.162000000000006</v>
      </c>
      <c r="Y154" s="102">
        <v>55</v>
      </c>
      <c r="Z154" s="35" t="s">
        <v>1593</v>
      </c>
      <c r="AA154">
        <f>VLOOKUP(A154,Cover!A:R,18,0)</f>
        <v>2</v>
      </c>
      <c r="AB154" s="77">
        <f t="shared" si="126"/>
        <v>53.16272</v>
      </c>
      <c r="AC154" s="77">
        <f t="shared" si="127"/>
        <v>28.312899999999999</v>
      </c>
      <c r="AD154" s="77">
        <f t="shared" si="128"/>
        <v>70.882946190383237</v>
      </c>
      <c r="AE154" s="77">
        <f t="shared" si="129"/>
        <v>56.4554175498346</v>
      </c>
      <c r="AF154" s="77">
        <f t="shared" si="130"/>
        <v>49.269200000000197</v>
      </c>
      <c r="AG154" s="77">
        <f t="shared" si="131"/>
        <v>69.288623374285663</v>
      </c>
      <c r="AH154" s="345">
        <f>AVERAGE(W154:W155)</f>
        <v>90</v>
      </c>
      <c r="AI154" s="345">
        <f>SUM(J154:J155)</f>
        <v>38.858499999999999</v>
      </c>
      <c r="AJ154" s="345">
        <f t="shared" si="134"/>
        <v>51.141500000000001</v>
      </c>
      <c r="AK154" s="345">
        <f>SUM(AA154:AA155)</f>
        <v>22.400000000000002</v>
      </c>
      <c r="AL154" s="345">
        <f t="shared" si="136"/>
        <v>28.741499999999998</v>
      </c>
      <c r="AM154" s="346">
        <f t="shared" si="137"/>
        <v>31.934999999999999</v>
      </c>
      <c r="AO154" t="s">
        <v>1594</v>
      </c>
      <c r="AP154" t="str">
        <f t="shared" si="125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4"/>
        <v>DDm125-33</v>
      </c>
    </row>
    <row r="155" spans="1:53">
      <c r="A155" s="35" t="s">
        <v>171</v>
      </c>
      <c r="B155" s="35" t="s">
        <v>1672</v>
      </c>
      <c r="C155" s="35" t="s">
        <v>1845</v>
      </c>
      <c r="D155" s="35" t="s">
        <v>1585</v>
      </c>
      <c r="E155" s="35" t="s">
        <v>1188</v>
      </c>
      <c r="F155" s="35" t="s">
        <v>1587</v>
      </c>
      <c r="G155" s="102">
        <v>36.6</v>
      </c>
      <c r="H155" s="102">
        <v>42</v>
      </c>
      <c r="I155" s="102">
        <v>349</v>
      </c>
      <c r="J155" s="102">
        <v>19.020499999999998</v>
      </c>
      <c r="K155" s="103">
        <v>45323</v>
      </c>
      <c r="L155" s="102">
        <v>65.426159999999996</v>
      </c>
      <c r="M155" s="102">
        <v>46.405659999999997</v>
      </c>
      <c r="N155" s="102">
        <v>38.182699999999997</v>
      </c>
      <c r="O155" s="102">
        <v>19.162199999999999</v>
      </c>
      <c r="P155" s="35" t="s">
        <v>1603</v>
      </c>
      <c r="Q155" s="35" t="s">
        <v>1598</v>
      </c>
      <c r="R155" s="35" t="s">
        <v>1609</v>
      </c>
      <c r="S155" s="102">
        <v>71.107200000000205</v>
      </c>
      <c r="T155" s="102">
        <v>52.086700000000199</v>
      </c>
      <c r="U155" s="35" t="s">
        <v>1588</v>
      </c>
      <c r="V155" s="35" t="s">
        <v>1670</v>
      </c>
      <c r="W155" s="102">
        <v>90</v>
      </c>
      <c r="X155" s="102">
        <v>70.979500000000002</v>
      </c>
      <c r="Y155" s="102">
        <v>55</v>
      </c>
      <c r="Z155" s="35" t="s">
        <v>1593</v>
      </c>
      <c r="AA155">
        <f>VLOOKUP(A155,Cover!A:R,18,0)</f>
        <v>20.400000000000002</v>
      </c>
      <c r="AB155" s="77">
        <f t="shared" si="126"/>
        <v>26.005659999999995</v>
      </c>
      <c r="AC155" s="77">
        <f t="shared" si="127"/>
        <v>-1.2378000000000036</v>
      </c>
      <c r="AD155" s="77">
        <f t="shared" si="128"/>
        <v>39.748106873458561</v>
      </c>
      <c r="AE155" s="77">
        <f t="shared" si="129"/>
        <v>-3.2417822731237016</v>
      </c>
      <c r="AF155" s="77">
        <f t="shared" si="130"/>
        <v>31.686700000000197</v>
      </c>
      <c r="AG155" s="77">
        <f t="shared" si="131"/>
        <v>44.561872778002943</v>
      </c>
      <c r="AH155" s="345"/>
      <c r="AI155" s="345"/>
      <c r="AJ155" s="345"/>
      <c r="AK155" s="345"/>
      <c r="AL155" s="345"/>
      <c r="AM155" s="346"/>
      <c r="AO155" t="s">
        <v>1594</v>
      </c>
      <c r="AP155" t="str">
        <f t="shared" si="125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4"/>
        <v>DDm125-33</v>
      </c>
    </row>
    <row r="156" spans="1:53">
      <c r="A156" s="35" t="s">
        <v>172</v>
      </c>
      <c r="B156" s="35" t="s">
        <v>1672</v>
      </c>
      <c r="C156" s="35" t="s">
        <v>1845</v>
      </c>
      <c r="D156" s="35" t="s">
        <v>1585</v>
      </c>
      <c r="E156" s="35" t="s">
        <v>1188</v>
      </c>
      <c r="F156" s="35" t="s">
        <v>1587</v>
      </c>
      <c r="G156" s="102">
        <v>36.6</v>
      </c>
      <c r="H156" s="102">
        <v>27</v>
      </c>
      <c r="I156" s="102">
        <v>0</v>
      </c>
      <c r="J156" s="102">
        <v>0</v>
      </c>
      <c r="K156" s="103">
        <v>0</v>
      </c>
      <c r="L156" s="102">
        <v>41.489759999999997</v>
      </c>
      <c r="M156" s="102">
        <v>41.489759999999997</v>
      </c>
      <c r="N156" s="102">
        <v>42.924199999999999</v>
      </c>
      <c r="O156" s="102">
        <v>42.924199999999999</v>
      </c>
      <c r="P156" s="35" t="s">
        <v>1591</v>
      </c>
      <c r="Q156" s="35" t="s">
        <v>1846</v>
      </c>
      <c r="R156" s="35" t="s">
        <v>1847</v>
      </c>
      <c r="S156" s="102">
        <v>18.446400000000001</v>
      </c>
      <c r="T156" s="102">
        <v>18.446400000000001</v>
      </c>
      <c r="U156" s="35" t="s">
        <v>1588</v>
      </c>
      <c r="V156" s="35" t="s">
        <v>1670</v>
      </c>
      <c r="W156" s="102">
        <v>90</v>
      </c>
      <c r="X156" s="102">
        <v>90</v>
      </c>
      <c r="Y156" s="102">
        <v>55</v>
      </c>
      <c r="Z156" s="35" t="s">
        <v>1593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O156" t="s">
        <v>1594</v>
      </c>
      <c r="AP156" t="str">
        <f t="shared" si="125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4"/>
        <v>VH34</v>
      </c>
    </row>
    <row r="157" spans="1:53">
      <c r="A157" s="35" t="s">
        <v>173</v>
      </c>
      <c r="B157" s="35" t="s">
        <v>1672</v>
      </c>
      <c r="C157" s="35" t="s">
        <v>1845</v>
      </c>
      <c r="D157" s="35" t="s">
        <v>1580</v>
      </c>
      <c r="E157" s="35" t="s">
        <v>1161</v>
      </c>
      <c r="F157" s="35" t="s">
        <v>1587</v>
      </c>
      <c r="G157" s="102">
        <v>36.6</v>
      </c>
      <c r="H157" s="102">
        <v>64</v>
      </c>
      <c r="I157" s="102">
        <v>892</v>
      </c>
      <c r="J157" s="102">
        <v>48.613999999999997</v>
      </c>
      <c r="K157" s="103">
        <v>45323</v>
      </c>
      <c r="L157" s="102">
        <v>100.53288000000001</v>
      </c>
      <c r="M157" s="102">
        <v>51.918880000000001</v>
      </c>
      <c r="N157" s="102">
        <v>92.966099999999997</v>
      </c>
      <c r="O157" s="102">
        <v>44.3521</v>
      </c>
      <c r="P157" s="35" t="s">
        <v>1588</v>
      </c>
      <c r="Q157" s="35" t="s">
        <v>1598</v>
      </c>
      <c r="R157" s="35" t="s">
        <v>1609</v>
      </c>
      <c r="S157" s="102">
        <v>53.330399999999997</v>
      </c>
      <c r="T157" s="102">
        <v>4.7163999999999904</v>
      </c>
      <c r="U157" s="35" t="s">
        <v>1634</v>
      </c>
      <c r="V157" s="35" t="s">
        <v>1627</v>
      </c>
      <c r="W157" s="102">
        <v>112.5</v>
      </c>
      <c r="X157" s="102">
        <v>63.886000000000003</v>
      </c>
      <c r="Y157" s="102">
        <v>39</v>
      </c>
      <c r="Z157" s="35" t="s">
        <v>1848</v>
      </c>
      <c r="AA157">
        <f>VLOOKUP(A157,Cover!A:R,18,0)</f>
        <v>4</v>
      </c>
      <c r="AB157" s="77">
        <f t="shared" si="126"/>
        <v>47.918880000000001</v>
      </c>
      <c r="AC157" s="77">
        <f t="shared" si="127"/>
        <v>40.3521</v>
      </c>
      <c r="AD157" s="77">
        <f t="shared" si="128"/>
        <v>47.664883369500608</v>
      </c>
      <c r="AE157" s="77">
        <f t="shared" si="129"/>
        <v>43.405176725709694</v>
      </c>
      <c r="AF157" s="77">
        <f t="shared" si="130"/>
        <v>0.71639999999999038</v>
      </c>
      <c r="AG157" s="77">
        <f t="shared" si="131"/>
        <v>1.3433238828135368</v>
      </c>
      <c r="AH157" s="345">
        <f>AVERAGE(W157:W158)</f>
        <v>112.5</v>
      </c>
      <c r="AI157" s="345">
        <f>SUM(J157:J158)</f>
        <v>87.254500000000007</v>
      </c>
      <c r="AJ157" s="345">
        <f t="shared" si="134"/>
        <v>25.245499999999993</v>
      </c>
      <c r="AK157" s="345">
        <f>SUM(AA157:AA158)</f>
        <v>4</v>
      </c>
      <c r="AL157" s="345">
        <f t="shared" si="136"/>
        <v>21.245499999999993</v>
      </c>
      <c r="AM157" s="346">
        <f t="shared" si="137"/>
        <v>18.884888888888881</v>
      </c>
      <c r="AN157" t="s">
        <v>1580</v>
      </c>
      <c r="AO157" t="s">
        <v>1651</v>
      </c>
      <c r="AP157" t="str">
        <f t="shared" si="125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4"/>
        <v>DDm125-33</v>
      </c>
    </row>
    <row r="158" spans="1:53">
      <c r="A158" s="35" t="s">
        <v>174</v>
      </c>
      <c r="B158" s="35" t="s">
        <v>1672</v>
      </c>
      <c r="C158" s="35" t="s">
        <v>1845</v>
      </c>
      <c r="D158" s="35" t="s">
        <v>1580</v>
      </c>
      <c r="E158" s="35" t="s">
        <v>1161</v>
      </c>
      <c r="F158" s="35" t="s">
        <v>1587</v>
      </c>
      <c r="G158" s="102">
        <v>36.6</v>
      </c>
      <c r="H158" s="102">
        <v>64</v>
      </c>
      <c r="I158" s="102">
        <v>709</v>
      </c>
      <c r="J158" s="102">
        <v>38.640500000000003</v>
      </c>
      <c r="K158" s="103">
        <v>45323</v>
      </c>
      <c r="L158" s="102">
        <v>100.53288000000001</v>
      </c>
      <c r="M158" s="102">
        <v>61.892380000000003</v>
      </c>
      <c r="N158" s="102">
        <v>92.966099999999997</v>
      </c>
      <c r="O158" s="102">
        <v>54.325600000000001</v>
      </c>
      <c r="P158" s="35" t="s">
        <v>1588</v>
      </c>
      <c r="Q158" s="35" t="s">
        <v>1598</v>
      </c>
      <c r="R158" s="35" t="s">
        <v>1609</v>
      </c>
      <c r="S158" s="102">
        <v>53.330399999999997</v>
      </c>
      <c r="T158" s="102">
        <v>14.6899</v>
      </c>
      <c r="U158" s="35" t="s">
        <v>1634</v>
      </c>
      <c r="V158" s="35" t="s">
        <v>1627</v>
      </c>
      <c r="W158" s="102">
        <v>112.5</v>
      </c>
      <c r="X158" s="102">
        <v>73.859499999999997</v>
      </c>
      <c r="Y158" s="102">
        <v>39</v>
      </c>
      <c r="Z158" s="35" t="s">
        <v>1848</v>
      </c>
      <c r="AA158">
        <f>VLOOKUP(A158,Cover!A:R,18,0)</f>
        <v>0</v>
      </c>
      <c r="AB158" s="77">
        <f t="shared" si="126"/>
        <v>61.892380000000003</v>
      </c>
      <c r="AC158" s="77">
        <f t="shared" si="127"/>
        <v>54.325600000000001</v>
      </c>
      <c r="AD158" s="77">
        <f t="shared" si="128"/>
        <v>61.564316072512796</v>
      </c>
      <c r="AE158" s="77">
        <f t="shared" si="129"/>
        <v>58.435924492906558</v>
      </c>
      <c r="AF158" s="77">
        <f t="shared" si="130"/>
        <v>14.6899</v>
      </c>
      <c r="AG158" s="77">
        <f t="shared" si="131"/>
        <v>27.545077479261359</v>
      </c>
      <c r="AH158" s="345"/>
      <c r="AI158" s="345"/>
      <c r="AJ158" s="345"/>
      <c r="AK158" s="345"/>
      <c r="AL158" s="345"/>
      <c r="AM158" s="346"/>
      <c r="AN158" t="s">
        <v>1580</v>
      </c>
      <c r="AO158" t="s">
        <v>1651</v>
      </c>
      <c r="AP158" t="str">
        <f t="shared" si="125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4"/>
        <v>DDm125-33</v>
      </c>
    </row>
    <row r="159" spans="1:53">
      <c r="A159" s="35" t="s">
        <v>175</v>
      </c>
      <c r="B159" s="35" t="s">
        <v>1672</v>
      </c>
      <c r="C159" s="35" t="s">
        <v>1845</v>
      </c>
      <c r="D159" s="35" t="s">
        <v>1580</v>
      </c>
      <c r="E159" s="35" t="s">
        <v>1169</v>
      </c>
      <c r="F159" s="35" t="s">
        <v>1641</v>
      </c>
      <c r="G159" s="102">
        <v>55</v>
      </c>
      <c r="H159" s="102">
        <v>84</v>
      </c>
      <c r="I159" s="102">
        <v>1800</v>
      </c>
      <c r="J159" s="102">
        <v>98.1</v>
      </c>
      <c r="K159" s="103">
        <v>45323</v>
      </c>
      <c r="L159" s="102">
        <v>199.03399999999999</v>
      </c>
      <c r="M159" s="102">
        <v>100.934</v>
      </c>
      <c r="N159" s="102">
        <v>161.5925</v>
      </c>
      <c r="O159" s="102">
        <v>63.4925</v>
      </c>
      <c r="P159" s="35" t="s">
        <v>1648</v>
      </c>
      <c r="Q159" s="35" t="s">
        <v>1598</v>
      </c>
      <c r="R159" s="35" t="s">
        <v>1609</v>
      </c>
      <c r="S159" s="102">
        <v>142.21440000000001</v>
      </c>
      <c r="T159" s="102">
        <v>44.114399999999897</v>
      </c>
      <c r="U159" s="35" t="s">
        <v>1608</v>
      </c>
      <c r="V159" s="35" t="s">
        <v>1849</v>
      </c>
      <c r="W159" s="102">
        <v>375</v>
      </c>
      <c r="X159" s="102">
        <v>276.89999999999998</v>
      </c>
      <c r="Y159" s="102">
        <v>94</v>
      </c>
      <c r="Z159" s="35" t="s">
        <v>1542</v>
      </c>
      <c r="AA159">
        <f>VLOOKUP(A159,Cover!A:R,18,0)</f>
        <v>19.125</v>
      </c>
      <c r="AB159" s="77">
        <f t="shared" si="126"/>
        <v>81.808999999999997</v>
      </c>
      <c r="AC159" s="77">
        <f t="shared" si="127"/>
        <v>44.3675</v>
      </c>
      <c r="AD159" s="77">
        <f t="shared" si="128"/>
        <v>41.10302762342112</v>
      </c>
      <c r="AE159" s="77">
        <f t="shared" si="129"/>
        <v>27.456410415087333</v>
      </c>
      <c r="AF159" s="77">
        <f t="shared" si="130"/>
        <v>24.989399999999897</v>
      </c>
      <c r="AG159" s="77">
        <f t="shared" si="131"/>
        <v>17.571638315107258</v>
      </c>
      <c r="AH159" s="345">
        <f>AVERAGE(W159:W160)</f>
        <v>375</v>
      </c>
      <c r="AI159" s="345">
        <f>SUM(J159:J160)</f>
        <v>200.17849999999999</v>
      </c>
      <c r="AJ159" s="345">
        <f t="shared" si="134"/>
        <v>174.82150000000001</v>
      </c>
      <c r="AK159" s="345">
        <f>SUM(AA159:AA160)</f>
        <v>37.75</v>
      </c>
      <c r="AL159" s="345">
        <f t="shared" si="136"/>
        <v>137.07150000000001</v>
      </c>
      <c r="AM159" s="346">
        <f t="shared" si="137"/>
        <v>36.552400000000006</v>
      </c>
      <c r="AN159" t="s">
        <v>1580</v>
      </c>
      <c r="AO159" t="s">
        <v>1651</v>
      </c>
      <c r="AP159" t="str">
        <f t="shared" si="125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4"/>
        <v>DDm125-33</v>
      </c>
    </row>
    <row r="160" spans="1:53">
      <c r="A160" s="35" t="s">
        <v>176</v>
      </c>
      <c r="B160" s="35" t="s">
        <v>1672</v>
      </c>
      <c r="C160" s="35" t="s">
        <v>1845</v>
      </c>
      <c r="D160" s="35" t="s">
        <v>1580</v>
      </c>
      <c r="E160" s="35" t="s">
        <v>1169</v>
      </c>
      <c r="F160" s="35" t="s">
        <v>1641</v>
      </c>
      <c r="G160" s="102">
        <v>55</v>
      </c>
      <c r="H160" s="102">
        <v>84</v>
      </c>
      <c r="I160" s="102">
        <v>1873</v>
      </c>
      <c r="J160" s="102">
        <v>102.07850000000001</v>
      </c>
      <c r="K160" s="103">
        <v>45323</v>
      </c>
      <c r="L160" s="102">
        <v>199.03399999999999</v>
      </c>
      <c r="M160" s="102">
        <v>96.955500000000001</v>
      </c>
      <c r="N160" s="102">
        <v>161.5925</v>
      </c>
      <c r="O160" s="102">
        <v>59.514000000000003</v>
      </c>
      <c r="P160" s="35" t="s">
        <v>1648</v>
      </c>
      <c r="Q160" s="35" t="s">
        <v>1598</v>
      </c>
      <c r="R160" s="35" t="s">
        <v>1609</v>
      </c>
      <c r="S160" s="102">
        <v>142.21440000000001</v>
      </c>
      <c r="T160" s="102">
        <v>40.1358999999999</v>
      </c>
      <c r="U160" s="35" t="s">
        <v>1608</v>
      </c>
      <c r="V160" s="35" t="s">
        <v>1849</v>
      </c>
      <c r="W160" s="102">
        <v>375</v>
      </c>
      <c r="X160" s="102">
        <v>272.92149999999998</v>
      </c>
      <c r="Y160" s="102">
        <v>94</v>
      </c>
      <c r="Z160" s="35" t="s">
        <v>1542</v>
      </c>
      <c r="AA160">
        <f>VLOOKUP(A160,Cover!A:R,18,0)</f>
        <v>18.625000000000004</v>
      </c>
      <c r="AB160" s="77">
        <f t="shared" si="126"/>
        <v>78.330500000000001</v>
      </c>
      <c r="AC160" s="77">
        <f t="shared" si="127"/>
        <v>40.888999999999996</v>
      </c>
      <c r="AD160" s="77">
        <f t="shared" si="128"/>
        <v>39.355336274204404</v>
      </c>
      <c r="AE160" s="77">
        <f t="shared" si="129"/>
        <v>25.303773380571496</v>
      </c>
      <c r="AF160" s="77">
        <f t="shared" si="130"/>
        <v>21.510899999999896</v>
      </c>
      <c r="AG160" s="77">
        <f t="shared" si="131"/>
        <v>15.125683475091057</v>
      </c>
      <c r="AH160" s="345"/>
      <c r="AI160" s="345"/>
      <c r="AJ160" s="345"/>
      <c r="AK160" s="345"/>
      <c r="AL160" s="345"/>
      <c r="AM160" s="346"/>
      <c r="AN160" t="s">
        <v>1580</v>
      </c>
      <c r="AO160" t="s">
        <v>1651</v>
      </c>
      <c r="AP160" t="str">
        <f t="shared" si="125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4"/>
        <v>DDm125-33</v>
      </c>
    </row>
    <row r="161" spans="1:53">
      <c r="A161" s="35" t="s">
        <v>177</v>
      </c>
      <c r="B161" s="35" t="s">
        <v>1653</v>
      </c>
      <c r="C161" s="35" t="s">
        <v>1850</v>
      </c>
      <c r="D161" s="35" t="s">
        <v>1585</v>
      </c>
      <c r="E161" s="35" t="s">
        <v>1100</v>
      </c>
      <c r="F161" s="35" t="s">
        <v>1851</v>
      </c>
      <c r="G161" s="102">
        <v>45</v>
      </c>
      <c r="H161" s="102">
        <v>15</v>
      </c>
      <c r="I161" s="102">
        <v>137</v>
      </c>
      <c r="J161" s="102">
        <v>7.4664999999999999</v>
      </c>
      <c r="K161" s="103">
        <v>44391.458333333299</v>
      </c>
      <c r="L161" s="102">
        <v>27.468</v>
      </c>
      <c r="M161" s="102">
        <v>20.0015</v>
      </c>
      <c r="N161" s="102">
        <v>27.849499999999999</v>
      </c>
      <c r="O161" s="102">
        <v>20.382999999999999</v>
      </c>
      <c r="P161" s="35" t="s">
        <v>1591</v>
      </c>
      <c r="Q161" s="35" t="s">
        <v>1598</v>
      </c>
      <c r="R161" s="35" t="s">
        <v>1626</v>
      </c>
      <c r="S161" s="102">
        <v>10.1088</v>
      </c>
      <c r="T161" s="102">
        <v>2.6422999999999801</v>
      </c>
      <c r="U161" s="35" t="s">
        <v>1591</v>
      </c>
      <c r="V161" s="35" t="s">
        <v>1600</v>
      </c>
      <c r="W161" s="102">
        <v>22.5</v>
      </c>
      <c r="X161" s="102">
        <v>15.0335</v>
      </c>
      <c r="Y161" s="102">
        <v>27</v>
      </c>
      <c r="Z161" s="35" t="s">
        <v>1593</v>
      </c>
      <c r="AA161">
        <f>VLOOKUP(A161,Cover!A:R,18,0)</f>
        <v>0</v>
      </c>
      <c r="AB161" s="77">
        <f t="shared" si="126"/>
        <v>20.0015</v>
      </c>
      <c r="AC161" s="77">
        <f t="shared" si="127"/>
        <v>20.382999999999999</v>
      </c>
      <c r="AD161" s="77">
        <f t="shared" si="128"/>
        <v>72.817460317460316</v>
      </c>
      <c r="AE161" s="77">
        <f t="shared" si="129"/>
        <v>73.189823874755376</v>
      </c>
      <c r="AF161" s="77">
        <f t="shared" si="130"/>
        <v>2.6422999999999801</v>
      </c>
      <c r="AG161" s="77">
        <f t="shared" si="131"/>
        <v>26.138611902500593</v>
      </c>
      <c r="AH161" s="77">
        <f t="shared" si="132"/>
        <v>22.5</v>
      </c>
      <c r="AI161" s="77">
        <f t="shared" si="133"/>
        <v>7.4664999999999999</v>
      </c>
      <c r="AJ161" s="77">
        <f t="shared" si="134"/>
        <v>15.0335</v>
      </c>
      <c r="AK161" s="77">
        <f t="shared" si="135"/>
        <v>0</v>
      </c>
      <c r="AL161" s="77">
        <f t="shared" si="136"/>
        <v>15.0335</v>
      </c>
      <c r="AM161" s="77">
        <f t="shared" si="137"/>
        <v>66.815555555555548</v>
      </c>
      <c r="AO161" t="s">
        <v>1594</v>
      </c>
      <c r="AP161" t="str">
        <f t="shared" si="125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4"/>
        <v>2DDm85-15</v>
      </c>
    </row>
    <row r="162" spans="1:53">
      <c r="A162" s="35" t="s">
        <v>178</v>
      </c>
      <c r="B162" s="35" t="s">
        <v>1619</v>
      </c>
      <c r="C162" s="35" t="s">
        <v>1852</v>
      </c>
      <c r="D162" s="35" t="s">
        <v>1585</v>
      </c>
      <c r="E162" s="35" t="s">
        <v>1304</v>
      </c>
      <c r="F162" s="35" t="s">
        <v>1587</v>
      </c>
      <c r="G162" s="102">
        <v>36.6</v>
      </c>
      <c r="H162" s="102">
        <v>23</v>
      </c>
      <c r="I162" s="102">
        <v>221</v>
      </c>
      <c r="J162" s="102">
        <v>12.044499999999999</v>
      </c>
      <c r="K162" s="103">
        <v>44663</v>
      </c>
      <c r="L162" s="102">
        <v>35.106720000000003</v>
      </c>
      <c r="M162" s="102">
        <v>23.06222</v>
      </c>
      <c r="N162" s="102">
        <v>22.083400000000001</v>
      </c>
      <c r="O162" s="102">
        <v>10.0389</v>
      </c>
      <c r="P162" s="35" t="s">
        <v>1591</v>
      </c>
      <c r="Q162" s="35" t="s">
        <v>1598</v>
      </c>
      <c r="R162" s="35" t="s">
        <v>1609</v>
      </c>
      <c r="S162" s="102">
        <v>35.553600000000003</v>
      </c>
      <c r="T162" s="102">
        <v>23.5091</v>
      </c>
      <c r="U162" s="35" t="s">
        <v>1603</v>
      </c>
      <c r="V162" s="35" t="s">
        <v>1604</v>
      </c>
      <c r="W162" s="102">
        <v>33.75</v>
      </c>
      <c r="X162" s="102">
        <v>21.705500000000001</v>
      </c>
      <c r="Y162" s="102">
        <v>17</v>
      </c>
      <c r="Z162" s="35" t="s">
        <v>1593</v>
      </c>
      <c r="AA162">
        <f>VLOOKUP(A162,Cover!A:R,18,0)</f>
        <v>0.3</v>
      </c>
      <c r="AB162" s="77">
        <f t="shared" si="126"/>
        <v>22.762219999999999</v>
      </c>
      <c r="AC162" s="77">
        <f t="shared" si="127"/>
        <v>9.7388999999999992</v>
      </c>
      <c r="AD162" s="77">
        <f t="shared" si="128"/>
        <v>64.837216350601821</v>
      </c>
      <c r="AE162" s="77">
        <f t="shared" si="129"/>
        <v>44.100546111558906</v>
      </c>
      <c r="AF162" s="77">
        <f t="shared" si="130"/>
        <v>23.209099999999999</v>
      </c>
      <c r="AG162" s="77">
        <f t="shared" si="131"/>
        <v>65.279184105125779</v>
      </c>
      <c r="AH162" s="77">
        <f t="shared" si="132"/>
        <v>33.75</v>
      </c>
      <c r="AI162" s="77">
        <f t="shared" si="133"/>
        <v>12.044499999999999</v>
      </c>
      <c r="AJ162" s="77">
        <f t="shared" si="134"/>
        <v>21.705500000000001</v>
      </c>
      <c r="AK162" s="77">
        <f t="shared" si="135"/>
        <v>0.3</v>
      </c>
      <c r="AL162" s="77">
        <f t="shared" si="136"/>
        <v>21.4055</v>
      </c>
      <c r="AM162" s="77">
        <f t="shared" si="137"/>
        <v>63.423703703703701</v>
      </c>
      <c r="AO162" t="s">
        <v>1594</v>
      </c>
      <c r="AP162" t="str">
        <f t="shared" si="125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4"/>
        <v>DDm125-33</v>
      </c>
    </row>
    <row r="163" spans="1:53">
      <c r="A163" s="35" t="s">
        <v>179</v>
      </c>
      <c r="B163" s="35" t="s">
        <v>1595</v>
      </c>
      <c r="C163" s="35" t="s">
        <v>1853</v>
      </c>
      <c r="D163" s="35" t="s">
        <v>1580</v>
      </c>
      <c r="E163" s="35" t="s">
        <v>1854</v>
      </c>
      <c r="F163" s="35" t="s">
        <v>1774</v>
      </c>
      <c r="G163" s="102">
        <v>37.5</v>
      </c>
      <c r="H163" s="102">
        <v>4</v>
      </c>
      <c r="I163" s="102">
        <v>35</v>
      </c>
      <c r="J163" s="102">
        <v>1.9075</v>
      </c>
      <c r="K163" s="103">
        <v>44564.486111111102</v>
      </c>
      <c r="L163" s="102">
        <v>4.9050000000000002</v>
      </c>
      <c r="M163" s="102">
        <v>2.9975000000000001</v>
      </c>
      <c r="N163" s="102">
        <v>5.9132499999999997</v>
      </c>
      <c r="O163" s="102">
        <v>4.0057499999999999</v>
      </c>
      <c r="P163" s="35" t="s">
        <v>1603</v>
      </c>
      <c r="Q163" s="35" t="s">
        <v>1616</v>
      </c>
      <c r="R163" s="35" t="s">
        <v>1617</v>
      </c>
      <c r="S163" s="102">
        <v>3.456</v>
      </c>
      <c r="T163" s="102">
        <v>1.5485</v>
      </c>
      <c r="U163" s="35" t="s">
        <v>1675</v>
      </c>
      <c r="V163" s="35" t="s">
        <v>1648</v>
      </c>
      <c r="W163" s="102">
        <v>6</v>
      </c>
      <c r="X163" s="102">
        <v>4.0925000000000002</v>
      </c>
      <c r="Y163" s="102">
        <v>2</v>
      </c>
      <c r="Z163" s="35" t="s">
        <v>8</v>
      </c>
      <c r="AA163">
        <f>VLOOKUP(A163,Cover!A:R,18,0)</f>
        <v>4</v>
      </c>
      <c r="AB163" s="77">
        <f t="shared" si="126"/>
        <v>-1.0024999999999999</v>
      </c>
      <c r="AC163" s="77">
        <f t="shared" si="127"/>
        <v>5.7499999999999218E-3</v>
      </c>
      <c r="AD163" s="77">
        <f t="shared" si="128"/>
        <v>-20.438328236493373</v>
      </c>
      <c r="AE163" s="77">
        <f t="shared" si="129"/>
        <v>9.7239250834987898E-2</v>
      </c>
      <c r="AF163" s="77">
        <f t="shared" si="130"/>
        <v>-2.4515000000000002</v>
      </c>
      <c r="AG163" s="77">
        <f t="shared" si="131"/>
        <v>-70.934606481481481</v>
      </c>
      <c r="AH163" s="77">
        <f t="shared" si="132"/>
        <v>6</v>
      </c>
      <c r="AI163" s="77">
        <f t="shared" si="133"/>
        <v>1.9075</v>
      </c>
      <c r="AJ163" s="77">
        <f t="shared" si="134"/>
        <v>4.0925000000000002</v>
      </c>
      <c r="AK163" s="77">
        <f t="shared" si="135"/>
        <v>4</v>
      </c>
      <c r="AL163" s="77">
        <f t="shared" si="136"/>
        <v>9.2500000000000249E-2</v>
      </c>
      <c r="AM163" s="77">
        <f t="shared" si="137"/>
        <v>1.541666666666671</v>
      </c>
      <c r="AN163" s="52" t="s">
        <v>1580</v>
      </c>
      <c r="AO163" t="s">
        <v>1594</v>
      </c>
      <c r="AP163" t="str">
        <f t="shared" si="125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4"/>
        <v>SBS C11F</v>
      </c>
    </row>
    <row r="164" spans="1:53">
      <c r="A164" s="35" t="s">
        <v>180</v>
      </c>
      <c r="B164" s="35" t="s">
        <v>1645</v>
      </c>
      <c r="C164" s="35" t="s">
        <v>1855</v>
      </c>
      <c r="D164" s="35" t="s">
        <v>1585</v>
      </c>
      <c r="E164" s="35" t="s">
        <v>1211</v>
      </c>
      <c r="F164" s="35" t="s">
        <v>1587</v>
      </c>
      <c r="G164" s="102">
        <v>36.6</v>
      </c>
      <c r="H164" s="102">
        <v>29</v>
      </c>
      <c r="I164" s="102">
        <v>462</v>
      </c>
      <c r="J164" s="102">
        <v>25.178999999999998</v>
      </c>
      <c r="K164" s="103">
        <v>44553.416666666701</v>
      </c>
      <c r="L164" s="102">
        <v>44.681280000000001</v>
      </c>
      <c r="M164" s="102">
        <v>19.502279999999999</v>
      </c>
      <c r="N164" s="102">
        <v>34.051600000000001</v>
      </c>
      <c r="O164" s="102">
        <v>8.8726000000000003</v>
      </c>
      <c r="P164" s="35" t="s">
        <v>1591</v>
      </c>
      <c r="Q164" s="35" t="s">
        <v>1598</v>
      </c>
      <c r="R164" s="35" t="s">
        <v>1609</v>
      </c>
      <c r="S164" s="102">
        <v>35.553600000000003</v>
      </c>
      <c r="T164" s="102">
        <v>10.374599999999999</v>
      </c>
      <c r="U164" s="35" t="s">
        <v>1638</v>
      </c>
      <c r="V164" s="35" t="s">
        <v>1662</v>
      </c>
      <c r="W164" s="102">
        <v>54</v>
      </c>
      <c r="X164" s="102">
        <v>28.821000000000002</v>
      </c>
      <c r="Y164" s="102">
        <v>24</v>
      </c>
      <c r="Z164" s="35" t="s">
        <v>1593</v>
      </c>
      <c r="AA164">
        <f>VLOOKUP(A164,Cover!A:R,18,0)</f>
        <v>1</v>
      </c>
      <c r="AB164" s="77">
        <f t="shared" si="126"/>
        <v>18.502279999999999</v>
      </c>
      <c r="AC164" s="77">
        <f t="shared" si="127"/>
        <v>7.8726000000000003</v>
      </c>
      <c r="AD164" s="77">
        <f t="shared" si="128"/>
        <v>41.409467231019342</v>
      </c>
      <c r="AE164" s="77">
        <f t="shared" si="129"/>
        <v>23.119618461393888</v>
      </c>
      <c r="AF164" s="77">
        <f t="shared" si="130"/>
        <v>9.3745999999999992</v>
      </c>
      <c r="AG164" s="77">
        <f t="shared" si="131"/>
        <v>26.367512713199222</v>
      </c>
      <c r="AH164" s="77">
        <f t="shared" si="132"/>
        <v>54</v>
      </c>
      <c r="AI164" s="77">
        <f t="shared" si="133"/>
        <v>25.178999999999998</v>
      </c>
      <c r="AJ164" s="77">
        <f t="shared" si="134"/>
        <v>28.821000000000002</v>
      </c>
      <c r="AK164" s="77">
        <f t="shared" si="135"/>
        <v>1</v>
      </c>
      <c r="AL164" s="77">
        <f t="shared" si="136"/>
        <v>27.821000000000002</v>
      </c>
      <c r="AM164" s="77">
        <f t="shared" si="137"/>
        <v>51.520370370370372</v>
      </c>
      <c r="AO164" t="s">
        <v>1594</v>
      </c>
      <c r="AP164" t="str">
        <f t="shared" si="125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4"/>
        <v>DDm125-33</v>
      </c>
    </row>
    <row r="165" spans="1:53">
      <c r="A165" s="35" t="s">
        <v>181</v>
      </c>
      <c r="B165" s="35" t="s">
        <v>1624</v>
      </c>
      <c r="C165" s="35" t="s">
        <v>1856</v>
      </c>
      <c r="D165" s="35" t="s">
        <v>1580</v>
      </c>
      <c r="E165" s="35" t="s">
        <v>1481</v>
      </c>
      <c r="F165" s="35" t="s">
        <v>1641</v>
      </c>
      <c r="G165" s="102">
        <v>55</v>
      </c>
      <c r="H165" s="102">
        <v>13</v>
      </c>
      <c r="I165" s="102">
        <v>281</v>
      </c>
      <c r="J165" s="102">
        <v>15.314500000000001</v>
      </c>
      <c r="K165" s="103">
        <v>45098</v>
      </c>
      <c r="L165" s="102">
        <v>28.776</v>
      </c>
      <c r="M165" s="102">
        <v>13.461499999999999</v>
      </c>
      <c r="N165" s="102">
        <v>19.456499999999998</v>
      </c>
      <c r="O165" s="102">
        <v>4.1420000000000003</v>
      </c>
      <c r="P165" s="35" t="s">
        <v>1588</v>
      </c>
      <c r="Q165" s="35" t="s">
        <v>1598</v>
      </c>
      <c r="R165" s="35" t="s">
        <v>1857</v>
      </c>
      <c r="S165" s="102">
        <v>27.086400000000001</v>
      </c>
      <c r="T165" s="102">
        <v>11.7719</v>
      </c>
      <c r="U165" s="35" t="s">
        <v>1588</v>
      </c>
      <c r="V165" s="35" t="s">
        <v>1702</v>
      </c>
      <c r="W165" s="102">
        <v>33</v>
      </c>
      <c r="X165" s="102">
        <v>17.685500000000001</v>
      </c>
      <c r="Y165" s="102">
        <v>0</v>
      </c>
      <c r="Z165" s="35" t="s">
        <v>8</v>
      </c>
      <c r="AA165">
        <f>VLOOKUP(A165,Cover!A:R,18,0)</f>
        <v>0.5</v>
      </c>
      <c r="AB165" s="77">
        <f t="shared" si="126"/>
        <v>12.961499999999999</v>
      </c>
      <c r="AC165" s="77">
        <f t="shared" si="127"/>
        <v>3.6420000000000003</v>
      </c>
      <c r="AD165" s="77">
        <f t="shared" si="128"/>
        <v>45.042743953294405</v>
      </c>
      <c r="AE165" s="77">
        <f t="shared" si="129"/>
        <v>18.718680132603502</v>
      </c>
      <c r="AF165" s="77">
        <f t="shared" si="130"/>
        <v>11.2719</v>
      </c>
      <c r="AG165" s="77">
        <f t="shared" si="131"/>
        <v>41.614611022505763</v>
      </c>
      <c r="AH165" s="77">
        <f t="shared" si="132"/>
        <v>33</v>
      </c>
      <c r="AI165" s="77">
        <f t="shared" si="133"/>
        <v>15.314500000000001</v>
      </c>
      <c r="AJ165" s="77">
        <f t="shared" si="134"/>
        <v>17.685499999999998</v>
      </c>
      <c r="AK165" s="77">
        <f t="shared" si="135"/>
        <v>0.5</v>
      </c>
      <c r="AL165" s="77">
        <f t="shared" si="136"/>
        <v>17.185499999999998</v>
      </c>
      <c r="AM165" s="77">
        <f t="shared" si="137"/>
        <v>52.077272727272721</v>
      </c>
      <c r="AN165" t="s">
        <v>1580</v>
      </c>
      <c r="AO165" t="s">
        <v>1594</v>
      </c>
      <c r="AP165" t="str">
        <f t="shared" si="125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4"/>
        <v xml:space="preserve">2CP1000 </v>
      </c>
    </row>
    <row r="166" spans="1:53">
      <c r="A166" s="35" t="s">
        <v>182</v>
      </c>
      <c r="B166" s="35" t="s">
        <v>1636</v>
      </c>
      <c r="C166" s="35" t="s">
        <v>1664</v>
      </c>
      <c r="D166" s="35" t="s">
        <v>1585</v>
      </c>
      <c r="E166" s="35" t="s">
        <v>988</v>
      </c>
      <c r="F166" s="35" t="s">
        <v>1587</v>
      </c>
      <c r="G166" s="102">
        <v>36.6</v>
      </c>
      <c r="H166" s="102">
        <v>8</v>
      </c>
      <c r="I166" s="102">
        <v>53</v>
      </c>
      <c r="J166" s="102">
        <v>2.8885000000000001</v>
      </c>
      <c r="K166" s="103">
        <v>44624.375</v>
      </c>
      <c r="L166" s="102">
        <v>11.17032</v>
      </c>
      <c r="M166" s="102">
        <v>8.2818199999999997</v>
      </c>
      <c r="N166" s="102">
        <v>10.169700000000001</v>
      </c>
      <c r="O166" s="102">
        <v>7.2812000000000001</v>
      </c>
      <c r="P166" s="35" t="s">
        <v>1648</v>
      </c>
      <c r="Q166" s="35" t="s">
        <v>1616</v>
      </c>
      <c r="R166" s="35" t="s">
        <v>1739</v>
      </c>
      <c r="S166" s="102">
        <v>7.1712000000000096</v>
      </c>
      <c r="T166" s="102">
        <v>4.2827000000000099</v>
      </c>
      <c r="U166" s="35" t="s">
        <v>1591</v>
      </c>
      <c r="V166" s="35" t="s">
        <v>1692</v>
      </c>
      <c r="W166" s="102">
        <v>11.25</v>
      </c>
      <c r="X166" s="102">
        <v>8.3614999999999995</v>
      </c>
      <c r="Y166" s="102">
        <v>0</v>
      </c>
      <c r="Z166" s="35" t="s">
        <v>1593</v>
      </c>
      <c r="AA166">
        <f>VLOOKUP(A166,Cover!A:R,18,0)</f>
        <v>0</v>
      </c>
      <c r="AB166" s="77">
        <f t="shared" si="126"/>
        <v>8.2818199999999997</v>
      </c>
      <c r="AC166" s="77">
        <f t="shared" si="127"/>
        <v>7.2812000000000001</v>
      </c>
      <c r="AD166" s="77">
        <f t="shared" si="128"/>
        <v>74.141295862607336</v>
      </c>
      <c r="AE166" s="77">
        <f t="shared" si="129"/>
        <v>71.59699892818864</v>
      </c>
      <c r="AF166" s="77">
        <f t="shared" si="130"/>
        <v>4.2827000000000099</v>
      </c>
      <c r="AG166" s="77">
        <f t="shared" si="131"/>
        <v>59.720827755466367</v>
      </c>
      <c r="AH166" s="77">
        <f t="shared" si="132"/>
        <v>11.25</v>
      </c>
      <c r="AI166" s="77">
        <f t="shared" si="133"/>
        <v>2.8885000000000001</v>
      </c>
      <c r="AJ166" s="77">
        <f t="shared" si="134"/>
        <v>8.3614999999999995</v>
      </c>
      <c r="AK166" s="77">
        <f t="shared" si="135"/>
        <v>0</v>
      </c>
      <c r="AL166" s="77">
        <f t="shared" si="136"/>
        <v>8.3614999999999995</v>
      </c>
      <c r="AM166" s="77">
        <f t="shared" si="137"/>
        <v>74.324444444444438</v>
      </c>
      <c r="AO166" t="s">
        <v>1594</v>
      </c>
      <c r="AP166" t="str">
        <f t="shared" si="125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4"/>
        <v>12V105F</v>
      </c>
    </row>
    <row r="167" spans="1:53">
      <c r="A167" s="35" t="s">
        <v>183</v>
      </c>
      <c r="B167" s="35" t="s">
        <v>1636</v>
      </c>
      <c r="C167" s="35" t="s">
        <v>1858</v>
      </c>
      <c r="D167" s="35" t="s">
        <v>1585</v>
      </c>
      <c r="E167" s="35" t="s">
        <v>1018</v>
      </c>
      <c r="F167" s="35" t="s">
        <v>1587</v>
      </c>
      <c r="G167" s="102">
        <v>36.6</v>
      </c>
      <c r="H167" s="102">
        <v>31</v>
      </c>
      <c r="I167" s="102">
        <v>579</v>
      </c>
      <c r="J167" s="102">
        <v>31.555499999999999</v>
      </c>
      <c r="K167" s="103">
        <v>44498.708333333299</v>
      </c>
      <c r="L167" s="102">
        <v>47.872799999999998</v>
      </c>
      <c r="M167" s="102">
        <v>16.317299999999999</v>
      </c>
      <c r="N167" s="102">
        <v>36.787500000000001</v>
      </c>
      <c r="O167" s="102">
        <v>5.2320000000000002</v>
      </c>
      <c r="P167" s="35" t="s">
        <v>1588</v>
      </c>
      <c r="Q167" s="35" t="s">
        <v>1598</v>
      </c>
      <c r="R167" s="35" t="s">
        <v>1859</v>
      </c>
      <c r="S167" s="102">
        <v>37.908000000000001</v>
      </c>
      <c r="T167" s="102">
        <v>6.3525000000000098</v>
      </c>
      <c r="U167" s="35" t="s">
        <v>1648</v>
      </c>
      <c r="V167" s="35" t="s">
        <v>1860</v>
      </c>
      <c r="W167" s="102">
        <v>99.75</v>
      </c>
      <c r="X167" s="102">
        <v>68.194500000000005</v>
      </c>
      <c r="Y167" s="102">
        <v>21</v>
      </c>
      <c r="Z167" s="35" t="s">
        <v>1593</v>
      </c>
      <c r="AA167">
        <f>VLOOKUP(A167,Cover!A:R,18,0)</f>
        <v>1</v>
      </c>
      <c r="AB167" s="77">
        <f t="shared" si="126"/>
        <v>15.317299999999999</v>
      </c>
      <c r="AC167" s="77">
        <f t="shared" si="127"/>
        <v>4.2320000000000002</v>
      </c>
      <c r="AD167" s="77">
        <f t="shared" si="128"/>
        <v>31.995830617803847</v>
      </c>
      <c r="AE167" s="77">
        <f t="shared" si="129"/>
        <v>11.503907577302073</v>
      </c>
      <c r="AF167" s="77">
        <f t="shared" si="130"/>
        <v>5.3525000000000098</v>
      </c>
      <c r="AG167" s="77">
        <f t="shared" si="131"/>
        <v>14.119710878970164</v>
      </c>
      <c r="AH167" s="77">
        <f t="shared" si="132"/>
        <v>99.75</v>
      </c>
      <c r="AI167" s="77">
        <f t="shared" si="133"/>
        <v>31.555499999999999</v>
      </c>
      <c r="AJ167" s="77">
        <f t="shared" si="134"/>
        <v>68.194500000000005</v>
      </c>
      <c r="AK167" s="77">
        <f t="shared" si="135"/>
        <v>1</v>
      </c>
      <c r="AL167" s="77">
        <f t="shared" si="136"/>
        <v>67.194500000000005</v>
      </c>
      <c r="AM167" s="77">
        <f t="shared" si="137"/>
        <v>67.362907268170432</v>
      </c>
      <c r="AO167" t="s">
        <v>1594</v>
      </c>
      <c r="AP167" t="str">
        <f t="shared" si="125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4"/>
        <v>2CP1400</v>
      </c>
    </row>
    <row r="168" spans="1:53">
      <c r="A168" s="35" t="s">
        <v>184</v>
      </c>
      <c r="B168" s="35" t="s">
        <v>1636</v>
      </c>
      <c r="C168" s="35" t="s">
        <v>1858</v>
      </c>
      <c r="D168" s="35" t="s">
        <v>1585</v>
      </c>
      <c r="E168" s="35" t="s">
        <v>1022</v>
      </c>
      <c r="F168" s="35" t="s">
        <v>1656</v>
      </c>
      <c r="G168" s="102">
        <v>50</v>
      </c>
      <c r="H168" s="102">
        <v>11</v>
      </c>
      <c r="I168" s="102">
        <v>163.1</v>
      </c>
      <c r="J168" s="102">
        <v>8.8889499999999995</v>
      </c>
      <c r="K168" s="103">
        <v>44729.636111111096</v>
      </c>
      <c r="L168" s="102">
        <v>21.8</v>
      </c>
      <c r="M168" s="102">
        <v>12.911049999999999</v>
      </c>
      <c r="N168" s="102">
        <v>17.521750000000001</v>
      </c>
      <c r="O168" s="102">
        <v>8.6327999999999996</v>
      </c>
      <c r="P168" s="35" t="s">
        <v>1588</v>
      </c>
      <c r="Q168" s="35" t="s">
        <v>1598</v>
      </c>
      <c r="R168" s="35" t="s">
        <v>1626</v>
      </c>
      <c r="S168" s="102">
        <v>15.1632</v>
      </c>
      <c r="T168" s="102">
        <v>6.2742499999999897</v>
      </c>
      <c r="U168" s="35" t="s">
        <v>1588</v>
      </c>
      <c r="V168" s="35" t="s">
        <v>1606</v>
      </c>
      <c r="W168" s="102">
        <v>45</v>
      </c>
      <c r="X168" s="102">
        <v>36.111049999999999</v>
      </c>
      <c r="Y168" s="102">
        <v>96</v>
      </c>
      <c r="Z168" s="35" t="s">
        <v>1593</v>
      </c>
      <c r="AA168">
        <f>VLOOKUP(A168,Cover!A:R,18,0)</f>
        <v>0</v>
      </c>
      <c r="AB168" s="77">
        <f t="shared" si="126"/>
        <v>12.911049999999999</v>
      </c>
      <c r="AC168" s="77">
        <f t="shared" si="127"/>
        <v>8.6327999999999996</v>
      </c>
      <c r="AD168" s="77">
        <f t="shared" si="128"/>
        <v>59.224999999999994</v>
      </c>
      <c r="AE168" s="77">
        <f t="shared" si="129"/>
        <v>49.269051321928458</v>
      </c>
      <c r="AF168" s="77">
        <f t="shared" si="130"/>
        <v>6.2742499999999897</v>
      </c>
      <c r="AG168" s="77">
        <f t="shared" si="131"/>
        <v>41.378139179065037</v>
      </c>
      <c r="AH168" s="77">
        <f t="shared" si="132"/>
        <v>45</v>
      </c>
      <c r="AI168" s="77">
        <f t="shared" si="133"/>
        <v>8.8889499999999995</v>
      </c>
      <c r="AJ168" s="77">
        <f t="shared" si="134"/>
        <v>36.111049999999999</v>
      </c>
      <c r="AK168" s="77">
        <f t="shared" si="135"/>
        <v>0</v>
      </c>
      <c r="AL168" s="77">
        <f t="shared" si="136"/>
        <v>36.111049999999999</v>
      </c>
      <c r="AM168" s="77">
        <f t="shared" si="137"/>
        <v>80.24677777777778</v>
      </c>
      <c r="AO168" t="s">
        <v>1594</v>
      </c>
      <c r="AP168" t="str">
        <f t="shared" si="125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4"/>
        <v>2DDm85-15</v>
      </c>
    </row>
    <row r="169" spans="1:53">
      <c r="A169" s="35" t="s">
        <v>185</v>
      </c>
      <c r="B169" s="35" t="s">
        <v>1583</v>
      </c>
      <c r="C169" s="35" t="s">
        <v>1861</v>
      </c>
      <c r="D169" s="35" t="s">
        <v>1629</v>
      </c>
      <c r="E169" s="35" t="s">
        <v>794</v>
      </c>
      <c r="F169" s="35" t="s">
        <v>1587</v>
      </c>
      <c r="G169" s="102">
        <v>36.6</v>
      </c>
      <c r="H169" s="102">
        <v>7</v>
      </c>
      <c r="I169" s="102">
        <v>90</v>
      </c>
      <c r="J169" s="102">
        <v>4.9050000000000002</v>
      </c>
      <c r="K169" s="103">
        <v>45323</v>
      </c>
      <c r="L169" s="102">
        <v>9.57456</v>
      </c>
      <c r="M169" s="102">
        <v>4.6695599999999997</v>
      </c>
      <c r="N169" s="102">
        <v>5.4282000000000004</v>
      </c>
      <c r="O169" s="102">
        <v>0.523200000000001</v>
      </c>
      <c r="P169" s="35" t="s">
        <v>1681</v>
      </c>
      <c r="Q169" s="35" t="s">
        <v>1598</v>
      </c>
      <c r="R169" s="35" t="s">
        <v>1825</v>
      </c>
      <c r="S169" s="102">
        <v>18.429120000000001</v>
      </c>
      <c r="T169" s="102">
        <v>13.52412</v>
      </c>
      <c r="U169" s="35" t="s">
        <v>1591</v>
      </c>
      <c r="V169" s="35" t="s">
        <v>1692</v>
      </c>
      <c r="W169" s="102">
        <v>11.25</v>
      </c>
      <c r="X169" s="102">
        <v>6.3449999999999998</v>
      </c>
      <c r="Y169" s="102">
        <v>8</v>
      </c>
      <c r="Z169" s="35" t="s">
        <v>1593</v>
      </c>
      <c r="AA169">
        <f>VLOOKUP(A169,Cover!A:R,18,0)</f>
        <v>2.4</v>
      </c>
      <c r="AB169" s="77">
        <f t="shared" si="126"/>
        <v>2.2695599999999998</v>
      </c>
      <c r="AC169" s="77">
        <f t="shared" si="127"/>
        <v>-1.8767999999999989</v>
      </c>
      <c r="AD169" s="77">
        <f t="shared" si="128"/>
        <v>23.704065774301899</v>
      </c>
      <c r="AE169" s="77">
        <f t="shared" si="129"/>
        <v>-34.574997236653012</v>
      </c>
      <c r="AF169" s="77">
        <f t="shared" si="130"/>
        <v>11.12412</v>
      </c>
      <c r="AG169" s="77">
        <f t="shared" si="131"/>
        <v>60.361645048705519</v>
      </c>
      <c r="AH169" s="77">
        <f t="shared" si="132"/>
        <v>11.25</v>
      </c>
      <c r="AI169" s="77">
        <f t="shared" si="133"/>
        <v>4.9050000000000002</v>
      </c>
      <c r="AJ169" s="77">
        <f t="shared" si="134"/>
        <v>6.3449999999999998</v>
      </c>
      <c r="AK169" s="77">
        <f t="shared" si="135"/>
        <v>2.4</v>
      </c>
      <c r="AL169" s="77">
        <f t="shared" si="136"/>
        <v>3.9449999999999998</v>
      </c>
      <c r="AM169" s="77">
        <f t="shared" si="137"/>
        <v>35.066666666666663</v>
      </c>
      <c r="AO169" t="s">
        <v>1594</v>
      </c>
      <c r="AP169" t="str">
        <f t="shared" si="125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4"/>
        <v xml:space="preserve">12V101F </v>
      </c>
    </row>
    <row r="170" spans="1:53">
      <c r="A170" s="35" t="s">
        <v>186</v>
      </c>
      <c r="B170" s="35" t="s">
        <v>1583</v>
      </c>
      <c r="C170" s="35" t="s">
        <v>1861</v>
      </c>
      <c r="D170" s="35" t="s">
        <v>1585</v>
      </c>
      <c r="E170" s="35" t="s">
        <v>796</v>
      </c>
      <c r="F170" s="35" t="s">
        <v>1587</v>
      </c>
      <c r="G170" s="102">
        <v>36.6</v>
      </c>
      <c r="H170" s="102">
        <v>18</v>
      </c>
      <c r="I170" s="102">
        <v>226</v>
      </c>
      <c r="J170" s="102">
        <v>12.317</v>
      </c>
      <c r="K170" s="103">
        <v>44565.75</v>
      </c>
      <c r="L170" s="102">
        <v>27.12792</v>
      </c>
      <c r="M170" s="102">
        <v>14.810919999999999</v>
      </c>
      <c r="N170" s="102">
        <v>15.84315</v>
      </c>
      <c r="O170" s="102">
        <v>3.5261499999999999</v>
      </c>
      <c r="P170" s="35" t="s">
        <v>1588</v>
      </c>
      <c r="Q170" s="35" t="s">
        <v>1598</v>
      </c>
      <c r="R170" s="35" t="s">
        <v>1805</v>
      </c>
      <c r="S170" s="102">
        <v>28.187999999999999</v>
      </c>
      <c r="T170" s="102">
        <v>15.871</v>
      </c>
      <c r="U170" s="35" t="s">
        <v>1603</v>
      </c>
      <c r="V170" s="35" t="s">
        <v>1600</v>
      </c>
      <c r="W170" s="102">
        <v>22.5</v>
      </c>
      <c r="X170" s="102">
        <v>10.183</v>
      </c>
      <c r="Y170" s="102">
        <v>9</v>
      </c>
      <c r="Z170" s="35" t="s">
        <v>1593</v>
      </c>
      <c r="AA170">
        <f>VLOOKUP(A170,Cover!A:R,18,0)</f>
        <v>1</v>
      </c>
      <c r="AB170" s="77">
        <f t="shared" si="126"/>
        <v>13.810919999999999</v>
      </c>
      <c r="AC170" s="77">
        <f t="shared" si="127"/>
        <v>2.5261499999999999</v>
      </c>
      <c r="AD170" s="77">
        <f t="shared" si="128"/>
        <v>50.910353613546484</v>
      </c>
      <c r="AE170" s="77">
        <f t="shared" si="129"/>
        <v>15.944745836528719</v>
      </c>
      <c r="AF170" s="77">
        <f t="shared" si="130"/>
        <v>14.871</v>
      </c>
      <c r="AG170" s="77">
        <f t="shared" si="131"/>
        <v>52.756492124308224</v>
      </c>
      <c r="AH170" s="77">
        <f t="shared" si="132"/>
        <v>22.5</v>
      </c>
      <c r="AI170" s="77">
        <f t="shared" si="133"/>
        <v>12.317</v>
      </c>
      <c r="AJ170" s="77">
        <f t="shared" si="134"/>
        <v>10.183</v>
      </c>
      <c r="AK170" s="77">
        <f t="shared" si="135"/>
        <v>1</v>
      </c>
      <c r="AL170" s="77">
        <f t="shared" si="136"/>
        <v>9.1829999999999998</v>
      </c>
      <c r="AM170" s="77">
        <f t="shared" si="137"/>
        <v>40.813333333333333</v>
      </c>
      <c r="AO170" t="s">
        <v>1594</v>
      </c>
      <c r="AP170" t="str">
        <f t="shared" si="125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4"/>
        <v>DDm85-27</v>
      </c>
    </row>
    <row r="171" spans="1:53">
      <c r="A171" s="35" t="s">
        <v>187</v>
      </c>
      <c r="B171" s="35" t="s">
        <v>1672</v>
      </c>
      <c r="C171" s="35" t="s">
        <v>1862</v>
      </c>
      <c r="D171" s="35" t="s">
        <v>1585</v>
      </c>
      <c r="E171" s="35" t="s">
        <v>1103</v>
      </c>
      <c r="F171" s="35" t="s">
        <v>1587</v>
      </c>
      <c r="G171" s="102">
        <v>36.6</v>
      </c>
      <c r="H171" s="102">
        <v>11</v>
      </c>
      <c r="I171" s="102">
        <v>100</v>
      </c>
      <c r="J171" s="102">
        <v>5.45</v>
      </c>
      <c r="K171" s="103">
        <v>45323</v>
      </c>
      <c r="L171" s="102">
        <v>15.957599999999999</v>
      </c>
      <c r="M171" s="102">
        <v>10.5076</v>
      </c>
      <c r="N171" s="102">
        <v>11.663</v>
      </c>
      <c r="O171" s="102">
        <v>6.2130000000000001</v>
      </c>
      <c r="P171" s="35" t="s">
        <v>1648</v>
      </c>
      <c r="Q171" s="35" t="s">
        <v>1616</v>
      </c>
      <c r="R171" s="35" t="s">
        <v>1771</v>
      </c>
      <c r="S171" s="102">
        <v>14.91264</v>
      </c>
      <c r="T171" s="102">
        <v>9.4626400000000199</v>
      </c>
      <c r="U171" s="35" t="s">
        <v>1588</v>
      </c>
      <c r="V171" s="35" t="s">
        <v>1740</v>
      </c>
      <c r="W171" s="102">
        <v>10.5</v>
      </c>
      <c r="X171" s="102">
        <v>5.05</v>
      </c>
      <c r="Y171" s="102">
        <v>6</v>
      </c>
      <c r="Z171" s="35" t="s">
        <v>1593</v>
      </c>
      <c r="AA171">
        <f>VLOOKUP(A171,Cover!A:R,18,0)</f>
        <v>1.7</v>
      </c>
      <c r="AB171" s="77">
        <f t="shared" si="126"/>
        <v>8.8076000000000008</v>
      </c>
      <c r="AC171" s="77">
        <f t="shared" si="127"/>
        <v>4.5129999999999999</v>
      </c>
      <c r="AD171" s="77">
        <f t="shared" si="128"/>
        <v>55.193763473203994</v>
      </c>
      <c r="AE171" s="77">
        <f t="shared" si="129"/>
        <v>38.695018434365089</v>
      </c>
      <c r="AF171" s="77">
        <f t="shared" si="130"/>
        <v>7.7626400000000197</v>
      </c>
      <c r="AG171" s="77">
        <f t="shared" si="131"/>
        <v>52.054096390712978</v>
      </c>
      <c r="AH171" s="77">
        <f t="shared" si="132"/>
        <v>10.5</v>
      </c>
      <c r="AI171" s="77">
        <f t="shared" si="133"/>
        <v>5.45</v>
      </c>
      <c r="AJ171" s="77">
        <f t="shared" si="134"/>
        <v>5.05</v>
      </c>
      <c r="AK171" s="77">
        <f t="shared" si="135"/>
        <v>1.7</v>
      </c>
      <c r="AL171" s="77">
        <f t="shared" si="136"/>
        <v>3.3499999999999996</v>
      </c>
      <c r="AM171" s="77">
        <f t="shared" si="137"/>
        <v>31.904761904761902</v>
      </c>
      <c r="AO171" t="s">
        <v>1594</v>
      </c>
      <c r="AP171" t="str">
        <f t="shared" si="125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4"/>
        <v>12V190F</v>
      </c>
    </row>
    <row r="172" spans="1:53">
      <c r="A172" s="35" t="s">
        <v>188</v>
      </c>
      <c r="B172" s="35" t="s">
        <v>1653</v>
      </c>
      <c r="C172" s="35" t="s">
        <v>1863</v>
      </c>
      <c r="D172" s="35" t="s">
        <v>1585</v>
      </c>
      <c r="E172" s="35" t="s">
        <v>1106</v>
      </c>
      <c r="F172" s="35" t="s">
        <v>1587</v>
      </c>
      <c r="G172" s="102">
        <v>36.6</v>
      </c>
      <c r="H172" s="102">
        <v>32</v>
      </c>
      <c r="I172" s="102">
        <v>364</v>
      </c>
      <c r="J172" s="102">
        <v>19.838000000000001</v>
      </c>
      <c r="K172" s="103">
        <v>45323</v>
      </c>
      <c r="L172" s="102">
        <v>49.468559999999997</v>
      </c>
      <c r="M172" s="102">
        <v>29.630559999999999</v>
      </c>
      <c r="N172" s="102">
        <v>35.675699999999999</v>
      </c>
      <c r="O172" s="102">
        <v>15.8377</v>
      </c>
      <c r="P172" s="35" t="s">
        <v>1603</v>
      </c>
      <c r="Q172" s="35" t="s">
        <v>1598</v>
      </c>
      <c r="R172" s="35" t="s">
        <v>1602</v>
      </c>
      <c r="S172" s="102">
        <v>42.249600000000001</v>
      </c>
      <c r="T172" s="102">
        <v>22.4116</v>
      </c>
      <c r="U172" s="35" t="s">
        <v>1588</v>
      </c>
      <c r="V172" s="35" t="s">
        <v>1606</v>
      </c>
      <c r="W172" s="102">
        <v>45</v>
      </c>
      <c r="X172" s="102">
        <v>25.161999999999999</v>
      </c>
      <c r="Y172" s="102">
        <v>40</v>
      </c>
      <c r="Z172" s="35" t="s">
        <v>1593</v>
      </c>
      <c r="AA172">
        <f>VLOOKUP(A172,Cover!A:R,18,0)</f>
        <v>10.1</v>
      </c>
      <c r="AB172" s="77">
        <f t="shared" si="126"/>
        <v>19.530560000000001</v>
      </c>
      <c r="AC172" s="77">
        <f t="shared" si="127"/>
        <v>5.7377000000000002</v>
      </c>
      <c r="AD172" s="77">
        <f t="shared" si="128"/>
        <v>39.480753027781695</v>
      </c>
      <c r="AE172" s="77">
        <f t="shared" si="129"/>
        <v>16.082936004058787</v>
      </c>
      <c r="AF172" s="77">
        <f t="shared" si="130"/>
        <v>12.3116</v>
      </c>
      <c r="AG172" s="77">
        <f t="shared" si="131"/>
        <v>29.140157539953044</v>
      </c>
      <c r="AH172" s="345">
        <f>AVERAGE(W172:W173)</f>
        <v>45</v>
      </c>
      <c r="AI172" s="345">
        <f>SUM(J172:J173)</f>
        <v>35.3705</v>
      </c>
      <c r="AJ172" s="345">
        <f t="shared" si="134"/>
        <v>9.6295000000000002</v>
      </c>
      <c r="AK172" s="345">
        <f>SUM(AA172:AA173)</f>
        <v>20.2</v>
      </c>
      <c r="AL172" s="345">
        <f t="shared" si="136"/>
        <v>-10.570499999999999</v>
      </c>
      <c r="AM172" s="346">
        <f t="shared" si="137"/>
        <v>-23.49</v>
      </c>
      <c r="AO172" t="s">
        <v>1594</v>
      </c>
      <c r="AP172" t="str">
        <f t="shared" si="125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4"/>
        <v>DDm100-25</v>
      </c>
    </row>
    <row r="173" spans="1:53">
      <c r="A173" s="35" t="s">
        <v>189</v>
      </c>
      <c r="B173" s="35" t="s">
        <v>1653</v>
      </c>
      <c r="C173" s="35" t="s">
        <v>1863</v>
      </c>
      <c r="D173" s="35" t="s">
        <v>1585</v>
      </c>
      <c r="E173" s="35" t="s">
        <v>1106</v>
      </c>
      <c r="F173" s="35" t="s">
        <v>1587</v>
      </c>
      <c r="G173" s="102">
        <v>36.6</v>
      </c>
      <c r="H173" s="102">
        <v>24</v>
      </c>
      <c r="I173" s="102">
        <v>285</v>
      </c>
      <c r="J173" s="102">
        <v>15.532500000000001</v>
      </c>
      <c r="K173" s="103">
        <v>45323</v>
      </c>
      <c r="L173" s="102">
        <v>36.702480000000001</v>
      </c>
      <c r="M173" s="102">
        <v>21.169979999999999</v>
      </c>
      <c r="N173" s="102">
        <v>17.5381</v>
      </c>
      <c r="O173" s="102">
        <v>2.0055999999999998</v>
      </c>
      <c r="P173" s="35" t="s">
        <v>1603</v>
      </c>
      <c r="Q173" s="35" t="s">
        <v>1598</v>
      </c>
      <c r="R173" s="35" t="s">
        <v>1605</v>
      </c>
      <c r="S173" s="102">
        <v>45.705599999999997</v>
      </c>
      <c r="T173" s="102">
        <v>30.173100000000002</v>
      </c>
      <c r="U173" s="35" t="s">
        <v>1588</v>
      </c>
      <c r="V173" s="35" t="s">
        <v>1606</v>
      </c>
      <c r="W173" s="102">
        <v>45</v>
      </c>
      <c r="X173" s="102">
        <v>29.467500000000001</v>
      </c>
      <c r="Y173" s="102">
        <v>40</v>
      </c>
      <c r="Z173" s="35" t="s">
        <v>1593</v>
      </c>
      <c r="AA173">
        <f>VLOOKUP(A173,Cover!A:R,18,0)</f>
        <v>10.1</v>
      </c>
      <c r="AB173" s="77">
        <f t="shared" ref="AB173" si="138">M173-AA173</f>
        <v>11.069979999999999</v>
      </c>
      <c r="AC173" s="77">
        <f t="shared" ref="AC173" si="139">O173-AA173</f>
        <v>-8.0944000000000003</v>
      </c>
      <c r="AD173" s="77">
        <f t="shared" ref="AD173" si="140">AB173/L173%</f>
        <v>30.161395088288305</v>
      </c>
      <c r="AE173" s="77">
        <f t="shared" ref="AE173" si="141">AC173/N173%</f>
        <v>-46.153232106100432</v>
      </c>
      <c r="AF173" s="77">
        <f t="shared" ref="AF173" si="142">T173-AA173</f>
        <v>20.073100000000004</v>
      </c>
      <c r="AG173" s="77">
        <f t="shared" ref="AG173" si="143">AF173/S173%</f>
        <v>43.918250717636361</v>
      </c>
      <c r="AH173" s="345"/>
      <c r="AI173" s="345"/>
      <c r="AJ173" s="345"/>
      <c r="AK173" s="345"/>
      <c r="AL173" s="345"/>
      <c r="AM173" s="346"/>
      <c r="AO173" t="s">
        <v>1594</v>
      </c>
      <c r="AP173" t="str">
        <f t="shared" ref="AP173" si="144">TRIM(BA173)</f>
        <v>DDm100-27</v>
      </c>
      <c r="BA173" t="str">
        <f t="shared" si="124"/>
        <v>DDm100-27</v>
      </c>
    </row>
    <row r="174" spans="1:53">
      <c r="A174" s="35" t="s">
        <v>190</v>
      </c>
      <c r="B174" s="35" t="s">
        <v>1653</v>
      </c>
      <c r="C174" s="35" t="s">
        <v>1864</v>
      </c>
      <c r="D174" s="35" t="s">
        <v>1585</v>
      </c>
      <c r="E174" s="35" t="s">
        <v>1865</v>
      </c>
      <c r="F174" s="35" t="s">
        <v>1718</v>
      </c>
      <c r="G174" s="102">
        <v>60.4</v>
      </c>
      <c r="H174" s="102">
        <v>8</v>
      </c>
      <c r="I174" s="102">
        <v>132</v>
      </c>
      <c r="J174" s="102">
        <v>7.194</v>
      </c>
      <c r="K174" s="103">
        <v>44638.5</v>
      </c>
      <c r="L174" s="102">
        <v>18.434080000000002</v>
      </c>
      <c r="M174" s="102">
        <v>11.240080000000001</v>
      </c>
      <c r="N174" s="102">
        <v>16.557099999999998</v>
      </c>
      <c r="O174" s="102">
        <v>9.3630999999999993</v>
      </c>
      <c r="P174" s="35" t="s">
        <v>1591</v>
      </c>
      <c r="Q174" s="35" t="s">
        <v>1598</v>
      </c>
      <c r="R174" s="35" t="s">
        <v>1626</v>
      </c>
      <c r="S174" s="102">
        <v>10.1088</v>
      </c>
      <c r="T174" s="102">
        <v>2.9147999999999801</v>
      </c>
      <c r="U174" s="35" t="s">
        <v>1591</v>
      </c>
      <c r="V174" s="35" t="s">
        <v>1600</v>
      </c>
      <c r="W174" s="102">
        <v>22.5</v>
      </c>
      <c r="X174" s="102">
        <v>15.305999999999999</v>
      </c>
      <c r="Y174" s="102">
        <v>24</v>
      </c>
      <c r="Z174" s="35" t="s">
        <v>1593</v>
      </c>
      <c r="AA174">
        <f>VLOOKUP(A174,Cover!A:R,18,0)</f>
        <v>0</v>
      </c>
      <c r="AB174" s="77">
        <f t="shared" si="126"/>
        <v>11.240080000000001</v>
      </c>
      <c r="AC174" s="77">
        <f t="shared" si="127"/>
        <v>9.3630999999999993</v>
      </c>
      <c r="AD174" s="77">
        <f t="shared" si="128"/>
        <v>60.974456007568584</v>
      </c>
      <c r="AE174" s="77">
        <f t="shared" si="129"/>
        <v>56.550362080315992</v>
      </c>
      <c r="AF174" s="77">
        <f t="shared" si="130"/>
        <v>2.9147999999999801</v>
      </c>
      <c r="AG174" s="77">
        <f t="shared" si="131"/>
        <v>28.834283000949469</v>
      </c>
      <c r="AH174" s="77">
        <f t="shared" si="132"/>
        <v>22.5</v>
      </c>
      <c r="AI174" s="77">
        <f t="shared" si="133"/>
        <v>7.194</v>
      </c>
      <c r="AJ174" s="77">
        <f t="shared" si="134"/>
        <v>15.306000000000001</v>
      </c>
      <c r="AK174" s="77">
        <f t="shared" si="135"/>
        <v>0</v>
      </c>
      <c r="AL174" s="77">
        <f t="shared" si="136"/>
        <v>15.306000000000001</v>
      </c>
      <c r="AM174" s="77">
        <f t="shared" si="137"/>
        <v>68.026666666666671</v>
      </c>
      <c r="AO174" t="s">
        <v>1594</v>
      </c>
      <c r="AP174" t="str">
        <f t="shared" si="125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4"/>
        <v>2DDm85-15</v>
      </c>
    </row>
    <row r="175" spans="1:53">
      <c r="A175" s="35" t="s">
        <v>191</v>
      </c>
      <c r="B175" s="35" t="s">
        <v>1725</v>
      </c>
      <c r="C175" s="35" t="s">
        <v>1866</v>
      </c>
      <c r="D175" s="35" t="s">
        <v>1580</v>
      </c>
      <c r="E175" s="35" t="s">
        <v>1867</v>
      </c>
      <c r="F175" s="35" t="s">
        <v>1641</v>
      </c>
      <c r="G175" s="102">
        <v>55</v>
      </c>
      <c r="H175" s="102">
        <v>6</v>
      </c>
      <c r="I175" s="102">
        <v>154</v>
      </c>
      <c r="J175" s="102">
        <v>8.3930000000000007</v>
      </c>
      <c r="K175" s="103">
        <v>44532.583333333299</v>
      </c>
      <c r="L175" s="102">
        <v>11.99</v>
      </c>
      <c r="M175" s="102">
        <v>3.597</v>
      </c>
      <c r="N175" s="102">
        <v>9.3369395639999997</v>
      </c>
      <c r="O175" s="102">
        <v>0.94393956400000101</v>
      </c>
      <c r="P175" s="35" t="s">
        <v>1603</v>
      </c>
      <c r="Q175" s="35" t="s">
        <v>1589</v>
      </c>
      <c r="R175" s="35" t="s">
        <v>1868</v>
      </c>
      <c r="S175" s="102">
        <v>11.664</v>
      </c>
      <c r="T175" s="102">
        <v>3.2709999999999901</v>
      </c>
      <c r="U175" s="35" t="s">
        <v>1603</v>
      </c>
      <c r="V175" s="35" t="s">
        <v>1600</v>
      </c>
      <c r="W175" s="102">
        <v>22.5</v>
      </c>
      <c r="X175" s="102">
        <v>14.106999999999999</v>
      </c>
      <c r="Y175" s="102">
        <v>3</v>
      </c>
      <c r="Z175" s="35" t="s">
        <v>8</v>
      </c>
      <c r="AA175">
        <f>VLOOKUP(A175,Cover!A:R,18,0)</f>
        <v>0</v>
      </c>
      <c r="AB175" s="77">
        <f t="shared" si="126"/>
        <v>3.597</v>
      </c>
      <c r="AC175" s="77">
        <f t="shared" si="127"/>
        <v>0.94393956400000101</v>
      </c>
      <c r="AD175" s="77">
        <f t="shared" si="128"/>
        <v>29.999999999999996</v>
      </c>
      <c r="AE175" s="77">
        <f t="shared" si="129"/>
        <v>10.109731968701015</v>
      </c>
      <c r="AF175" s="77">
        <f t="shared" si="130"/>
        <v>3.2709999999999901</v>
      </c>
      <c r="AG175" s="77">
        <f t="shared" si="131"/>
        <v>28.043552812071248</v>
      </c>
      <c r="AH175" s="77">
        <f t="shared" si="132"/>
        <v>22.5</v>
      </c>
      <c r="AI175" s="77">
        <f t="shared" si="133"/>
        <v>8.3930000000000007</v>
      </c>
      <c r="AJ175" s="77">
        <f t="shared" si="134"/>
        <v>14.106999999999999</v>
      </c>
      <c r="AK175" s="77">
        <f t="shared" si="135"/>
        <v>0</v>
      </c>
      <c r="AL175" s="77">
        <f t="shared" si="136"/>
        <v>14.106999999999999</v>
      </c>
      <c r="AM175" s="77">
        <f t="shared" si="137"/>
        <v>62.697777777777773</v>
      </c>
      <c r="AN175" t="s">
        <v>1580</v>
      </c>
      <c r="AO175" t="s">
        <v>1594</v>
      </c>
      <c r="AP175" t="str">
        <f t="shared" si="125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4"/>
        <v>EN320</v>
      </c>
    </row>
    <row r="176" spans="1:53">
      <c r="A176" s="35" t="s">
        <v>192</v>
      </c>
      <c r="B176" s="35" t="s">
        <v>1725</v>
      </c>
      <c r="C176" s="35" t="s">
        <v>1869</v>
      </c>
      <c r="D176" s="35" t="s">
        <v>1585</v>
      </c>
      <c r="E176" s="35" t="s">
        <v>1505</v>
      </c>
      <c r="F176" s="35" t="s">
        <v>1597</v>
      </c>
      <c r="G176" s="102">
        <v>75</v>
      </c>
      <c r="H176" s="102">
        <v>9</v>
      </c>
      <c r="I176" s="102">
        <v>175</v>
      </c>
      <c r="J176" s="102">
        <v>9.5374999999999996</v>
      </c>
      <c r="K176" s="103">
        <v>44355.416666666701</v>
      </c>
      <c r="L176" s="102">
        <v>26.16</v>
      </c>
      <c r="M176" s="102">
        <v>16.622499999999999</v>
      </c>
      <c r="N176" s="102">
        <v>20.6555</v>
      </c>
      <c r="O176" s="102">
        <v>11.118</v>
      </c>
      <c r="P176" s="35" t="s">
        <v>1591</v>
      </c>
      <c r="Q176" s="35" t="s">
        <v>1598</v>
      </c>
      <c r="R176" s="35" t="s">
        <v>1805</v>
      </c>
      <c r="S176" s="102">
        <v>18.792000000000002</v>
      </c>
      <c r="T176" s="102">
        <v>9.2544999999999806</v>
      </c>
      <c r="U176" s="35" t="s">
        <v>1588</v>
      </c>
      <c r="V176" s="35" t="s">
        <v>1606</v>
      </c>
      <c r="W176" s="102">
        <v>45</v>
      </c>
      <c r="X176" s="102">
        <v>35.462499999999999</v>
      </c>
      <c r="Y176" s="102">
        <v>21</v>
      </c>
      <c r="Z176" s="35" t="s">
        <v>1593</v>
      </c>
      <c r="AA176">
        <f>VLOOKUP(A176,Cover!A:R,18,0)</f>
        <v>2</v>
      </c>
      <c r="AB176" s="77">
        <f t="shared" si="126"/>
        <v>14.622499999999999</v>
      </c>
      <c r="AC176" s="77">
        <f t="shared" si="127"/>
        <v>9.1180000000000003</v>
      </c>
      <c r="AD176" s="77">
        <f t="shared" si="128"/>
        <v>55.89640672782874</v>
      </c>
      <c r="AE176" s="77">
        <f t="shared" si="129"/>
        <v>44.143206409915038</v>
      </c>
      <c r="AF176" s="77">
        <f t="shared" si="130"/>
        <v>7.2544999999999806</v>
      </c>
      <c r="AG176" s="77">
        <f t="shared" si="131"/>
        <v>38.604193273733401</v>
      </c>
      <c r="AH176" s="345">
        <f>AVERAGE(W176:W177)</f>
        <v>45</v>
      </c>
      <c r="AI176" s="345">
        <f>SUM(J176:J177)</f>
        <v>19.3475</v>
      </c>
      <c r="AJ176" s="345">
        <f t="shared" si="134"/>
        <v>25.6525</v>
      </c>
      <c r="AK176" s="345">
        <f>SUM(AA176:AA177)</f>
        <v>2</v>
      </c>
      <c r="AL176" s="345">
        <f t="shared" si="136"/>
        <v>23.6525</v>
      </c>
      <c r="AM176" s="346">
        <f t="shared" si="137"/>
        <v>52.56111111111111</v>
      </c>
      <c r="AO176" t="s">
        <v>1594</v>
      </c>
      <c r="AP176" t="str">
        <f t="shared" si="125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4"/>
        <v>DDm85-27</v>
      </c>
    </row>
    <row r="177" spans="1:53">
      <c r="A177" s="35" t="s">
        <v>193</v>
      </c>
      <c r="B177" s="35" t="s">
        <v>1725</v>
      </c>
      <c r="C177" s="35" t="s">
        <v>1869</v>
      </c>
      <c r="D177" s="35" t="s">
        <v>1585</v>
      </c>
      <c r="E177" s="35" t="s">
        <v>1505</v>
      </c>
      <c r="F177" s="35" t="s">
        <v>1597</v>
      </c>
      <c r="G177" s="102">
        <v>75</v>
      </c>
      <c r="H177" s="102">
        <v>7</v>
      </c>
      <c r="I177" s="102">
        <v>180</v>
      </c>
      <c r="J177" s="102">
        <v>9.81</v>
      </c>
      <c r="K177" s="103">
        <v>44355.5</v>
      </c>
      <c r="L177" s="102">
        <v>19.62</v>
      </c>
      <c r="M177" s="102">
        <v>9.81</v>
      </c>
      <c r="N177" s="102">
        <v>12.480499999999999</v>
      </c>
      <c r="O177" s="102">
        <v>2.6705000000000001</v>
      </c>
      <c r="P177" s="35" t="s">
        <v>1591</v>
      </c>
      <c r="Q177" s="35" t="s">
        <v>1598</v>
      </c>
      <c r="R177" s="35" t="s">
        <v>1805</v>
      </c>
      <c r="S177" s="102">
        <v>18.792000000000002</v>
      </c>
      <c r="T177" s="102">
        <v>8.9819999999999798</v>
      </c>
      <c r="U177" s="35" t="s">
        <v>1588</v>
      </c>
      <c r="V177" s="35" t="s">
        <v>1606</v>
      </c>
      <c r="W177" s="102">
        <v>45</v>
      </c>
      <c r="X177" s="102">
        <v>35.19</v>
      </c>
      <c r="Y177" s="102">
        <v>21</v>
      </c>
      <c r="Z177" s="35" t="s">
        <v>1593</v>
      </c>
      <c r="AA177">
        <f>VLOOKUP(A177,Cover!A:R,18,0)</f>
        <v>0</v>
      </c>
      <c r="AB177" s="77">
        <f t="shared" si="126"/>
        <v>9.81</v>
      </c>
      <c r="AC177" s="77">
        <f t="shared" si="127"/>
        <v>2.6705000000000001</v>
      </c>
      <c r="AD177" s="77">
        <f t="shared" si="128"/>
        <v>50</v>
      </c>
      <c r="AE177" s="77">
        <f t="shared" si="129"/>
        <v>21.397379912663755</v>
      </c>
      <c r="AF177" s="77">
        <f t="shared" si="130"/>
        <v>8.9819999999999798</v>
      </c>
      <c r="AG177" s="77">
        <f t="shared" si="131"/>
        <v>47.796934865900276</v>
      </c>
      <c r="AH177" s="345"/>
      <c r="AI177" s="345"/>
      <c r="AJ177" s="345"/>
      <c r="AK177" s="345"/>
      <c r="AL177" s="345"/>
      <c r="AM177" s="346"/>
      <c r="AO177" t="s">
        <v>1594</v>
      </c>
      <c r="AP177" t="str">
        <f t="shared" si="125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4"/>
        <v>DDm85-27</v>
      </c>
    </row>
    <row r="178" spans="1:53">
      <c r="A178" s="35" t="s">
        <v>194</v>
      </c>
      <c r="B178" s="35" t="s">
        <v>1632</v>
      </c>
      <c r="C178" s="35" t="s">
        <v>1870</v>
      </c>
      <c r="D178" s="35" t="s">
        <v>1585</v>
      </c>
      <c r="E178" s="35" t="s">
        <v>1379</v>
      </c>
      <c r="F178" s="35" t="s">
        <v>1587</v>
      </c>
      <c r="G178" s="102">
        <v>36.6</v>
      </c>
      <c r="H178" s="102">
        <v>22</v>
      </c>
      <c r="I178" s="102">
        <v>79</v>
      </c>
      <c r="J178" s="102">
        <v>4.3055000000000003</v>
      </c>
      <c r="K178" s="103">
        <v>45323</v>
      </c>
      <c r="L178" s="102">
        <v>33.510959999999997</v>
      </c>
      <c r="M178" s="102">
        <v>29.205459999999999</v>
      </c>
      <c r="N178" s="102">
        <v>27.064699999999998</v>
      </c>
      <c r="O178" s="102">
        <v>22.7592</v>
      </c>
      <c r="P178" s="35" t="s">
        <v>1591</v>
      </c>
      <c r="Q178" s="35" t="s">
        <v>1598</v>
      </c>
      <c r="R178" s="35" t="s">
        <v>1713</v>
      </c>
      <c r="S178" s="102">
        <v>22.982399999999998</v>
      </c>
      <c r="T178" s="102">
        <v>18.6769</v>
      </c>
      <c r="U178" s="35" t="s">
        <v>1588</v>
      </c>
      <c r="V178" s="35" t="s">
        <v>1871</v>
      </c>
      <c r="W178" s="102">
        <v>39</v>
      </c>
      <c r="X178" s="102">
        <v>34.694499999999998</v>
      </c>
      <c r="Y178" s="102">
        <v>7</v>
      </c>
      <c r="Z178" s="35" t="s">
        <v>1593</v>
      </c>
      <c r="AA178">
        <f>VLOOKUP(A178,Cover!A:R,18,0)</f>
        <v>6.8</v>
      </c>
      <c r="AB178" s="77">
        <f t="shared" si="126"/>
        <v>22.405459999999998</v>
      </c>
      <c r="AC178" s="77">
        <f t="shared" si="127"/>
        <v>15.959199999999999</v>
      </c>
      <c r="AD178" s="77">
        <f t="shared" si="128"/>
        <v>66.860095920856935</v>
      </c>
      <c r="AE178" s="77">
        <f t="shared" si="129"/>
        <v>58.966846113202813</v>
      </c>
      <c r="AF178" s="77">
        <f t="shared" si="130"/>
        <v>11.876899999999999</v>
      </c>
      <c r="AG178" s="77">
        <f t="shared" si="131"/>
        <v>51.67824074074074</v>
      </c>
      <c r="AH178" s="345">
        <f>AVERAGE(W178:W179)</f>
        <v>39</v>
      </c>
      <c r="AI178" s="345">
        <f>SUM(J178:J179)</f>
        <v>6.4310000000000009</v>
      </c>
      <c r="AJ178" s="345">
        <f t="shared" si="134"/>
        <v>32.569000000000003</v>
      </c>
      <c r="AK178" s="345">
        <f>SUM(AA178:AA179)</f>
        <v>14.4</v>
      </c>
      <c r="AL178" s="345">
        <f t="shared" si="136"/>
        <v>18.169000000000004</v>
      </c>
      <c r="AM178" s="346">
        <f t="shared" si="137"/>
        <v>46.587179487179498</v>
      </c>
      <c r="AO178" s="52" t="s">
        <v>1651</v>
      </c>
      <c r="AP178" t="str">
        <f t="shared" si="125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4"/>
        <v>DDm85-33</v>
      </c>
    </row>
    <row r="179" spans="1:53">
      <c r="A179" s="35" t="s">
        <v>195</v>
      </c>
      <c r="B179" s="35" t="s">
        <v>1632</v>
      </c>
      <c r="C179" s="35" t="s">
        <v>1870</v>
      </c>
      <c r="D179" s="35" t="s">
        <v>1585</v>
      </c>
      <c r="E179" s="35" t="s">
        <v>1379</v>
      </c>
      <c r="F179" s="35" t="s">
        <v>1587</v>
      </c>
      <c r="G179" s="102">
        <v>36.6</v>
      </c>
      <c r="H179" s="102">
        <v>22</v>
      </c>
      <c r="I179" s="102">
        <v>39</v>
      </c>
      <c r="J179" s="102">
        <v>2.1255000000000002</v>
      </c>
      <c r="K179" s="103">
        <v>45323</v>
      </c>
      <c r="L179" s="102">
        <v>33.510959999999997</v>
      </c>
      <c r="M179" s="102">
        <v>31.385459999999998</v>
      </c>
      <c r="N179" s="102">
        <v>27.064699999999998</v>
      </c>
      <c r="O179" s="102">
        <v>24.9392</v>
      </c>
      <c r="P179" s="35" t="s">
        <v>1591</v>
      </c>
      <c r="Q179" s="35" t="s">
        <v>1598</v>
      </c>
      <c r="R179" s="35" t="s">
        <v>1713</v>
      </c>
      <c r="S179" s="102">
        <v>22.982399999999998</v>
      </c>
      <c r="T179" s="102">
        <v>20.8569</v>
      </c>
      <c r="U179" s="35" t="s">
        <v>1588</v>
      </c>
      <c r="V179" s="35" t="s">
        <v>1871</v>
      </c>
      <c r="W179" s="102">
        <v>39</v>
      </c>
      <c r="X179" s="102">
        <v>36.874499999999998</v>
      </c>
      <c r="Y179" s="102">
        <v>7</v>
      </c>
      <c r="Z179" s="35" t="s">
        <v>1593</v>
      </c>
      <c r="AA179">
        <f>VLOOKUP(A179,Cover!A:R,18,0)</f>
        <v>7.6000000000000005</v>
      </c>
      <c r="AB179" s="77">
        <f t="shared" ref="AB179" si="145">M179-AA179</f>
        <v>23.785459999999997</v>
      </c>
      <c r="AC179" s="77">
        <f t="shared" ref="AC179" si="146">O179-AA179</f>
        <v>17.339199999999998</v>
      </c>
      <c r="AD179" s="77">
        <f t="shared" ref="AD179" si="147">AB179/L179%</f>
        <v>70.978151625617414</v>
      </c>
      <c r="AE179" s="77">
        <f t="shared" ref="AE179" si="148">AC179/N179%</f>
        <v>64.065738766733048</v>
      </c>
      <c r="AF179" s="77">
        <f t="shared" ref="AF179" si="149">T179-AA179</f>
        <v>13.256899999999998</v>
      </c>
      <c r="AG179" s="77">
        <f t="shared" ref="AG179" si="150">AF179/S179%</f>
        <v>57.682835561125032</v>
      </c>
      <c r="AH179" s="345"/>
      <c r="AI179" s="345"/>
      <c r="AJ179" s="345"/>
      <c r="AK179" s="345"/>
      <c r="AL179" s="345"/>
      <c r="AM179" s="346"/>
      <c r="AO179" s="52" t="s">
        <v>1651</v>
      </c>
      <c r="AP179" t="str">
        <f t="shared" si="125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4"/>
        <v>DDm85-33</v>
      </c>
    </row>
    <row r="180" spans="1:53">
      <c r="A180" s="35" t="s">
        <v>196</v>
      </c>
      <c r="B180" s="35" t="s">
        <v>1632</v>
      </c>
      <c r="C180" s="35" t="s">
        <v>1872</v>
      </c>
      <c r="D180" s="35" t="s">
        <v>1585</v>
      </c>
      <c r="E180" s="35" t="s">
        <v>1389</v>
      </c>
      <c r="F180" s="35" t="s">
        <v>1597</v>
      </c>
      <c r="G180" s="102">
        <v>75</v>
      </c>
      <c r="H180" s="102">
        <v>8</v>
      </c>
      <c r="I180" s="102">
        <v>150</v>
      </c>
      <c r="J180" s="102">
        <v>8.1750000000000007</v>
      </c>
      <c r="K180" s="103">
        <v>43840</v>
      </c>
      <c r="L180" s="102">
        <v>22.89</v>
      </c>
      <c r="M180" s="102">
        <v>14.715</v>
      </c>
      <c r="N180" s="102">
        <v>11.172499999999999</v>
      </c>
      <c r="O180" s="102">
        <v>2.9975000000000001</v>
      </c>
      <c r="P180" s="35" t="s">
        <v>1591</v>
      </c>
      <c r="Q180" s="35" t="s">
        <v>1598</v>
      </c>
      <c r="R180" s="35" t="s">
        <v>1661</v>
      </c>
      <c r="S180" s="102">
        <v>28.123200000000001</v>
      </c>
      <c r="T180" s="102">
        <v>19.9482</v>
      </c>
      <c r="U180" s="35" t="s">
        <v>1610</v>
      </c>
      <c r="V180" s="35" t="s">
        <v>1627</v>
      </c>
      <c r="W180" s="102">
        <v>116.25</v>
      </c>
      <c r="X180" s="102">
        <v>108.075</v>
      </c>
      <c r="Y180" s="102">
        <v>66</v>
      </c>
      <c r="Z180" s="35" t="s">
        <v>1593</v>
      </c>
      <c r="AA180">
        <f>VLOOKUP(A180,Cover!A:R,18,0)</f>
        <v>2</v>
      </c>
      <c r="AB180" s="77">
        <f t="shared" si="126"/>
        <v>12.715</v>
      </c>
      <c r="AC180" s="77">
        <f t="shared" si="127"/>
        <v>0.99750000000000005</v>
      </c>
      <c r="AD180" s="77">
        <f t="shared" si="128"/>
        <v>55.548274355613806</v>
      </c>
      <c r="AE180" s="77">
        <f t="shared" si="129"/>
        <v>8.9281718505258461</v>
      </c>
      <c r="AF180" s="77">
        <f t="shared" si="130"/>
        <v>17.9482</v>
      </c>
      <c r="AG180" s="77">
        <f t="shared" si="131"/>
        <v>63.819906696250783</v>
      </c>
      <c r="AH180" s="345">
        <f>AVERAGE(W180:W183)</f>
        <v>116.25</v>
      </c>
      <c r="AI180" s="345">
        <f>SUM(J180:J183)</f>
        <v>28.340000000000003</v>
      </c>
      <c r="AJ180" s="345">
        <f t="shared" si="134"/>
        <v>87.91</v>
      </c>
      <c r="AK180" s="345">
        <f>SUM(AA180:AA183)</f>
        <v>4</v>
      </c>
      <c r="AL180" s="345">
        <f t="shared" si="136"/>
        <v>83.91</v>
      </c>
      <c r="AM180" s="346">
        <f t="shared" si="137"/>
        <v>72.180645161290315</v>
      </c>
      <c r="AO180" t="s">
        <v>1651</v>
      </c>
      <c r="AP180" t="str">
        <f t="shared" si="125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4"/>
        <v>DDm100-33</v>
      </c>
    </row>
    <row r="181" spans="1:53">
      <c r="A181" s="35" t="s">
        <v>197</v>
      </c>
      <c r="B181" s="35" t="s">
        <v>1632</v>
      </c>
      <c r="C181" s="35" t="s">
        <v>1872</v>
      </c>
      <c r="D181" s="35" t="s">
        <v>1585</v>
      </c>
      <c r="E181" s="35" t="s">
        <v>1389</v>
      </c>
      <c r="F181" s="35" t="s">
        <v>1597</v>
      </c>
      <c r="G181" s="102">
        <v>75</v>
      </c>
      <c r="H181" s="102">
        <v>11</v>
      </c>
      <c r="I181" s="102">
        <v>20</v>
      </c>
      <c r="J181" s="102">
        <v>1.0900000000000001</v>
      </c>
      <c r="K181" s="103">
        <v>44461.625</v>
      </c>
      <c r="L181" s="102">
        <v>32.700000000000003</v>
      </c>
      <c r="M181" s="102">
        <v>31.61</v>
      </c>
      <c r="N181" s="102">
        <v>19.074999999999999</v>
      </c>
      <c r="O181" s="102">
        <v>17.984999999999999</v>
      </c>
      <c r="P181" s="35" t="s">
        <v>1591</v>
      </c>
      <c r="Q181" s="35" t="s">
        <v>1598</v>
      </c>
      <c r="R181" s="35" t="s">
        <v>1609</v>
      </c>
      <c r="S181" s="102">
        <v>35.553600000000003</v>
      </c>
      <c r="T181" s="102">
        <v>34.4636</v>
      </c>
      <c r="U181" s="35" t="s">
        <v>1610</v>
      </c>
      <c r="V181" s="35" t="s">
        <v>1627</v>
      </c>
      <c r="W181" s="102">
        <v>116.25</v>
      </c>
      <c r="X181" s="102">
        <v>115.16</v>
      </c>
      <c r="Y181" s="102">
        <v>66</v>
      </c>
      <c r="Z181" s="35" t="s">
        <v>1593</v>
      </c>
      <c r="AA181">
        <f>VLOOKUP(A181,Cover!A:R,18,0)</f>
        <v>2</v>
      </c>
      <c r="AB181" s="77">
        <f t="shared" si="126"/>
        <v>29.61</v>
      </c>
      <c r="AC181" s="77">
        <f t="shared" si="127"/>
        <v>15.984999999999999</v>
      </c>
      <c r="AD181" s="77">
        <f t="shared" si="128"/>
        <v>90.550458715596321</v>
      </c>
      <c r="AE181" s="77">
        <f t="shared" si="129"/>
        <v>83.800786369593709</v>
      </c>
      <c r="AF181" s="77">
        <f t="shared" si="130"/>
        <v>32.4636</v>
      </c>
      <c r="AG181" s="77">
        <f t="shared" si="131"/>
        <v>91.308896989334414</v>
      </c>
      <c r="AH181" s="345"/>
      <c r="AI181" s="345"/>
      <c r="AJ181" s="345"/>
      <c r="AK181" s="345"/>
      <c r="AL181" s="345"/>
      <c r="AM181" s="346"/>
      <c r="AO181" t="s">
        <v>1651</v>
      </c>
      <c r="AP181" t="str">
        <f t="shared" si="125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4"/>
        <v>DDm125-33</v>
      </c>
    </row>
    <row r="182" spans="1:53">
      <c r="A182" s="35" t="s">
        <v>198</v>
      </c>
      <c r="B182" s="35" t="s">
        <v>1632</v>
      </c>
      <c r="C182" s="35" t="s">
        <v>1872</v>
      </c>
      <c r="D182" s="35" t="s">
        <v>1585</v>
      </c>
      <c r="E182" s="35" t="s">
        <v>1389</v>
      </c>
      <c r="F182" s="35" t="s">
        <v>1597</v>
      </c>
      <c r="G182" s="102">
        <v>75</v>
      </c>
      <c r="H182" s="102">
        <v>8</v>
      </c>
      <c r="I182" s="102">
        <v>150</v>
      </c>
      <c r="J182" s="102">
        <v>8.1750000000000007</v>
      </c>
      <c r="K182" s="103">
        <v>43840</v>
      </c>
      <c r="L182" s="102">
        <v>22.89</v>
      </c>
      <c r="M182" s="102">
        <v>14.715</v>
      </c>
      <c r="N182" s="102">
        <v>11.172499999999999</v>
      </c>
      <c r="O182" s="102">
        <v>2.9975000000000001</v>
      </c>
      <c r="P182" s="35" t="s">
        <v>1591</v>
      </c>
      <c r="Q182" s="35" t="s">
        <v>1598</v>
      </c>
      <c r="R182" s="35" t="s">
        <v>1661</v>
      </c>
      <c r="S182" s="102">
        <v>28.123200000000001</v>
      </c>
      <c r="T182" s="102">
        <v>19.9482</v>
      </c>
      <c r="U182" s="35" t="s">
        <v>1610</v>
      </c>
      <c r="V182" s="35" t="s">
        <v>1627</v>
      </c>
      <c r="W182" s="102">
        <v>116.25</v>
      </c>
      <c r="X182" s="102">
        <v>108.075</v>
      </c>
      <c r="Y182" s="102">
        <v>66</v>
      </c>
      <c r="Z182" s="35" t="s">
        <v>1593</v>
      </c>
      <c r="AA182">
        <f>VLOOKUP(A182,Cover!A:R,18,0)</f>
        <v>0</v>
      </c>
      <c r="AB182" s="77">
        <f t="shared" si="126"/>
        <v>14.715</v>
      </c>
      <c r="AC182" s="77">
        <f t="shared" si="127"/>
        <v>2.9975000000000001</v>
      </c>
      <c r="AD182" s="77">
        <f t="shared" si="128"/>
        <v>64.285714285714292</v>
      </c>
      <c r="AE182" s="77">
        <f t="shared" si="129"/>
        <v>26.829268292682929</v>
      </c>
      <c r="AF182" s="77">
        <f t="shared" si="130"/>
        <v>19.9482</v>
      </c>
      <c r="AG182" s="77">
        <f t="shared" si="131"/>
        <v>70.931472947601989</v>
      </c>
      <c r="AH182" s="345"/>
      <c r="AI182" s="345"/>
      <c r="AJ182" s="345"/>
      <c r="AK182" s="345"/>
      <c r="AL182" s="345"/>
      <c r="AM182" s="346"/>
      <c r="AO182" t="s">
        <v>1651</v>
      </c>
      <c r="AP182" t="str">
        <f t="shared" si="125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4"/>
        <v>DDm100-33</v>
      </c>
    </row>
    <row r="183" spans="1:53">
      <c r="A183" s="35" t="s">
        <v>199</v>
      </c>
      <c r="B183" s="35" t="s">
        <v>1632</v>
      </c>
      <c r="C183" s="35" t="s">
        <v>1872</v>
      </c>
      <c r="D183" s="35" t="s">
        <v>1585</v>
      </c>
      <c r="E183" s="35" t="s">
        <v>1389</v>
      </c>
      <c r="F183" s="35" t="s">
        <v>1597</v>
      </c>
      <c r="G183" s="102">
        <v>75</v>
      </c>
      <c r="H183" s="102">
        <v>10</v>
      </c>
      <c r="I183" s="102">
        <v>200</v>
      </c>
      <c r="J183" s="102">
        <v>10.9</v>
      </c>
      <c r="K183" s="103">
        <v>44461.666666666701</v>
      </c>
      <c r="L183" s="102">
        <v>29.43</v>
      </c>
      <c r="M183" s="102">
        <v>18.53</v>
      </c>
      <c r="N183" s="102">
        <v>14.987500000000001</v>
      </c>
      <c r="O183" s="102">
        <v>4.0875000000000004</v>
      </c>
      <c r="P183" s="35" t="s">
        <v>1591</v>
      </c>
      <c r="Q183" s="35" t="s">
        <v>1598</v>
      </c>
      <c r="R183" s="35" t="s">
        <v>1609</v>
      </c>
      <c r="S183" s="102">
        <v>35.553600000000003</v>
      </c>
      <c r="T183" s="102">
        <v>24.653600000000001</v>
      </c>
      <c r="U183" s="35" t="s">
        <v>1610</v>
      </c>
      <c r="V183" s="35" t="s">
        <v>1627</v>
      </c>
      <c r="W183" s="102">
        <v>116.25</v>
      </c>
      <c r="X183" s="102">
        <v>105.35</v>
      </c>
      <c r="Y183" s="102">
        <v>66</v>
      </c>
      <c r="Z183" s="35" t="s">
        <v>1593</v>
      </c>
      <c r="AA183">
        <f>VLOOKUP(A183,Cover!A:R,18,0)</f>
        <v>0</v>
      </c>
      <c r="AB183" s="77">
        <f t="shared" si="126"/>
        <v>18.53</v>
      </c>
      <c r="AC183" s="77">
        <f t="shared" si="127"/>
        <v>4.0875000000000004</v>
      </c>
      <c r="AD183" s="77">
        <f t="shared" si="128"/>
        <v>62.962962962962969</v>
      </c>
      <c r="AE183" s="77">
        <f t="shared" si="129"/>
        <v>27.272727272727273</v>
      </c>
      <c r="AF183" s="77">
        <f t="shared" si="130"/>
        <v>24.653600000000001</v>
      </c>
      <c r="AG183" s="77">
        <f t="shared" si="131"/>
        <v>69.342063813509739</v>
      </c>
      <c r="AH183" s="345"/>
      <c r="AI183" s="345"/>
      <c r="AJ183" s="345"/>
      <c r="AK183" s="345"/>
      <c r="AL183" s="345"/>
      <c r="AM183" s="346"/>
      <c r="AO183" t="s">
        <v>1651</v>
      </c>
      <c r="AP183" t="str">
        <f t="shared" si="125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4"/>
        <v>DDm125-33</v>
      </c>
    </row>
    <row r="184" spans="1:53">
      <c r="A184" s="35" t="s">
        <v>200</v>
      </c>
      <c r="B184" s="35" t="s">
        <v>1632</v>
      </c>
      <c r="C184" s="35" t="s">
        <v>1873</v>
      </c>
      <c r="D184" s="35" t="s">
        <v>1585</v>
      </c>
      <c r="E184" s="35" t="s">
        <v>1383</v>
      </c>
      <c r="F184" s="35" t="s">
        <v>1587</v>
      </c>
      <c r="G184" s="102">
        <v>36.6</v>
      </c>
      <c r="H184" s="102">
        <v>30</v>
      </c>
      <c r="I184" s="102">
        <v>69</v>
      </c>
      <c r="J184" s="102">
        <v>3.7605</v>
      </c>
      <c r="K184" s="103">
        <v>45323</v>
      </c>
      <c r="L184" s="102">
        <v>46.27704</v>
      </c>
      <c r="M184" s="102">
        <v>42.516539999999999</v>
      </c>
      <c r="N184" s="102">
        <v>41.496299999999998</v>
      </c>
      <c r="O184" s="102">
        <v>37.735799999999998</v>
      </c>
      <c r="P184" s="35" t="s">
        <v>1591</v>
      </c>
      <c r="Q184" s="35" t="s">
        <v>1598</v>
      </c>
      <c r="R184" s="35" t="s">
        <v>1789</v>
      </c>
      <c r="S184" s="102">
        <v>26.654399999999999</v>
      </c>
      <c r="T184" s="102">
        <v>22.893899999999999</v>
      </c>
      <c r="U184" s="35" t="s">
        <v>1638</v>
      </c>
      <c r="V184" s="35" t="s">
        <v>1874</v>
      </c>
      <c r="W184" s="102">
        <v>99.825000000000003</v>
      </c>
      <c r="X184" s="102">
        <v>96.064499999999995</v>
      </c>
      <c r="Y184" s="102">
        <v>49</v>
      </c>
      <c r="Z184" s="35" t="s">
        <v>1593</v>
      </c>
      <c r="AA184">
        <f>VLOOKUP(A184,Cover!A:R,18,0)</f>
        <v>11.000000000000002</v>
      </c>
      <c r="AB184" s="77">
        <f t="shared" si="126"/>
        <v>31.516539999999999</v>
      </c>
      <c r="AC184" s="77">
        <f t="shared" si="127"/>
        <v>26.735799999999998</v>
      </c>
      <c r="AD184" s="77">
        <f t="shared" si="128"/>
        <v>68.104053327524838</v>
      </c>
      <c r="AE184" s="77">
        <f t="shared" si="129"/>
        <v>64.429358762106503</v>
      </c>
      <c r="AF184" s="77">
        <f t="shared" si="130"/>
        <v>11.893899999999997</v>
      </c>
      <c r="AG184" s="77">
        <f t="shared" si="131"/>
        <v>44.622651419653025</v>
      </c>
      <c r="AH184" s="77">
        <f t="shared" si="132"/>
        <v>99.825000000000003</v>
      </c>
      <c r="AI184" s="77">
        <f t="shared" si="133"/>
        <v>3.7605</v>
      </c>
      <c r="AJ184" s="77">
        <f t="shared" si="134"/>
        <v>96.06450000000001</v>
      </c>
      <c r="AK184" s="77">
        <f t="shared" si="135"/>
        <v>11.000000000000002</v>
      </c>
      <c r="AL184" s="77">
        <f t="shared" si="136"/>
        <v>85.06450000000001</v>
      </c>
      <c r="AM184" s="77">
        <f t="shared" si="137"/>
        <v>85.21362384172302</v>
      </c>
      <c r="AO184" s="52" t="s">
        <v>1651</v>
      </c>
      <c r="AP184" t="str">
        <f t="shared" si="125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4"/>
        <v>DDm125-25</v>
      </c>
    </row>
    <row r="185" spans="1:53">
      <c r="A185" s="35" t="s">
        <v>201</v>
      </c>
      <c r="B185" s="35" t="s">
        <v>1632</v>
      </c>
      <c r="C185" s="35" t="s">
        <v>1873</v>
      </c>
      <c r="D185" s="35" t="s">
        <v>1585</v>
      </c>
      <c r="E185" s="35" t="s">
        <v>1383</v>
      </c>
      <c r="F185" s="35" t="s">
        <v>1587</v>
      </c>
      <c r="G185" s="102">
        <v>36.6</v>
      </c>
      <c r="H185" s="102">
        <v>30</v>
      </c>
      <c r="I185" s="102">
        <v>181</v>
      </c>
      <c r="J185" s="102">
        <v>9.8644999999999996</v>
      </c>
      <c r="K185" s="103">
        <v>45323</v>
      </c>
      <c r="L185" s="102">
        <v>46.27704</v>
      </c>
      <c r="M185" s="102">
        <v>36.41254</v>
      </c>
      <c r="N185" s="102">
        <v>41.496299999999998</v>
      </c>
      <c r="O185" s="102">
        <v>31.631799999999998</v>
      </c>
      <c r="P185" s="35" t="s">
        <v>1591</v>
      </c>
      <c r="Q185" s="35" t="s">
        <v>1598</v>
      </c>
      <c r="R185" s="35" t="s">
        <v>1789</v>
      </c>
      <c r="S185" s="102">
        <v>26.654399999999999</v>
      </c>
      <c r="T185" s="102">
        <v>16.789899999999999</v>
      </c>
      <c r="U185" s="35" t="s">
        <v>1638</v>
      </c>
      <c r="V185" s="35" t="s">
        <v>1874</v>
      </c>
      <c r="W185" s="102">
        <v>99.825000000000003</v>
      </c>
      <c r="X185" s="102">
        <v>89.960499999999996</v>
      </c>
      <c r="Y185" s="102">
        <v>49</v>
      </c>
      <c r="Z185" s="35" t="s">
        <v>1593</v>
      </c>
      <c r="AA185">
        <f>VLOOKUP(A185,Cover!A:R,18,0)</f>
        <v>12.5</v>
      </c>
      <c r="AB185" s="77">
        <f t="shared" si="126"/>
        <v>23.91254</v>
      </c>
      <c r="AC185" s="77">
        <f t="shared" si="127"/>
        <v>19.131799999999998</v>
      </c>
      <c r="AD185" s="77">
        <f t="shared" si="128"/>
        <v>51.672578885771436</v>
      </c>
      <c r="AE185" s="77">
        <f t="shared" si="129"/>
        <v>46.104833442981665</v>
      </c>
      <c r="AF185" s="77">
        <f t="shared" si="130"/>
        <v>4.2898999999999994</v>
      </c>
      <c r="AG185" s="77">
        <f t="shared" si="131"/>
        <v>16.094528483102224</v>
      </c>
      <c r="AH185" s="77">
        <f t="shared" si="132"/>
        <v>99.825000000000003</v>
      </c>
      <c r="AI185" s="77">
        <f t="shared" si="133"/>
        <v>9.8644999999999996</v>
      </c>
      <c r="AJ185" s="77">
        <f t="shared" si="134"/>
        <v>89.960499999999996</v>
      </c>
      <c r="AK185" s="77">
        <f t="shared" si="135"/>
        <v>12.5</v>
      </c>
      <c r="AL185" s="77">
        <f t="shared" si="136"/>
        <v>77.460499999999996</v>
      </c>
      <c r="AM185" s="77">
        <f t="shared" si="137"/>
        <v>77.596293513648874</v>
      </c>
      <c r="AO185" s="52" t="s">
        <v>1651</v>
      </c>
      <c r="AP185" t="str">
        <f t="shared" si="125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4"/>
        <v>DDm125-25</v>
      </c>
    </row>
    <row r="186" spans="1:53">
      <c r="A186" s="35" t="s">
        <v>202</v>
      </c>
      <c r="B186" s="35" t="s">
        <v>1672</v>
      </c>
      <c r="C186" s="35" t="s">
        <v>1875</v>
      </c>
      <c r="D186" s="35" t="s">
        <v>1580</v>
      </c>
      <c r="E186" s="35" t="s">
        <v>1876</v>
      </c>
      <c r="F186" s="35" t="s">
        <v>1877</v>
      </c>
      <c r="G186" s="102">
        <v>100</v>
      </c>
      <c r="H186" s="102">
        <v>2</v>
      </c>
      <c r="I186" s="102">
        <v>6.4</v>
      </c>
      <c r="J186" s="102">
        <v>0.3488</v>
      </c>
      <c r="K186" s="103">
        <v>44616.583333333299</v>
      </c>
      <c r="L186" s="102">
        <v>4.3600000000000003</v>
      </c>
      <c r="M186" s="102">
        <v>4.0111999999999997</v>
      </c>
      <c r="N186" s="102">
        <v>0.41420000000000001</v>
      </c>
      <c r="O186" s="102">
        <v>6.54E-2</v>
      </c>
      <c r="P186" s="35" t="s">
        <v>1591</v>
      </c>
      <c r="Q186" s="35" t="s">
        <v>1598</v>
      </c>
      <c r="R186" s="35" t="s">
        <v>1878</v>
      </c>
      <c r="S186" s="102">
        <v>7.9919999999999796</v>
      </c>
      <c r="T186" s="102">
        <v>7.6431999999999798</v>
      </c>
      <c r="U186" s="35" t="s">
        <v>1591</v>
      </c>
      <c r="V186" s="35" t="s">
        <v>1681</v>
      </c>
      <c r="W186" s="102">
        <v>9</v>
      </c>
      <c r="X186" s="102">
        <v>8.6511999999999993</v>
      </c>
      <c r="Y186" s="102">
        <v>8</v>
      </c>
      <c r="Z186" s="35" t="s">
        <v>1676</v>
      </c>
      <c r="AA186">
        <f>VLOOKUP(A186,Cover!A:R,18,0)</f>
        <v>0</v>
      </c>
      <c r="AB186" s="77">
        <f t="shared" si="126"/>
        <v>4.0111999999999997</v>
      </c>
      <c r="AC186" s="77">
        <f t="shared" si="127"/>
        <v>6.54E-2</v>
      </c>
      <c r="AD186" s="77">
        <f t="shared" si="128"/>
        <v>91.999999999999986</v>
      </c>
      <c r="AE186" s="77">
        <f t="shared" si="129"/>
        <v>15.789473684210527</v>
      </c>
      <c r="AF186" s="77">
        <f t="shared" si="130"/>
        <v>7.6431999999999798</v>
      </c>
      <c r="AG186" s="77">
        <f t="shared" si="131"/>
        <v>95.635635635635623</v>
      </c>
      <c r="AH186" s="77">
        <f t="shared" si="132"/>
        <v>9</v>
      </c>
      <c r="AI186" s="77">
        <f t="shared" si="133"/>
        <v>0.3488</v>
      </c>
      <c r="AJ186" s="77">
        <f t="shared" si="134"/>
        <v>8.6511999999999993</v>
      </c>
      <c r="AK186" s="77">
        <f t="shared" si="135"/>
        <v>0</v>
      </c>
      <c r="AL186" s="77">
        <f t="shared" si="136"/>
        <v>8.6511999999999993</v>
      </c>
      <c r="AM186" s="77">
        <f t="shared" si="137"/>
        <v>96.124444444444435</v>
      </c>
      <c r="AN186" t="s">
        <v>1580</v>
      </c>
      <c r="AO186" t="s">
        <v>1594</v>
      </c>
      <c r="AP186" t="str">
        <f t="shared" si="125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4"/>
        <v>2V460</v>
      </c>
    </row>
    <row r="187" spans="1:53">
      <c r="A187" s="35" t="s">
        <v>203</v>
      </c>
      <c r="B187" s="35" t="s">
        <v>1632</v>
      </c>
      <c r="C187" s="35" t="s">
        <v>1879</v>
      </c>
      <c r="D187" s="35" t="s">
        <v>1580</v>
      </c>
      <c r="E187" s="35" t="s">
        <v>1485</v>
      </c>
      <c r="F187" s="35" t="s">
        <v>1587</v>
      </c>
      <c r="G187" s="102">
        <v>36.6</v>
      </c>
      <c r="H187" s="102">
        <v>32</v>
      </c>
      <c r="I187" s="102">
        <v>271</v>
      </c>
      <c r="J187" s="102">
        <v>14.769500000000001</v>
      </c>
      <c r="K187" s="103">
        <v>45323</v>
      </c>
      <c r="L187" s="102">
        <v>49.468559999999997</v>
      </c>
      <c r="M187" s="102">
        <v>34.699060000000003</v>
      </c>
      <c r="N187" s="102">
        <v>40.035699999999999</v>
      </c>
      <c r="O187" s="102">
        <v>25.266200000000001</v>
      </c>
      <c r="P187" s="35" t="s">
        <v>1591</v>
      </c>
      <c r="Q187" s="35" t="s">
        <v>1598</v>
      </c>
      <c r="R187" s="35" t="s">
        <v>1609</v>
      </c>
      <c r="S187" s="102">
        <v>35.553600000000003</v>
      </c>
      <c r="T187" s="102">
        <v>20.784099999999999</v>
      </c>
      <c r="U187" s="35" t="s">
        <v>1603</v>
      </c>
      <c r="V187" s="35" t="s">
        <v>1686</v>
      </c>
      <c r="W187" s="102">
        <v>67.5</v>
      </c>
      <c r="X187" s="102">
        <v>52.730499999999999</v>
      </c>
      <c r="Y187" s="102">
        <v>25</v>
      </c>
      <c r="Z187" s="35" t="s">
        <v>1543</v>
      </c>
      <c r="AA187">
        <f>VLOOKUP(A187,Cover!A:R,18,0)</f>
        <v>8.85</v>
      </c>
      <c r="AB187" s="77">
        <f t="shared" si="126"/>
        <v>25.849060000000001</v>
      </c>
      <c r="AC187" s="77">
        <f t="shared" si="127"/>
        <v>16.416200000000003</v>
      </c>
      <c r="AD187" s="77">
        <f t="shared" si="128"/>
        <v>52.25351212972442</v>
      </c>
      <c r="AE187" s="77">
        <f t="shared" si="129"/>
        <v>41.003904015666031</v>
      </c>
      <c r="AF187" s="77">
        <f t="shared" si="130"/>
        <v>11.934099999999999</v>
      </c>
      <c r="AG187" s="77">
        <f t="shared" si="131"/>
        <v>33.566502407632413</v>
      </c>
      <c r="AH187" s="346">
        <f>AVERAGE(W187:W188)</f>
        <v>67.5</v>
      </c>
      <c r="AI187" s="346">
        <f>SUM(J187:J188)</f>
        <v>17.440000000000001</v>
      </c>
      <c r="AJ187" s="346">
        <f t="shared" si="134"/>
        <v>50.06</v>
      </c>
      <c r="AK187" s="346">
        <f>SUM(AA187:AA188)</f>
        <v>19.3</v>
      </c>
      <c r="AL187" s="346">
        <f t="shared" si="136"/>
        <v>30.76</v>
      </c>
      <c r="AM187" s="346">
        <f t="shared" si="137"/>
        <v>45.57037037037037</v>
      </c>
      <c r="AN187" t="s">
        <v>1580</v>
      </c>
      <c r="AO187" t="s">
        <v>1651</v>
      </c>
      <c r="AP187" t="str">
        <f t="shared" si="125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4"/>
        <v>DDm125-33</v>
      </c>
    </row>
    <row r="188" spans="1:53">
      <c r="A188" s="35" t="s">
        <v>204</v>
      </c>
      <c r="B188" s="35" t="s">
        <v>1632</v>
      </c>
      <c r="C188" s="35" t="s">
        <v>1879</v>
      </c>
      <c r="D188" s="35" t="s">
        <v>1580</v>
      </c>
      <c r="E188" s="35" t="s">
        <v>1485</v>
      </c>
      <c r="F188" s="35" t="s">
        <v>1587</v>
      </c>
      <c r="G188" s="102">
        <v>36.6</v>
      </c>
      <c r="H188" s="102">
        <v>32</v>
      </c>
      <c r="I188" s="102">
        <v>49</v>
      </c>
      <c r="J188" s="102">
        <v>2.6705000000000001</v>
      </c>
      <c r="K188" s="103">
        <v>45323</v>
      </c>
      <c r="L188" s="102">
        <v>49.468559999999997</v>
      </c>
      <c r="M188" s="102">
        <v>46.79806</v>
      </c>
      <c r="N188" s="102">
        <v>40.035699999999999</v>
      </c>
      <c r="O188" s="102">
        <v>37.365200000000002</v>
      </c>
      <c r="P188" s="35" t="s">
        <v>1591</v>
      </c>
      <c r="Q188" s="35" t="s">
        <v>1598</v>
      </c>
      <c r="R188" s="35" t="s">
        <v>1609</v>
      </c>
      <c r="S188" s="102">
        <v>35.553600000000003</v>
      </c>
      <c r="T188" s="102">
        <v>32.883099999999999</v>
      </c>
      <c r="U188" s="35" t="s">
        <v>1603</v>
      </c>
      <c r="V188" s="35" t="s">
        <v>1686</v>
      </c>
      <c r="W188" s="102">
        <v>67.5</v>
      </c>
      <c r="X188" s="102">
        <v>64.829499999999996</v>
      </c>
      <c r="Y188" s="102">
        <v>25</v>
      </c>
      <c r="Z188" s="35" t="s">
        <v>1543</v>
      </c>
      <c r="AA188">
        <f>VLOOKUP(A188,Cover!A:R,18,0)</f>
        <v>10.450000000000001</v>
      </c>
      <c r="AB188" s="77">
        <f t="shared" ref="AB188" si="151">M188-AA188</f>
        <v>36.348059999999997</v>
      </c>
      <c r="AC188" s="77">
        <f t="shared" ref="AC188" si="152">O188-AA188</f>
        <v>26.915199999999999</v>
      </c>
      <c r="AD188" s="77">
        <f t="shared" ref="AD188" si="153">AB188/L188%</f>
        <v>73.47709332958145</v>
      </c>
      <c r="AE188" s="77">
        <f t="shared" ref="AE188" si="154">AC188/N188%</f>
        <v>67.227999010882783</v>
      </c>
      <c r="AF188" s="77">
        <f t="shared" ref="AF188" si="155">T188-AA188</f>
        <v>22.433099999999996</v>
      </c>
      <c r="AG188" s="77">
        <f t="shared" ref="AG188" si="156">AF188/S188%</f>
        <v>63.096564061023344</v>
      </c>
      <c r="AH188" s="346"/>
      <c r="AI188" s="346"/>
      <c r="AJ188" s="346"/>
      <c r="AK188" s="346"/>
      <c r="AL188" s="346"/>
      <c r="AM188" s="346"/>
      <c r="AN188" t="s">
        <v>1580</v>
      </c>
      <c r="AO188" t="s">
        <v>1651</v>
      </c>
      <c r="AP188" t="str">
        <f t="shared" si="125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4"/>
        <v>DDm125-33</v>
      </c>
    </row>
    <row r="189" spans="1:53">
      <c r="A189" s="35" t="s">
        <v>205</v>
      </c>
      <c r="B189" s="35" t="s">
        <v>1595</v>
      </c>
      <c r="C189" s="35" t="s">
        <v>1880</v>
      </c>
      <c r="D189" s="35" t="s">
        <v>1585</v>
      </c>
      <c r="E189" s="35" t="s">
        <v>1881</v>
      </c>
      <c r="F189" s="35" t="s">
        <v>1774</v>
      </c>
      <c r="G189" s="102">
        <v>37.5</v>
      </c>
      <c r="H189" s="102">
        <v>4</v>
      </c>
      <c r="I189" s="102">
        <v>23</v>
      </c>
      <c r="J189" s="102">
        <v>1.2535000000000001</v>
      </c>
      <c r="K189" s="103">
        <v>44564.597222222197</v>
      </c>
      <c r="L189" s="102">
        <v>4.9050000000000002</v>
      </c>
      <c r="M189" s="102">
        <v>3.6515</v>
      </c>
      <c r="N189" s="102">
        <v>3.1228500000000001</v>
      </c>
      <c r="O189" s="102">
        <v>1.8693500000000001</v>
      </c>
      <c r="P189" s="35" t="s">
        <v>1634</v>
      </c>
      <c r="Q189" s="35" t="s">
        <v>1616</v>
      </c>
      <c r="R189" s="35" t="s">
        <v>1882</v>
      </c>
      <c r="S189" s="102">
        <v>5.1062399999999997</v>
      </c>
      <c r="T189" s="102">
        <v>3.8527399999999998</v>
      </c>
      <c r="U189" s="35" t="s">
        <v>1591</v>
      </c>
      <c r="V189" s="35" t="s">
        <v>1618</v>
      </c>
      <c r="W189" s="102">
        <v>5.0250000000000004</v>
      </c>
      <c r="X189" s="102">
        <v>3.7715000000000001</v>
      </c>
      <c r="Y189" s="102">
        <v>7</v>
      </c>
      <c r="Z189" s="35" t="s">
        <v>1593</v>
      </c>
      <c r="AA189">
        <f>VLOOKUP(A189,Cover!A:R,18,0)</f>
        <v>1</v>
      </c>
      <c r="AB189" s="77">
        <f t="shared" si="126"/>
        <v>2.6515</v>
      </c>
      <c r="AC189" s="77">
        <f t="shared" si="127"/>
        <v>0.86935000000000007</v>
      </c>
      <c r="AD189" s="77">
        <f t="shared" si="128"/>
        <v>54.057084607543317</v>
      </c>
      <c r="AE189" s="77">
        <f t="shared" si="129"/>
        <v>27.838352786717262</v>
      </c>
      <c r="AF189" s="77">
        <f t="shared" si="130"/>
        <v>2.8527399999999998</v>
      </c>
      <c r="AG189" s="77">
        <f t="shared" si="131"/>
        <v>55.867722629566963</v>
      </c>
      <c r="AH189" s="77">
        <f t="shared" si="132"/>
        <v>5.0250000000000004</v>
      </c>
      <c r="AI189" s="77">
        <f t="shared" si="133"/>
        <v>1.2535000000000001</v>
      </c>
      <c r="AJ189" s="77">
        <f t="shared" si="134"/>
        <v>3.7715000000000005</v>
      </c>
      <c r="AK189" s="77">
        <f t="shared" si="135"/>
        <v>1</v>
      </c>
      <c r="AL189" s="77">
        <f t="shared" si="136"/>
        <v>2.7715000000000005</v>
      </c>
      <c r="AM189" s="77">
        <f t="shared" si="137"/>
        <v>55.154228855721399</v>
      </c>
      <c r="AO189" t="s">
        <v>1594</v>
      </c>
      <c r="AP189" t="str">
        <f t="shared" si="125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4"/>
        <v>12V92F</v>
      </c>
    </row>
    <row r="190" spans="1:53">
      <c r="A190" s="35" t="s">
        <v>206</v>
      </c>
      <c r="B190" s="35" t="s">
        <v>1607</v>
      </c>
      <c r="C190" s="35" t="s">
        <v>1607</v>
      </c>
      <c r="D190" s="35" t="s">
        <v>1585</v>
      </c>
      <c r="E190" s="35" t="s">
        <v>885</v>
      </c>
      <c r="F190" s="35" t="s">
        <v>1587</v>
      </c>
      <c r="G190" s="102">
        <v>36.6</v>
      </c>
      <c r="H190" s="102">
        <v>15</v>
      </c>
      <c r="I190" s="102">
        <v>257</v>
      </c>
      <c r="J190" s="102">
        <v>14.006500000000001</v>
      </c>
      <c r="K190" s="103">
        <v>44531</v>
      </c>
      <c r="L190" s="102">
        <v>22.34064</v>
      </c>
      <c r="M190" s="102">
        <v>8.3341399999999997</v>
      </c>
      <c r="N190" s="102">
        <v>18.933299999999999</v>
      </c>
      <c r="O190" s="102">
        <v>4.9268000000000001</v>
      </c>
      <c r="P190" s="35" t="s">
        <v>1610</v>
      </c>
      <c r="Q190" s="35" t="s">
        <v>1598</v>
      </c>
      <c r="R190" s="35" t="s">
        <v>1754</v>
      </c>
      <c r="S190" s="102">
        <v>42.863039999999998</v>
      </c>
      <c r="T190" s="102">
        <v>28.856539999999999</v>
      </c>
      <c r="U190" s="35" t="s">
        <v>1591</v>
      </c>
      <c r="V190" s="35" t="s">
        <v>1658</v>
      </c>
      <c r="W190" s="102">
        <v>37.5</v>
      </c>
      <c r="X190" s="102">
        <v>23.493500000000001</v>
      </c>
      <c r="Y190" s="102">
        <v>5</v>
      </c>
      <c r="Z190" s="35" t="s">
        <v>1593</v>
      </c>
      <c r="AA190">
        <f>VLOOKUP(A190,Cover!A:R,18,0)</f>
        <v>4</v>
      </c>
      <c r="AB190" s="77">
        <f t="shared" si="126"/>
        <v>4.3341399999999997</v>
      </c>
      <c r="AC190" s="77">
        <f t="shared" si="127"/>
        <v>0.92680000000000007</v>
      </c>
      <c r="AD190" s="77">
        <f t="shared" si="128"/>
        <v>19.400249948076688</v>
      </c>
      <c r="AE190" s="77">
        <f t="shared" si="129"/>
        <v>4.8950790406321145</v>
      </c>
      <c r="AF190" s="77">
        <f t="shared" si="130"/>
        <v>24.856539999999999</v>
      </c>
      <c r="AG190" s="77">
        <f t="shared" si="131"/>
        <v>57.990613824871033</v>
      </c>
      <c r="AH190" s="77">
        <f t="shared" si="132"/>
        <v>37.5</v>
      </c>
      <c r="AI190" s="77">
        <f t="shared" si="133"/>
        <v>14.006500000000001</v>
      </c>
      <c r="AJ190" s="77">
        <f t="shared" si="134"/>
        <v>23.493499999999997</v>
      </c>
      <c r="AK190" s="77">
        <f t="shared" si="135"/>
        <v>4</v>
      </c>
      <c r="AL190" s="77">
        <f t="shared" si="136"/>
        <v>19.493499999999997</v>
      </c>
      <c r="AM190" s="77">
        <f t="shared" si="137"/>
        <v>51.98266666666666</v>
      </c>
      <c r="AO190" t="s">
        <v>1594</v>
      </c>
      <c r="AP190" t="str">
        <f t="shared" si="125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4"/>
        <v xml:space="preserve">SBS XL 150F-FT </v>
      </c>
    </row>
    <row r="191" spans="1:53">
      <c r="A191" s="35" t="s">
        <v>207</v>
      </c>
      <c r="B191" s="35" t="s">
        <v>1583</v>
      </c>
      <c r="C191" s="35" t="s">
        <v>1883</v>
      </c>
      <c r="D191" s="35" t="s">
        <v>1580</v>
      </c>
      <c r="E191" s="35" t="s">
        <v>801</v>
      </c>
      <c r="F191" s="35" t="s">
        <v>1587</v>
      </c>
      <c r="G191" s="102">
        <v>36.6</v>
      </c>
      <c r="H191" s="102">
        <v>26</v>
      </c>
      <c r="I191" s="102">
        <v>379</v>
      </c>
      <c r="J191" s="102">
        <v>20.6555</v>
      </c>
      <c r="K191" s="103">
        <v>44782</v>
      </c>
      <c r="L191" s="102">
        <v>39.893999999999998</v>
      </c>
      <c r="M191" s="102">
        <v>19.238499999999998</v>
      </c>
      <c r="N191" s="102">
        <v>33.1905</v>
      </c>
      <c r="O191" s="102">
        <v>12.535</v>
      </c>
      <c r="P191" s="35" t="s">
        <v>1588</v>
      </c>
      <c r="Q191" s="35" t="s">
        <v>1598</v>
      </c>
      <c r="R191" s="35" t="s">
        <v>1599</v>
      </c>
      <c r="S191" s="102">
        <v>26.1144</v>
      </c>
      <c r="T191" s="102">
        <v>5.4589000000000301</v>
      </c>
      <c r="U191" s="35" t="s">
        <v>1588</v>
      </c>
      <c r="V191" s="35" t="s">
        <v>1884</v>
      </c>
      <c r="W191" s="102">
        <v>60.75</v>
      </c>
      <c r="X191" s="102">
        <v>40.094499999999996</v>
      </c>
      <c r="Y191" s="102">
        <v>9</v>
      </c>
      <c r="Z191" s="35" t="s">
        <v>1885</v>
      </c>
      <c r="AA191">
        <f>VLOOKUP(A191,Cover!A:R,18,0)</f>
        <v>3</v>
      </c>
      <c r="AB191" s="77">
        <f t="shared" si="126"/>
        <v>16.238499999999998</v>
      </c>
      <c r="AC191" s="77">
        <f t="shared" si="127"/>
        <v>9.5350000000000001</v>
      </c>
      <c r="AD191" s="77">
        <f t="shared" si="128"/>
        <v>40.704115907153955</v>
      </c>
      <c r="AE191" s="77">
        <f t="shared" si="129"/>
        <v>28.728099908106234</v>
      </c>
      <c r="AF191" s="77">
        <f t="shared" si="130"/>
        <v>2.4589000000000301</v>
      </c>
      <c r="AG191" s="77">
        <f t="shared" si="131"/>
        <v>9.4158778298564396</v>
      </c>
      <c r="AH191" s="77">
        <f t="shared" si="132"/>
        <v>60.75</v>
      </c>
      <c r="AI191" s="77">
        <f t="shared" si="133"/>
        <v>20.6555</v>
      </c>
      <c r="AJ191" s="77">
        <f t="shared" si="134"/>
        <v>40.094499999999996</v>
      </c>
      <c r="AK191" s="77">
        <f t="shared" si="135"/>
        <v>3</v>
      </c>
      <c r="AL191" s="77">
        <f t="shared" si="136"/>
        <v>37.094499999999996</v>
      </c>
      <c r="AM191" s="77">
        <f t="shared" si="137"/>
        <v>61.060905349794226</v>
      </c>
      <c r="AN191" t="s">
        <v>1580</v>
      </c>
      <c r="AO191" t="s">
        <v>1594</v>
      </c>
      <c r="AP191" t="str">
        <f t="shared" si="125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4"/>
        <v>DDm85-25</v>
      </c>
    </row>
    <row r="192" spans="1:53">
      <c r="A192" s="35" t="s">
        <v>208</v>
      </c>
      <c r="B192" s="35" t="s">
        <v>1595</v>
      </c>
      <c r="C192" s="35" t="s">
        <v>1886</v>
      </c>
      <c r="D192" s="35" t="s">
        <v>1585</v>
      </c>
      <c r="E192" s="35" t="s">
        <v>1278</v>
      </c>
      <c r="F192" s="35" t="s">
        <v>1601</v>
      </c>
      <c r="G192" s="102">
        <v>31</v>
      </c>
      <c r="H192" s="102">
        <v>11</v>
      </c>
      <c r="I192" s="102">
        <v>70</v>
      </c>
      <c r="J192" s="102">
        <v>3.8149999999999999</v>
      </c>
      <c r="K192" s="103">
        <v>45323</v>
      </c>
      <c r="L192" s="102">
        <v>13.516</v>
      </c>
      <c r="M192" s="102">
        <v>9.7010000000000005</v>
      </c>
      <c r="N192" s="102">
        <v>10.355</v>
      </c>
      <c r="O192" s="102">
        <v>6.54</v>
      </c>
      <c r="P192" s="35" t="s">
        <v>1681</v>
      </c>
      <c r="Q192" s="35" t="s">
        <v>1598</v>
      </c>
      <c r="R192" s="35" t="s">
        <v>1694</v>
      </c>
      <c r="S192" s="102">
        <v>10.7568</v>
      </c>
      <c r="T192" s="102">
        <v>6.94179999999999</v>
      </c>
      <c r="U192" s="35" t="s">
        <v>1591</v>
      </c>
      <c r="V192" s="35" t="s">
        <v>1692</v>
      </c>
      <c r="W192" s="102">
        <v>11.25</v>
      </c>
      <c r="X192" s="102">
        <v>7.4349999999999996</v>
      </c>
      <c r="Y192" s="102">
        <v>3</v>
      </c>
      <c r="Z192" s="35" t="s">
        <v>1593</v>
      </c>
      <c r="AA192">
        <f>VLOOKUP(A192,Cover!A:R,18,0)</f>
        <v>4</v>
      </c>
      <c r="AB192" s="77">
        <f t="shared" si="126"/>
        <v>5.7010000000000005</v>
      </c>
      <c r="AC192" s="77">
        <f t="shared" si="127"/>
        <v>2.54</v>
      </c>
      <c r="AD192" s="77">
        <f t="shared" si="128"/>
        <v>42.179638946433862</v>
      </c>
      <c r="AE192" s="77">
        <f t="shared" si="129"/>
        <v>24.529212940608403</v>
      </c>
      <c r="AF192" s="77">
        <f t="shared" si="130"/>
        <v>2.94179999999999</v>
      </c>
      <c r="AG192" s="77">
        <f t="shared" si="131"/>
        <v>27.348282016956624</v>
      </c>
      <c r="AH192" s="77">
        <f t="shared" si="132"/>
        <v>11.25</v>
      </c>
      <c r="AI192" s="77">
        <f t="shared" si="133"/>
        <v>3.8149999999999999</v>
      </c>
      <c r="AJ192" s="77">
        <f t="shared" si="134"/>
        <v>7.4350000000000005</v>
      </c>
      <c r="AK192" s="77">
        <f t="shared" si="135"/>
        <v>4</v>
      </c>
      <c r="AL192" s="77">
        <f t="shared" si="136"/>
        <v>3.4350000000000005</v>
      </c>
      <c r="AM192" s="77">
        <f t="shared" si="137"/>
        <v>30.533333333333339</v>
      </c>
      <c r="AO192" t="s">
        <v>1594</v>
      </c>
      <c r="AP192" t="str">
        <f t="shared" si="125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4"/>
        <v xml:space="preserve">12V101F </v>
      </c>
    </row>
    <row r="193" spans="1:53">
      <c r="A193" s="35" t="s">
        <v>209</v>
      </c>
      <c r="B193" s="35" t="s">
        <v>1687</v>
      </c>
      <c r="C193" s="35" t="s">
        <v>1887</v>
      </c>
      <c r="D193" s="35" t="s">
        <v>1585</v>
      </c>
      <c r="E193" s="35" t="s">
        <v>1888</v>
      </c>
      <c r="F193" s="35" t="s">
        <v>1587</v>
      </c>
      <c r="G193" s="102">
        <v>36.6</v>
      </c>
      <c r="H193" s="102">
        <v>12</v>
      </c>
      <c r="I193" s="102">
        <v>124</v>
      </c>
      <c r="J193" s="102">
        <v>6.758</v>
      </c>
      <c r="K193" s="103">
        <v>44992</v>
      </c>
      <c r="L193" s="102">
        <v>17.553360000000001</v>
      </c>
      <c r="M193" s="102">
        <v>10.795360000000001</v>
      </c>
      <c r="N193" s="102">
        <v>11.281499182499999</v>
      </c>
      <c r="O193" s="102">
        <v>4.5234991825000002</v>
      </c>
      <c r="P193" s="35" t="s">
        <v>1588</v>
      </c>
      <c r="Q193" s="35" t="s">
        <v>1598</v>
      </c>
      <c r="R193" s="35" t="s">
        <v>1889</v>
      </c>
      <c r="S193" s="102">
        <v>17.755199999999999</v>
      </c>
      <c r="T193" s="102">
        <v>10.997199999999999</v>
      </c>
      <c r="U193" s="35" t="s">
        <v>1588</v>
      </c>
      <c r="V193" s="35" t="s">
        <v>1803</v>
      </c>
      <c r="W193" s="102">
        <v>12</v>
      </c>
      <c r="X193" s="102">
        <v>5.242</v>
      </c>
      <c r="Y193" s="102">
        <v>1</v>
      </c>
      <c r="Z193" s="35" t="s">
        <v>1593</v>
      </c>
      <c r="AA193">
        <f>VLOOKUP(A193,Cover!A:R,18,0)</f>
        <v>0</v>
      </c>
      <c r="AB193" s="77">
        <f t="shared" si="126"/>
        <v>10.795360000000001</v>
      </c>
      <c r="AC193" s="77">
        <f t="shared" si="127"/>
        <v>4.5234991825000002</v>
      </c>
      <c r="AD193" s="77">
        <f t="shared" si="128"/>
        <v>61.500248385494288</v>
      </c>
      <c r="AE193" s="77">
        <f t="shared" si="129"/>
        <v>40.096614016662855</v>
      </c>
      <c r="AF193" s="77">
        <f t="shared" si="130"/>
        <v>10.997199999999999</v>
      </c>
      <c r="AG193" s="77">
        <f t="shared" si="131"/>
        <v>61.937911147156889</v>
      </c>
      <c r="AH193" s="77">
        <f t="shared" si="132"/>
        <v>12</v>
      </c>
      <c r="AI193" s="77">
        <f t="shared" si="133"/>
        <v>6.758</v>
      </c>
      <c r="AJ193" s="77">
        <f t="shared" si="134"/>
        <v>5.242</v>
      </c>
      <c r="AK193" s="77">
        <f t="shared" si="135"/>
        <v>0</v>
      </c>
      <c r="AL193" s="77">
        <f t="shared" si="136"/>
        <v>5.242</v>
      </c>
      <c r="AM193" s="77">
        <f t="shared" si="137"/>
        <v>43.683333333333337</v>
      </c>
      <c r="AO193" t="s">
        <v>1594</v>
      </c>
      <c r="AP193" t="str">
        <f t="shared" si="125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4"/>
        <v>2CP650</v>
      </c>
    </row>
    <row r="194" spans="1:53">
      <c r="A194" s="35" t="s">
        <v>210</v>
      </c>
      <c r="B194" s="35" t="s">
        <v>1687</v>
      </c>
      <c r="C194" s="35" t="s">
        <v>1887</v>
      </c>
      <c r="D194" s="35" t="s">
        <v>1629</v>
      </c>
      <c r="E194" s="35" t="s">
        <v>1436</v>
      </c>
      <c r="F194" s="35" t="s">
        <v>1587</v>
      </c>
      <c r="G194" s="102">
        <v>36.6</v>
      </c>
      <c r="H194" s="102">
        <v>35</v>
      </c>
      <c r="I194" s="102">
        <v>326</v>
      </c>
      <c r="J194" s="102">
        <v>17.766999999999999</v>
      </c>
      <c r="K194" s="103">
        <v>45323</v>
      </c>
      <c r="L194" s="102">
        <v>54.255839999999999</v>
      </c>
      <c r="M194" s="102">
        <v>36.488840000000003</v>
      </c>
      <c r="N194" s="102">
        <v>35.119799999999998</v>
      </c>
      <c r="O194" s="102">
        <v>17.352799999999998</v>
      </c>
      <c r="P194" s="35" t="s">
        <v>1588</v>
      </c>
      <c r="Q194" s="35" t="s">
        <v>1598</v>
      </c>
      <c r="R194" s="35" t="s">
        <v>1609</v>
      </c>
      <c r="S194" s="102">
        <v>53.330399999999997</v>
      </c>
      <c r="T194" s="102">
        <v>35.563400000000001</v>
      </c>
      <c r="U194" s="35" t="s">
        <v>1588</v>
      </c>
      <c r="V194" s="35" t="s">
        <v>1606</v>
      </c>
      <c r="W194" s="102">
        <v>45</v>
      </c>
      <c r="X194" s="102">
        <v>27.233000000000001</v>
      </c>
      <c r="Y194" s="102">
        <v>278</v>
      </c>
      <c r="Z194" s="35" t="s">
        <v>1593</v>
      </c>
      <c r="AA194">
        <f>VLOOKUP(A194,Cover!A:R,18,0)</f>
        <v>2.7</v>
      </c>
      <c r="AB194" s="77">
        <f t="shared" si="126"/>
        <v>33.78884</v>
      </c>
      <c r="AC194" s="77">
        <f t="shared" si="127"/>
        <v>14.652799999999999</v>
      </c>
      <c r="AD194" s="77">
        <f t="shared" si="128"/>
        <v>62.276871945950887</v>
      </c>
      <c r="AE194" s="77">
        <f t="shared" si="129"/>
        <v>41.722333270690612</v>
      </c>
      <c r="AF194" s="77">
        <f t="shared" si="130"/>
        <v>32.863399999999999</v>
      </c>
      <c r="AG194" s="77">
        <f t="shared" si="131"/>
        <v>61.622264224532344</v>
      </c>
      <c r="AH194" s="77">
        <f t="shared" si="132"/>
        <v>45</v>
      </c>
      <c r="AI194" s="77">
        <f t="shared" si="133"/>
        <v>17.766999999999999</v>
      </c>
      <c r="AJ194" s="77">
        <f t="shared" si="134"/>
        <v>27.233000000000001</v>
      </c>
      <c r="AK194" s="77">
        <f t="shared" si="135"/>
        <v>2.7</v>
      </c>
      <c r="AL194" s="77">
        <f t="shared" si="136"/>
        <v>24.533000000000001</v>
      </c>
      <c r="AM194" s="77">
        <f t="shared" si="137"/>
        <v>54.517777777777781</v>
      </c>
      <c r="AO194" t="s">
        <v>1594</v>
      </c>
      <c r="AP194" t="str">
        <f t="shared" si="125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4"/>
        <v>DDm125-33</v>
      </c>
    </row>
    <row r="195" spans="1:53">
      <c r="A195" s="35" t="s">
        <v>211</v>
      </c>
      <c r="B195" s="35" t="s">
        <v>1636</v>
      </c>
      <c r="C195" s="35" t="s">
        <v>1890</v>
      </c>
      <c r="D195" s="35" t="s">
        <v>1585</v>
      </c>
      <c r="E195" s="35" t="s">
        <v>1891</v>
      </c>
      <c r="F195" s="35" t="s">
        <v>1892</v>
      </c>
      <c r="G195" s="102">
        <v>50</v>
      </c>
      <c r="H195" s="102">
        <v>4</v>
      </c>
      <c r="I195" s="102">
        <v>25</v>
      </c>
      <c r="J195" s="102">
        <v>1.3625</v>
      </c>
      <c r="K195" s="103">
        <v>44490.666666666701</v>
      </c>
      <c r="L195" s="102">
        <v>6.54</v>
      </c>
      <c r="M195" s="102">
        <v>5.1775000000000002</v>
      </c>
      <c r="N195" s="102">
        <v>5.9950000000000001</v>
      </c>
      <c r="O195" s="102">
        <v>4.6325000000000003</v>
      </c>
      <c r="P195" s="35" t="s">
        <v>1603</v>
      </c>
      <c r="Q195" s="35" t="s">
        <v>1598</v>
      </c>
      <c r="R195" s="35" t="s">
        <v>1694</v>
      </c>
      <c r="S195" s="102">
        <v>3.5855999999999999</v>
      </c>
      <c r="T195" s="102">
        <v>2.2231000000000001</v>
      </c>
      <c r="U195" s="35" t="s">
        <v>1591</v>
      </c>
      <c r="V195" s="35" t="s">
        <v>1592</v>
      </c>
      <c r="W195" s="102">
        <v>7.5</v>
      </c>
      <c r="X195" s="102">
        <v>6.1375000000000002</v>
      </c>
      <c r="Y195" s="102">
        <v>3</v>
      </c>
      <c r="Z195" s="35" t="s">
        <v>1593</v>
      </c>
      <c r="AA195">
        <f>VLOOKUP(A195,Cover!A:R,18,0)</f>
        <v>0</v>
      </c>
      <c r="AB195" s="77">
        <f t="shared" si="126"/>
        <v>5.1775000000000002</v>
      </c>
      <c r="AC195" s="77">
        <f t="shared" si="127"/>
        <v>4.6325000000000003</v>
      </c>
      <c r="AD195" s="77">
        <f t="shared" si="128"/>
        <v>79.166666666666671</v>
      </c>
      <c r="AE195" s="77">
        <f t="shared" si="129"/>
        <v>77.272727272727266</v>
      </c>
      <c r="AF195" s="77">
        <f t="shared" si="130"/>
        <v>2.2231000000000001</v>
      </c>
      <c r="AG195" s="77">
        <f t="shared" si="131"/>
        <v>62.000780901383315</v>
      </c>
      <c r="AH195" s="345">
        <f>AVERAGE(W195:W196)</f>
        <v>7.5</v>
      </c>
      <c r="AI195" s="345">
        <f>SUM(J195:J196)</f>
        <v>3.4880000000000004</v>
      </c>
      <c r="AJ195" s="345">
        <f t="shared" si="134"/>
        <v>4.0119999999999996</v>
      </c>
      <c r="AK195" s="345">
        <f>SUM(AA195:AA196)</f>
        <v>0</v>
      </c>
      <c r="AL195" s="345">
        <f t="shared" si="136"/>
        <v>4.0119999999999996</v>
      </c>
      <c r="AM195" s="346">
        <f t="shared" si="137"/>
        <v>53.493333333333332</v>
      </c>
      <c r="AO195" t="s">
        <v>1651</v>
      </c>
      <c r="AP195" t="str">
        <f t="shared" si="125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4"/>
        <v xml:space="preserve">12V101F </v>
      </c>
    </row>
    <row r="196" spans="1:53">
      <c r="A196" s="35" t="s">
        <v>212</v>
      </c>
      <c r="B196" s="35" t="s">
        <v>1636</v>
      </c>
      <c r="C196" s="35" t="s">
        <v>1890</v>
      </c>
      <c r="D196" s="35" t="s">
        <v>1585</v>
      </c>
      <c r="E196" s="35" t="s">
        <v>1891</v>
      </c>
      <c r="F196" s="35" t="s">
        <v>1892</v>
      </c>
      <c r="G196" s="102">
        <v>50</v>
      </c>
      <c r="H196" s="102">
        <v>4</v>
      </c>
      <c r="I196" s="102">
        <v>39</v>
      </c>
      <c r="J196" s="102">
        <v>2.1255000000000002</v>
      </c>
      <c r="K196" s="103">
        <v>44490.708333333299</v>
      </c>
      <c r="L196" s="102">
        <v>6.54</v>
      </c>
      <c r="M196" s="102">
        <v>4.4145000000000003</v>
      </c>
      <c r="N196" s="102">
        <v>6.431</v>
      </c>
      <c r="O196" s="102">
        <v>4.3055000000000003</v>
      </c>
      <c r="P196" s="35" t="s">
        <v>1603</v>
      </c>
      <c r="Q196" s="35" t="s">
        <v>1616</v>
      </c>
      <c r="R196" s="35" t="s">
        <v>1698</v>
      </c>
      <c r="S196" s="102">
        <v>3.9052799999999999</v>
      </c>
      <c r="T196" s="102">
        <v>1.7797799999999999</v>
      </c>
      <c r="U196" s="35" t="s">
        <v>1591</v>
      </c>
      <c r="V196" s="35" t="s">
        <v>1592</v>
      </c>
      <c r="W196" s="102">
        <v>7.5</v>
      </c>
      <c r="X196" s="102">
        <v>5.3745000000000003</v>
      </c>
      <c r="Y196" s="102">
        <v>3</v>
      </c>
      <c r="Z196" s="35" t="s">
        <v>1593</v>
      </c>
      <c r="AA196">
        <f>VLOOKUP(A196,Cover!A:R,18,0)</f>
        <v>0</v>
      </c>
      <c r="AB196" s="77">
        <f t="shared" si="126"/>
        <v>4.4145000000000003</v>
      </c>
      <c r="AC196" s="77">
        <f t="shared" si="127"/>
        <v>4.3055000000000003</v>
      </c>
      <c r="AD196" s="77">
        <f t="shared" si="128"/>
        <v>67.5</v>
      </c>
      <c r="AE196" s="77">
        <f t="shared" si="129"/>
        <v>66.949152542372886</v>
      </c>
      <c r="AF196" s="77">
        <f t="shared" si="130"/>
        <v>1.7797799999999999</v>
      </c>
      <c r="AG196" s="77">
        <f t="shared" si="131"/>
        <v>45.573684857423792</v>
      </c>
      <c r="AH196" s="345"/>
      <c r="AI196" s="345"/>
      <c r="AJ196" s="345"/>
      <c r="AK196" s="345"/>
      <c r="AL196" s="345"/>
      <c r="AM196" s="346"/>
      <c r="AO196" t="s">
        <v>1651</v>
      </c>
      <c r="AP196" t="str">
        <f t="shared" si="125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4"/>
        <v>12V100F</v>
      </c>
    </row>
    <row r="197" spans="1:53">
      <c r="A197" s="35" t="s">
        <v>213</v>
      </c>
      <c r="B197" s="35" t="s">
        <v>1619</v>
      </c>
      <c r="C197" s="35" t="s">
        <v>1893</v>
      </c>
      <c r="D197" s="35" t="s">
        <v>1585</v>
      </c>
      <c r="E197" s="35" t="s">
        <v>1308</v>
      </c>
      <c r="F197" s="35" t="s">
        <v>1587</v>
      </c>
      <c r="G197" s="102">
        <v>36.6</v>
      </c>
      <c r="H197" s="102">
        <v>23</v>
      </c>
      <c r="I197" s="102">
        <v>233</v>
      </c>
      <c r="J197" s="102">
        <v>12.698499999999999</v>
      </c>
      <c r="K197" s="103">
        <v>44895</v>
      </c>
      <c r="L197" s="102">
        <v>35.106720000000003</v>
      </c>
      <c r="M197" s="102">
        <v>22.40822</v>
      </c>
      <c r="N197" s="102">
        <v>22.083400000000001</v>
      </c>
      <c r="O197" s="102">
        <v>9.3849</v>
      </c>
      <c r="P197" s="35" t="s">
        <v>1591</v>
      </c>
      <c r="Q197" s="35" t="s">
        <v>1598</v>
      </c>
      <c r="R197" s="35" t="s">
        <v>1609</v>
      </c>
      <c r="S197" s="102">
        <v>35.553600000000003</v>
      </c>
      <c r="T197" s="102">
        <v>22.8551</v>
      </c>
      <c r="U197" s="35" t="s">
        <v>1638</v>
      </c>
      <c r="V197" s="35" t="s">
        <v>1604</v>
      </c>
      <c r="W197" s="102">
        <v>33.75</v>
      </c>
      <c r="X197" s="102">
        <v>21.051500000000001</v>
      </c>
      <c r="Y197" s="102">
        <v>17</v>
      </c>
      <c r="Z197" s="35" t="s">
        <v>1593</v>
      </c>
      <c r="AA197">
        <f>VLOOKUP(A197,Cover!A:R,18,0)</f>
        <v>2.7</v>
      </c>
      <c r="AB197" s="77">
        <f t="shared" si="126"/>
        <v>19.708220000000001</v>
      </c>
      <c r="AC197" s="77">
        <f t="shared" si="127"/>
        <v>6.6848999999999998</v>
      </c>
      <c r="AD197" s="77">
        <f t="shared" si="128"/>
        <v>56.138027135545556</v>
      </c>
      <c r="AE197" s="77">
        <f t="shared" si="129"/>
        <v>30.271153898403323</v>
      </c>
      <c r="AF197" s="77">
        <f t="shared" si="130"/>
        <v>20.155100000000001</v>
      </c>
      <c r="AG197" s="77">
        <f t="shared" si="131"/>
        <v>56.689336663516492</v>
      </c>
      <c r="AH197" s="77">
        <f t="shared" si="132"/>
        <v>33.75</v>
      </c>
      <c r="AI197" s="77">
        <f t="shared" si="133"/>
        <v>12.698499999999999</v>
      </c>
      <c r="AJ197" s="77">
        <f t="shared" si="134"/>
        <v>21.051500000000001</v>
      </c>
      <c r="AK197" s="77">
        <f t="shared" si="135"/>
        <v>2.7</v>
      </c>
      <c r="AL197" s="77">
        <f t="shared" si="136"/>
        <v>18.351500000000001</v>
      </c>
      <c r="AM197" s="77">
        <f t="shared" si="137"/>
        <v>54.374814814814819</v>
      </c>
      <c r="AO197" t="s">
        <v>1594</v>
      </c>
      <c r="AP197" t="str">
        <f t="shared" si="125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4"/>
        <v>DDm125-33</v>
      </c>
    </row>
    <row r="198" spans="1:53">
      <c r="A198" s="35" t="s">
        <v>214</v>
      </c>
      <c r="B198" s="35" t="s">
        <v>1624</v>
      </c>
      <c r="C198" s="35" t="s">
        <v>1894</v>
      </c>
      <c r="D198" s="35" t="s">
        <v>1585</v>
      </c>
      <c r="E198" s="35" t="s">
        <v>1496</v>
      </c>
      <c r="F198" s="35" t="s">
        <v>1641</v>
      </c>
      <c r="G198" s="102">
        <v>55</v>
      </c>
      <c r="H198" s="102">
        <v>25</v>
      </c>
      <c r="I198" s="102">
        <v>424</v>
      </c>
      <c r="J198" s="102">
        <v>23.108000000000001</v>
      </c>
      <c r="K198" s="103">
        <v>44428.375</v>
      </c>
      <c r="L198" s="102">
        <v>57.552</v>
      </c>
      <c r="M198" s="102">
        <v>34.444000000000003</v>
      </c>
      <c r="N198" s="102">
        <v>39.24</v>
      </c>
      <c r="O198" s="102">
        <v>16.132000000000001</v>
      </c>
      <c r="P198" s="35" t="s">
        <v>1588</v>
      </c>
      <c r="Q198" s="35" t="s">
        <v>1598</v>
      </c>
      <c r="R198" s="35" t="s">
        <v>1609</v>
      </c>
      <c r="S198" s="102">
        <v>53.330399999999997</v>
      </c>
      <c r="T198" s="102">
        <v>30.2224</v>
      </c>
      <c r="U198" s="35" t="s">
        <v>1588</v>
      </c>
      <c r="V198" s="35" t="s">
        <v>1895</v>
      </c>
      <c r="W198" s="102">
        <v>31.5</v>
      </c>
      <c r="X198" s="102">
        <v>8.3919999999999995</v>
      </c>
      <c r="Y198" s="102">
        <v>34</v>
      </c>
      <c r="Z198" s="35" t="s">
        <v>1593</v>
      </c>
      <c r="AA198">
        <f>VLOOKUP(A198,Cover!A:R,18,0)</f>
        <v>12</v>
      </c>
      <c r="AB198" s="77">
        <f t="shared" ref="AB198" si="157">M198-AA198</f>
        <v>22.444000000000003</v>
      </c>
      <c r="AC198" s="77">
        <f t="shared" ref="AC198" si="158">O198-AA198</f>
        <v>4.1320000000000014</v>
      </c>
      <c r="AD198" s="77">
        <f t="shared" ref="AD198" si="159">AB198/L198%</f>
        <v>38.997775924381429</v>
      </c>
      <c r="AE198" s="77">
        <f t="shared" ref="AE198" si="160">AC198/N198%</f>
        <v>10.530071355759432</v>
      </c>
      <c r="AF198" s="77">
        <f t="shared" ref="AF198" si="161">T198-AA198</f>
        <v>18.2224</v>
      </c>
      <c r="AG198" s="77">
        <f t="shared" ref="AG198" si="162">AF198/S198%</f>
        <v>34.168879288360863</v>
      </c>
      <c r="AH198" s="77">
        <f t="shared" ref="AH198" si="163">W198</f>
        <v>31.5</v>
      </c>
      <c r="AI198" s="77">
        <f t="shared" ref="AI198" si="164">J198</f>
        <v>23.108000000000001</v>
      </c>
      <c r="AJ198" s="77">
        <f t="shared" ref="AJ198" si="165">AH198-AI198</f>
        <v>8.3919999999999995</v>
      </c>
      <c r="AK198" s="77">
        <f t="shared" ref="AK198" si="166">AA198</f>
        <v>12</v>
      </c>
      <c r="AL198" s="77">
        <f t="shared" ref="AL198" si="167">AJ198-AK198</f>
        <v>-3.6080000000000005</v>
      </c>
      <c r="AM198" s="77">
        <f t="shared" ref="AM198" si="168">AL198/AH198%</f>
        <v>-11.453968253968256</v>
      </c>
      <c r="AO198" t="s">
        <v>1594</v>
      </c>
      <c r="AP198" t="str">
        <f t="shared" si="125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4"/>
        <v>DDm125-33</v>
      </c>
    </row>
    <row r="199" spans="1:53">
      <c r="A199" s="35" t="s">
        <v>215</v>
      </c>
      <c r="B199" s="35" t="s">
        <v>1624</v>
      </c>
      <c r="C199" s="35" t="s">
        <v>1894</v>
      </c>
      <c r="D199" s="35" t="s">
        <v>1585</v>
      </c>
      <c r="E199" s="35" t="s">
        <v>1491</v>
      </c>
      <c r="F199" s="35" t="s">
        <v>1597</v>
      </c>
      <c r="G199" s="102">
        <v>75</v>
      </c>
      <c r="H199" s="102">
        <v>12</v>
      </c>
      <c r="I199" s="102">
        <v>225</v>
      </c>
      <c r="J199" s="102">
        <v>12.262499999999999</v>
      </c>
      <c r="K199" s="103">
        <v>45014</v>
      </c>
      <c r="L199" s="102">
        <v>35.97</v>
      </c>
      <c r="M199" s="102">
        <v>23.7075</v>
      </c>
      <c r="N199" s="102">
        <v>32.917999999999999</v>
      </c>
      <c r="O199" s="102">
        <v>20.6555</v>
      </c>
      <c r="P199" s="35" t="s">
        <v>1591</v>
      </c>
      <c r="Q199" s="35" t="s">
        <v>1598</v>
      </c>
      <c r="R199" s="35" t="s">
        <v>1805</v>
      </c>
      <c r="S199" s="102">
        <v>18.792000000000002</v>
      </c>
      <c r="T199" s="102">
        <v>6.5294999999999899</v>
      </c>
      <c r="U199" s="35" t="s">
        <v>1648</v>
      </c>
      <c r="V199" s="35" t="s">
        <v>1896</v>
      </c>
      <c r="W199" s="102">
        <v>36</v>
      </c>
      <c r="X199" s="102">
        <v>23.737500000000001</v>
      </c>
      <c r="Y199" s="102">
        <v>27</v>
      </c>
      <c r="Z199" s="35" t="s">
        <v>1593</v>
      </c>
      <c r="AA199">
        <f>VLOOKUP(A199,Cover!A:R,18,0)</f>
        <v>0</v>
      </c>
      <c r="AB199" s="77">
        <f t="shared" si="126"/>
        <v>23.7075</v>
      </c>
      <c r="AC199" s="77">
        <f t="shared" si="127"/>
        <v>20.6555</v>
      </c>
      <c r="AD199" s="77">
        <f t="shared" si="128"/>
        <v>65.909090909090921</v>
      </c>
      <c r="AE199" s="77">
        <f t="shared" si="129"/>
        <v>62.748344370860934</v>
      </c>
      <c r="AF199" s="77">
        <f t="shared" si="130"/>
        <v>6.5294999999999899</v>
      </c>
      <c r="AG199" s="77">
        <f t="shared" si="131"/>
        <v>34.746168582375425</v>
      </c>
      <c r="AH199" s="77">
        <f t="shared" si="132"/>
        <v>36</v>
      </c>
      <c r="AI199" s="77">
        <f t="shared" si="133"/>
        <v>12.262499999999999</v>
      </c>
      <c r="AJ199" s="77">
        <f t="shared" si="134"/>
        <v>23.737500000000001</v>
      </c>
      <c r="AK199" s="77">
        <f t="shared" si="135"/>
        <v>0</v>
      </c>
      <c r="AL199" s="77">
        <f t="shared" si="136"/>
        <v>23.737500000000001</v>
      </c>
      <c r="AM199" s="77">
        <f t="shared" si="137"/>
        <v>65.9375</v>
      </c>
      <c r="AO199" t="s">
        <v>1594</v>
      </c>
      <c r="AP199" t="str">
        <f t="shared" si="125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4"/>
        <v>DDm85-27</v>
      </c>
    </row>
    <row r="200" spans="1:53">
      <c r="A200" s="35" t="s">
        <v>216</v>
      </c>
      <c r="B200" s="35" t="s">
        <v>1607</v>
      </c>
      <c r="C200" s="35" t="s">
        <v>1897</v>
      </c>
      <c r="D200" s="35" t="s">
        <v>1585</v>
      </c>
      <c r="E200" s="35" t="s">
        <v>887</v>
      </c>
      <c r="F200" s="35" t="s">
        <v>1587</v>
      </c>
      <c r="G200" s="102">
        <v>36.6</v>
      </c>
      <c r="H200" s="102">
        <v>9</v>
      </c>
      <c r="I200" s="102">
        <v>39</v>
      </c>
      <c r="J200" s="102">
        <v>2.1255000000000002</v>
      </c>
      <c r="K200" s="103">
        <v>45323</v>
      </c>
      <c r="L200" s="102">
        <v>12.766080000000001</v>
      </c>
      <c r="M200" s="102">
        <v>10.64058</v>
      </c>
      <c r="N200" s="102">
        <v>9.4720999999999993</v>
      </c>
      <c r="O200" s="102">
        <v>7.3465999999999996</v>
      </c>
      <c r="P200" s="35" t="s">
        <v>1591</v>
      </c>
      <c r="Q200" s="35" t="s">
        <v>1598</v>
      </c>
      <c r="R200" s="35" t="s">
        <v>1626</v>
      </c>
      <c r="S200" s="102">
        <v>10.1088</v>
      </c>
      <c r="T200" s="102">
        <v>7.9832999999999803</v>
      </c>
      <c r="U200" s="35" t="s">
        <v>1591</v>
      </c>
      <c r="V200" s="35" t="s">
        <v>1692</v>
      </c>
      <c r="W200" s="102">
        <v>11.25</v>
      </c>
      <c r="X200" s="102">
        <v>9.1244999999999994</v>
      </c>
      <c r="Y200" s="102">
        <v>35</v>
      </c>
      <c r="Z200" s="35" t="s">
        <v>1593</v>
      </c>
      <c r="AA200">
        <f>VLOOKUP(A200,Cover!A:R,18,0)</f>
        <v>0</v>
      </c>
      <c r="AB200" s="77">
        <f t="shared" si="126"/>
        <v>10.64058</v>
      </c>
      <c r="AC200" s="77">
        <f t="shared" si="127"/>
        <v>7.3465999999999996</v>
      </c>
      <c r="AD200" s="77">
        <f t="shared" si="128"/>
        <v>83.350409836065566</v>
      </c>
      <c r="AE200" s="77">
        <f t="shared" si="129"/>
        <v>77.560414269275029</v>
      </c>
      <c r="AF200" s="77">
        <f t="shared" si="130"/>
        <v>7.9832999999999803</v>
      </c>
      <c r="AG200" s="77">
        <f t="shared" si="131"/>
        <v>78.97376543209856</v>
      </c>
      <c r="AH200" s="77">
        <f t="shared" si="132"/>
        <v>11.25</v>
      </c>
      <c r="AI200" s="77">
        <f t="shared" si="133"/>
        <v>2.1255000000000002</v>
      </c>
      <c r="AJ200" s="77">
        <f t="shared" si="134"/>
        <v>9.1244999999999994</v>
      </c>
      <c r="AK200" s="77">
        <f t="shared" si="135"/>
        <v>0</v>
      </c>
      <c r="AL200" s="77">
        <f t="shared" si="136"/>
        <v>9.1244999999999994</v>
      </c>
      <c r="AM200" s="77">
        <f t="shared" si="137"/>
        <v>81.106666666666655</v>
      </c>
      <c r="AO200" t="s">
        <v>1594</v>
      </c>
      <c r="AP200" t="str">
        <f t="shared" si="125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4"/>
        <v>2DDm85-15</v>
      </c>
    </row>
    <row r="201" spans="1:53">
      <c r="A201" s="35" t="s">
        <v>217</v>
      </c>
      <c r="B201" s="35" t="s">
        <v>1653</v>
      </c>
      <c r="C201" s="35" t="s">
        <v>1898</v>
      </c>
      <c r="D201" s="35" t="s">
        <v>1585</v>
      </c>
      <c r="E201" s="35" t="s">
        <v>1899</v>
      </c>
      <c r="F201" s="35" t="s">
        <v>1597</v>
      </c>
      <c r="G201" s="102">
        <v>75</v>
      </c>
      <c r="H201" s="102">
        <v>8</v>
      </c>
      <c r="I201" s="102">
        <v>150</v>
      </c>
      <c r="J201" s="102">
        <v>8.1750000000000007</v>
      </c>
      <c r="K201" s="103">
        <v>44698.5625</v>
      </c>
      <c r="L201" s="102">
        <v>22.89</v>
      </c>
      <c r="M201" s="102">
        <v>14.715</v>
      </c>
      <c r="N201" s="102">
        <v>22.126999999999999</v>
      </c>
      <c r="O201" s="102">
        <v>13.952</v>
      </c>
      <c r="P201" s="35" t="s">
        <v>1591</v>
      </c>
      <c r="Q201" s="35" t="s">
        <v>1598</v>
      </c>
      <c r="R201" s="35" t="s">
        <v>1626</v>
      </c>
      <c r="S201" s="102">
        <v>10.1088</v>
      </c>
      <c r="T201" s="102">
        <v>1.93379999999998</v>
      </c>
      <c r="U201" s="35" t="s">
        <v>1603</v>
      </c>
      <c r="V201" s="35" t="s">
        <v>1686</v>
      </c>
      <c r="W201" s="102">
        <v>67.5</v>
      </c>
      <c r="X201" s="102">
        <v>59.325000000000003</v>
      </c>
      <c r="Y201" s="102">
        <v>84</v>
      </c>
      <c r="Z201" s="35" t="s">
        <v>1593</v>
      </c>
      <c r="AA201">
        <f>VLOOKUP(A201,Cover!A:R,18,0)</f>
        <v>0</v>
      </c>
      <c r="AB201" s="77">
        <f t="shared" si="126"/>
        <v>14.715</v>
      </c>
      <c r="AC201" s="77">
        <f t="shared" si="127"/>
        <v>13.952</v>
      </c>
      <c r="AD201" s="77">
        <f t="shared" si="128"/>
        <v>64.285714285714292</v>
      </c>
      <c r="AE201" s="77">
        <f t="shared" si="129"/>
        <v>63.054187192118228</v>
      </c>
      <c r="AF201" s="77">
        <f t="shared" si="130"/>
        <v>1.93379999999998</v>
      </c>
      <c r="AG201" s="77">
        <f t="shared" si="131"/>
        <v>19.129867046533512</v>
      </c>
      <c r="AH201" s="77">
        <f t="shared" si="132"/>
        <v>67.5</v>
      </c>
      <c r="AI201" s="77">
        <f t="shared" si="133"/>
        <v>8.1750000000000007</v>
      </c>
      <c r="AJ201" s="77">
        <f t="shared" si="134"/>
        <v>59.325000000000003</v>
      </c>
      <c r="AK201" s="77">
        <f t="shared" si="135"/>
        <v>0</v>
      </c>
      <c r="AL201" s="77">
        <f t="shared" si="136"/>
        <v>59.325000000000003</v>
      </c>
      <c r="AM201" s="77">
        <f t="shared" si="137"/>
        <v>87.888888888888886</v>
      </c>
      <c r="AO201" t="s">
        <v>1594</v>
      </c>
      <c r="AP201" t="str">
        <f t="shared" si="125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4"/>
        <v>2DDm85-15</v>
      </c>
    </row>
    <row r="202" spans="1:53">
      <c r="A202" s="35" t="s">
        <v>218</v>
      </c>
      <c r="B202" s="35" t="s">
        <v>1632</v>
      </c>
      <c r="C202" s="35" t="s">
        <v>1900</v>
      </c>
      <c r="D202" s="35" t="s">
        <v>1585</v>
      </c>
      <c r="E202" s="35" t="s">
        <v>1414</v>
      </c>
      <c r="F202" s="35" t="s">
        <v>1597</v>
      </c>
      <c r="G202" s="102">
        <v>75</v>
      </c>
      <c r="H202" s="102">
        <v>15</v>
      </c>
      <c r="I202" s="102">
        <v>340</v>
      </c>
      <c r="J202" s="102">
        <v>18.53</v>
      </c>
      <c r="K202" s="103">
        <v>45182</v>
      </c>
      <c r="L202" s="102">
        <v>45.78</v>
      </c>
      <c r="M202" s="102">
        <v>27.25</v>
      </c>
      <c r="N202" s="102">
        <v>22.344999999999999</v>
      </c>
      <c r="O202" s="104">
        <v>3.8149999999999999</v>
      </c>
      <c r="P202" s="35" t="s">
        <v>1603</v>
      </c>
      <c r="Q202" s="35" t="s">
        <v>1598</v>
      </c>
      <c r="R202" s="35" t="s">
        <v>1661</v>
      </c>
      <c r="S202" s="102">
        <v>56.246400000000101</v>
      </c>
      <c r="T202" s="102">
        <v>37.7164000000001</v>
      </c>
      <c r="U202" s="35" t="s">
        <v>1592</v>
      </c>
      <c r="V202" s="35" t="s">
        <v>1901</v>
      </c>
      <c r="W202" s="102">
        <v>62.25</v>
      </c>
      <c r="X202" s="102">
        <v>43.72</v>
      </c>
      <c r="Y202" s="102">
        <v>6</v>
      </c>
      <c r="Z202" s="35" t="s">
        <v>1593</v>
      </c>
      <c r="AA202">
        <f>VLOOKUP(A202,Cover!A:R,18,0)</f>
        <v>0</v>
      </c>
      <c r="AB202" s="77">
        <f t="shared" si="126"/>
        <v>27.25</v>
      </c>
      <c r="AC202" s="77">
        <f t="shared" si="127"/>
        <v>3.8149999999999999</v>
      </c>
      <c r="AD202" s="77">
        <f t="shared" si="128"/>
        <v>59.523809523809526</v>
      </c>
      <c r="AE202" s="77">
        <f t="shared" si="129"/>
        <v>17.073170731707318</v>
      </c>
      <c r="AF202" s="77">
        <f t="shared" si="130"/>
        <v>37.7164000000001</v>
      </c>
      <c r="AG202" s="77">
        <f t="shared" si="131"/>
        <v>67.055669340615637</v>
      </c>
      <c r="AH202" s="77">
        <f t="shared" si="132"/>
        <v>62.25</v>
      </c>
      <c r="AI202" s="77">
        <f t="shared" si="133"/>
        <v>18.53</v>
      </c>
      <c r="AJ202" s="77">
        <f t="shared" si="134"/>
        <v>43.72</v>
      </c>
      <c r="AK202" s="77">
        <f t="shared" si="135"/>
        <v>0</v>
      </c>
      <c r="AL202" s="77">
        <f t="shared" si="136"/>
        <v>43.72</v>
      </c>
      <c r="AM202" s="77">
        <f t="shared" si="137"/>
        <v>70.232931726907623</v>
      </c>
      <c r="AO202" t="s">
        <v>1594</v>
      </c>
      <c r="AP202" t="str">
        <f t="shared" si="125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4"/>
        <v>DDm100-33</v>
      </c>
    </row>
    <row r="203" spans="1:53">
      <c r="A203" s="35" t="s">
        <v>219</v>
      </c>
      <c r="B203" s="35" t="s">
        <v>1632</v>
      </c>
      <c r="C203" s="35" t="s">
        <v>1900</v>
      </c>
      <c r="D203" s="35" t="s">
        <v>1680</v>
      </c>
      <c r="E203" s="35" t="s">
        <v>1400</v>
      </c>
      <c r="F203" s="35" t="s">
        <v>1587</v>
      </c>
      <c r="G203" s="102">
        <v>36.6</v>
      </c>
      <c r="H203" s="102">
        <v>83</v>
      </c>
      <c r="I203" s="102">
        <v>1256</v>
      </c>
      <c r="J203" s="102">
        <v>68.451999999999998</v>
      </c>
      <c r="K203" s="103">
        <v>44846</v>
      </c>
      <c r="L203" s="102">
        <v>130.85231999999999</v>
      </c>
      <c r="M203" s="102">
        <v>62.400320000000001</v>
      </c>
      <c r="N203" s="102">
        <v>102.5254</v>
      </c>
      <c r="O203" s="102">
        <v>34.073399999999999</v>
      </c>
      <c r="P203" s="35" t="s">
        <v>1638</v>
      </c>
      <c r="Q203" s="35" t="s">
        <v>1598</v>
      </c>
      <c r="R203" s="35" t="s">
        <v>1902</v>
      </c>
      <c r="S203" s="102">
        <v>155.5848</v>
      </c>
      <c r="T203" s="102">
        <v>87.132799999999804</v>
      </c>
      <c r="U203" s="35" t="s">
        <v>1610</v>
      </c>
      <c r="V203" s="35" t="s">
        <v>1903</v>
      </c>
      <c r="W203" s="102">
        <v>411</v>
      </c>
      <c r="X203" s="102">
        <v>342.548</v>
      </c>
      <c r="Y203" s="102">
        <v>61</v>
      </c>
      <c r="Z203" s="35" t="s">
        <v>1593</v>
      </c>
      <c r="AA203">
        <f>VLOOKUP(A203,Cover!A:R,18,0)</f>
        <v>36.5</v>
      </c>
      <c r="AB203" s="77">
        <f t="shared" si="126"/>
        <v>25.900320000000001</v>
      </c>
      <c r="AC203" s="77">
        <f t="shared" si="127"/>
        <v>-2.4266000000000005</v>
      </c>
      <c r="AD203" s="77">
        <f t="shared" si="128"/>
        <v>19.793550469720369</v>
      </c>
      <c r="AE203" s="77">
        <f t="shared" si="129"/>
        <v>-2.3668281225920604</v>
      </c>
      <c r="AF203" s="77">
        <f t="shared" si="130"/>
        <v>50.632799999999804</v>
      </c>
      <c r="AG203" s="77">
        <f t="shared" si="131"/>
        <v>32.543538957532995</v>
      </c>
      <c r="AH203" s="345">
        <f>AVERAGE(W203:W204)</f>
        <v>411</v>
      </c>
      <c r="AI203" s="345">
        <f>SUM(J203:J204)</f>
        <v>115.4855</v>
      </c>
      <c r="AJ203" s="345">
        <f t="shared" si="134"/>
        <v>295.5145</v>
      </c>
      <c r="AK203" s="345">
        <f>SUM(AA203:AA204)</f>
        <v>49.5</v>
      </c>
      <c r="AL203" s="345">
        <f t="shared" si="136"/>
        <v>246.0145</v>
      </c>
      <c r="AM203" s="346">
        <f t="shared" si="137"/>
        <v>59.857542579075421</v>
      </c>
      <c r="AO203" t="s">
        <v>1594</v>
      </c>
      <c r="AP203" t="str">
        <f t="shared" si="125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69">IFERROR(LEFT(R203,FIND("(",R203,1)-1),R203)</f>
        <v xml:space="preserve">DDm100-33 </v>
      </c>
    </row>
    <row r="204" spans="1:53">
      <c r="A204" s="35" t="s">
        <v>220</v>
      </c>
      <c r="B204" s="35" t="s">
        <v>1632</v>
      </c>
      <c r="C204" s="35" t="s">
        <v>1900</v>
      </c>
      <c r="D204" s="35" t="s">
        <v>1680</v>
      </c>
      <c r="E204" s="35" t="s">
        <v>1400</v>
      </c>
      <c r="F204" s="35" t="s">
        <v>1641</v>
      </c>
      <c r="G204" s="102">
        <v>55</v>
      </c>
      <c r="H204" s="102">
        <v>42</v>
      </c>
      <c r="I204" s="102">
        <v>863</v>
      </c>
      <c r="J204" s="102">
        <v>47.033499999999997</v>
      </c>
      <c r="K204" s="103">
        <v>44846</v>
      </c>
      <c r="L204" s="102">
        <v>98.317999999999998</v>
      </c>
      <c r="M204" s="102">
        <v>51.284500000000001</v>
      </c>
      <c r="N204" s="102">
        <v>90.197500000000005</v>
      </c>
      <c r="O204" s="102">
        <v>43.164000000000001</v>
      </c>
      <c r="P204" s="35" t="s">
        <v>1588</v>
      </c>
      <c r="Q204" s="35" t="s">
        <v>1598</v>
      </c>
      <c r="R204" s="35" t="s">
        <v>1652</v>
      </c>
      <c r="S204" s="102">
        <v>85.212000000000202</v>
      </c>
      <c r="T204" s="102">
        <v>38.178500000000199</v>
      </c>
      <c r="U204" s="35" t="s">
        <v>1610</v>
      </c>
      <c r="V204" s="35" t="s">
        <v>1903</v>
      </c>
      <c r="W204" s="102">
        <v>411</v>
      </c>
      <c r="X204" s="102">
        <v>363.9665</v>
      </c>
      <c r="Y204" s="102">
        <v>61</v>
      </c>
      <c r="Z204" s="35" t="s">
        <v>1593</v>
      </c>
      <c r="AA204">
        <f>VLOOKUP(A204,Cover!A:R,18,0)</f>
        <v>13</v>
      </c>
      <c r="AB204" s="77">
        <f t="shared" si="126"/>
        <v>38.284500000000001</v>
      </c>
      <c r="AC204" s="77">
        <f t="shared" si="127"/>
        <v>30.164000000000001</v>
      </c>
      <c r="AD204" s="77">
        <f t="shared" si="128"/>
        <v>38.939461746577436</v>
      </c>
      <c r="AE204" s="77">
        <f t="shared" si="129"/>
        <v>33.442168574517034</v>
      </c>
      <c r="AF204" s="77">
        <f t="shared" si="130"/>
        <v>25.178500000000199</v>
      </c>
      <c r="AG204" s="77">
        <f t="shared" si="131"/>
        <v>29.548068347181314</v>
      </c>
      <c r="AH204" s="345"/>
      <c r="AI204" s="345"/>
      <c r="AJ204" s="345"/>
      <c r="AK204" s="345"/>
      <c r="AL204" s="345"/>
      <c r="AM204" s="346"/>
      <c r="AO204" t="s">
        <v>1594</v>
      </c>
      <c r="AP204" t="str">
        <f t="shared" si="125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69"/>
        <v xml:space="preserve">DDm125-33 </v>
      </c>
    </row>
    <row r="205" spans="1:53">
      <c r="A205" s="35" t="s">
        <v>221</v>
      </c>
      <c r="B205" s="35" t="s">
        <v>1632</v>
      </c>
      <c r="C205" s="35" t="s">
        <v>1900</v>
      </c>
      <c r="D205" s="35" t="s">
        <v>1680</v>
      </c>
      <c r="E205" s="35" t="s">
        <v>1400</v>
      </c>
      <c r="F205" s="35" t="s">
        <v>1601</v>
      </c>
      <c r="G205" s="102">
        <v>31</v>
      </c>
      <c r="H205" s="102">
        <v>5</v>
      </c>
      <c r="I205" s="102">
        <v>83</v>
      </c>
      <c r="J205" s="102">
        <v>4.5235000000000003</v>
      </c>
      <c r="K205" s="103">
        <v>44719.5625</v>
      </c>
      <c r="L205" s="102">
        <v>5.4063999999999997</v>
      </c>
      <c r="M205" s="102">
        <v>0.88290000000000002</v>
      </c>
      <c r="N205" s="102">
        <v>4.5780000000000003</v>
      </c>
      <c r="O205" s="102">
        <v>5.45E-2</v>
      </c>
      <c r="P205" s="35" t="s">
        <v>1603</v>
      </c>
      <c r="Q205" s="35" t="s">
        <v>1598</v>
      </c>
      <c r="R205" s="35" t="s">
        <v>1825</v>
      </c>
      <c r="S205" s="102">
        <v>6.1430399999999796</v>
      </c>
      <c r="T205" s="102">
        <v>1.61953999999998</v>
      </c>
      <c r="U205" s="35" t="s">
        <v>1610</v>
      </c>
      <c r="V205" s="35" t="s">
        <v>1903</v>
      </c>
      <c r="W205" s="102">
        <v>411</v>
      </c>
      <c r="X205" s="102">
        <v>406.47649999999999</v>
      </c>
      <c r="Y205" s="102">
        <v>61</v>
      </c>
      <c r="Z205" s="35" t="s">
        <v>1593</v>
      </c>
      <c r="AA205">
        <f>VLOOKUP(A205,Cover!A:R,18,0)</f>
        <v>0</v>
      </c>
      <c r="AB205" s="77">
        <f t="shared" si="126"/>
        <v>0.88290000000000002</v>
      </c>
      <c r="AC205" s="77">
        <f t="shared" si="127"/>
        <v>5.45E-2</v>
      </c>
      <c r="AD205" s="77">
        <f t="shared" si="128"/>
        <v>16.330645161290324</v>
      </c>
      <c r="AE205" s="77">
        <f t="shared" si="129"/>
        <v>1.1904761904761905</v>
      </c>
      <c r="AF205" s="77">
        <f t="shared" si="130"/>
        <v>1.61953999999998</v>
      </c>
      <c r="AG205" s="77">
        <f t="shared" si="131"/>
        <v>26.363819867687422</v>
      </c>
      <c r="AH205" s="77">
        <f t="shared" si="132"/>
        <v>411</v>
      </c>
      <c r="AI205" s="77">
        <f t="shared" si="133"/>
        <v>4.5235000000000003</v>
      </c>
      <c r="AJ205" s="77">
        <f t="shared" si="134"/>
        <v>406.47649999999999</v>
      </c>
      <c r="AK205" s="77">
        <f t="shared" si="135"/>
        <v>0</v>
      </c>
      <c r="AL205" s="77">
        <f t="shared" si="136"/>
        <v>406.47649999999999</v>
      </c>
      <c r="AM205" s="77">
        <f t="shared" si="137"/>
        <v>98.899391727493907</v>
      </c>
      <c r="AN205" t="s">
        <v>1580</v>
      </c>
      <c r="AO205" t="s">
        <v>1594</v>
      </c>
      <c r="AP205" t="str">
        <f t="shared" si="125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69"/>
        <v xml:space="preserve">12V101F </v>
      </c>
    </row>
    <row r="206" spans="1:53">
      <c r="A206" s="35" t="s">
        <v>222</v>
      </c>
      <c r="B206" s="35" t="s">
        <v>1632</v>
      </c>
      <c r="C206" s="35" t="s">
        <v>1900</v>
      </c>
      <c r="D206" s="35" t="s">
        <v>1629</v>
      </c>
      <c r="E206" s="35" t="s">
        <v>1419</v>
      </c>
      <c r="F206" s="35" t="s">
        <v>1587</v>
      </c>
      <c r="G206" s="102">
        <v>36.6</v>
      </c>
      <c r="H206" s="102">
        <v>18</v>
      </c>
      <c r="I206" s="102">
        <v>248</v>
      </c>
      <c r="J206" s="102">
        <v>13.516</v>
      </c>
      <c r="K206" s="103">
        <v>44413.4375</v>
      </c>
      <c r="L206" s="102">
        <v>27.12792</v>
      </c>
      <c r="M206" s="102">
        <v>13.61192</v>
      </c>
      <c r="N206" s="102">
        <v>24.6449</v>
      </c>
      <c r="O206" s="102">
        <v>11.1289</v>
      </c>
      <c r="P206" s="35" t="s">
        <v>1591</v>
      </c>
      <c r="Q206" s="35" t="s">
        <v>1598</v>
      </c>
      <c r="R206" s="35" t="s">
        <v>1904</v>
      </c>
      <c r="S206" s="102">
        <v>23.025600000000001</v>
      </c>
      <c r="T206" s="102">
        <v>9.5095999999999794</v>
      </c>
      <c r="U206" s="35" t="s">
        <v>1591</v>
      </c>
      <c r="V206" s="35" t="s">
        <v>1658</v>
      </c>
      <c r="W206" s="102">
        <v>37.5</v>
      </c>
      <c r="X206" s="102">
        <v>23.984000000000002</v>
      </c>
      <c r="Y206" s="102">
        <v>4</v>
      </c>
      <c r="Z206" s="35" t="s">
        <v>1593</v>
      </c>
      <c r="AA206">
        <f>VLOOKUP(A206,Cover!A:R,18,0)</f>
        <v>5.2</v>
      </c>
      <c r="AB206" s="77">
        <f t="shared" si="126"/>
        <v>8.4119199999999985</v>
      </c>
      <c r="AC206" s="77">
        <f t="shared" si="127"/>
        <v>5.9288999999999996</v>
      </c>
      <c r="AD206" s="77">
        <f t="shared" si="128"/>
        <v>31.008348594363294</v>
      </c>
      <c r="AE206" s="77">
        <f t="shared" si="129"/>
        <v>24.057310031690125</v>
      </c>
      <c r="AF206" s="77">
        <f t="shared" si="130"/>
        <v>4.3095999999999792</v>
      </c>
      <c r="AG206" s="77">
        <f t="shared" si="131"/>
        <v>18.71655896046131</v>
      </c>
      <c r="AH206" s="77">
        <f t="shared" si="132"/>
        <v>37.5</v>
      </c>
      <c r="AI206" s="77">
        <f t="shared" si="133"/>
        <v>13.516</v>
      </c>
      <c r="AJ206" s="77">
        <f t="shared" si="134"/>
        <v>23.984000000000002</v>
      </c>
      <c r="AK206" s="77">
        <f t="shared" si="135"/>
        <v>5.2</v>
      </c>
      <c r="AL206" s="77">
        <f t="shared" si="136"/>
        <v>18.784000000000002</v>
      </c>
      <c r="AM206" s="77">
        <f t="shared" si="137"/>
        <v>50.090666666666671</v>
      </c>
      <c r="AO206" t="s">
        <v>1594</v>
      </c>
      <c r="AP206" t="str">
        <f t="shared" si="125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69"/>
        <v>DDm85-21</v>
      </c>
    </row>
    <row r="207" spans="1:53">
      <c r="A207" s="35" t="s">
        <v>223</v>
      </c>
      <c r="B207" s="35" t="s">
        <v>1653</v>
      </c>
      <c r="C207" s="35" t="s">
        <v>1905</v>
      </c>
      <c r="D207" s="35" t="s">
        <v>1585</v>
      </c>
      <c r="E207" s="35" t="s">
        <v>1111</v>
      </c>
      <c r="F207" s="35" t="s">
        <v>1587</v>
      </c>
      <c r="G207" s="102">
        <v>36.6</v>
      </c>
      <c r="H207" s="102">
        <v>30</v>
      </c>
      <c r="I207" s="102">
        <v>368</v>
      </c>
      <c r="J207" s="102">
        <v>20.056000000000001</v>
      </c>
      <c r="K207" s="103">
        <v>45323</v>
      </c>
      <c r="L207" s="102">
        <v>46.27704</v>
      </c>
      <c r="M207" s="102">
        <v>26.221039999999999</v>
      </c>
      <c r="N207" s="102">
        <v>36.046300000000002</v>
      </c>
      <c r="O207" s="102">
        <v>15.9903</v>
      </c>
      <c r="P207" s="35" t="s">
        <v>1591</v>
      </c>
      <c r="Q207" s="35" t="s">
        <v>1598</v>
      </c>
      <c r="R207" s="35" t="s">
        <v>1609</v>
      </c>
      <c r="S207" s="102">
        <v>35.553600000000003</v>
      </c>
      <c r="T207" s="102">
        <v>15.4976</v>
      </c>
      <c r="U207" s="35" t="s">
        <v>1648</v>
      </c>
      <c r="V207" s="35" t="s">
        <v>1797</v>
      </c>
      <c r="W207" s="102">
        <v>63</v>
      </c>
      <c r="X207" s="102">
        <v>42.944000000000003</v>
      </c>
      <c r="Y207" s="102">
        <v>6</v>
      </c>
      <c r="Z207" s="35" t="s">
        <v>1593</v>
      </c>
      <c r="AA207">
        <f>VLOOKUP(A207,Cover!A:R,18,0)</f>
        <v>0.25</v>
      </c>
      <c r="AB207" s="77">
        <f t="shared" si="126"/>
        <v>25.971039999999999</v>
      </c>
      <c r="AC207" s="77">
        <f t="shared" si="127"/>
        <v>15.7403</v>
      </c>
      <c r="AD207" s="77">
        <f t="shared" si="128"/>
        <v>56.120789056517012</v>
      </c>
      <c r="AE207" s="77">
        <f t="shared" si="129"/>
        <v>43.666895076609798</v>
      </c>
      <c r="AF207" s="77">
        <f t="shared" si="130"/>
        <v>15.2476</v>
      </c>
      <c r="AG207" s="77">
        <f t="shared" si="131"/>
        <v>42.886233742855858</v>
      </c>
      <c r="AH207" s="77">
        <f t="shared" si="132"/>
        <v>63</v>
      </c>
      <c r="AI207" s="77">
        <f t="shared" si="133"/>
        <v>20.056000000000001</v>
      </c>
      <c r="AJ207" s="77">
        <f t="shared" si="134"/>
        <v>42.944000000000003</v>
      </c>
      <c r="AK207" s="77">
        <f t="shared" si="135"/>
        <v>0.25</v>
      </c>
      <c r="AL207" s="77">
        <f t="shared" si="136"/>
        <v>42.694000000000003</v>
      </c>
      <c r="AM207" s="77">
        <f t="shared" si="137"/>
        <v>67.768253968253973</v>
      </c>
      <c r="AO207" t="s">
        <v>1594</v>
      </c>
      <c r="AP207" t="str">
        <f t="shared" si="125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69"/>
        <v>DDm125-33</v>
      </c>
    </row>
    <row r="208" spans="1:53">
      <c r="A208" s="35" t="s">
        <v>224</v>
      </c>
      <c r="B208" s="35" t="s">
        <v>1653</v>
      </c>
      <c r="C208" s="35" t="s">
        <v>1905</v>
      </c>
      <c r="D208" s="35" t="s">
        <v>1585</v>
      </c>
      <c r="E208" s="35" t="s">
        <v>1528</v>
      </c>
      <c r="F208" s="35" t="s">
        <v>1587</v>
      </c>
      <c r="G208" s="102">
        <v>36.6</v>
      </c>
      <c r="H208" s="102">
        <v>26</v>
      </c>
      <c r="I208" s="102">
        <v>282</v>
      </c>
      <c r="J208" s="102">
        <v>15.369</v>
      </c>
      <c r="K208" s="103">
        <v>45323</v>
      </c>
      <c r="L208" s="102">
        <v>39.893999999999998</v>
      </c>
      <c r="M208" s="102">
        <v>24.524999999999999</v>
      </c>
      <c r="N208" s="102">
        <v>28.067499999999999</v>
      </c>
      <c r="O208" s="102">
        <v>12.698499999999999</v>
      </c>
      <c r="P208" s="35" t="s">
        <v>1591</v>
      </c>
      <c r="Q208" s="35" t="s">
        <v>1598</v>
      </c>
      <c r="R208" s="35" t="s">
        <v>1609</v>
      </c>
      <c r="S208" s="102">
        <v>35.553600000000003</v>
      </c>
      <c r="T208" s="102">
        <v>20.1846</v>
      </c>
      <c r="U208" s="35" t="s">
        <v>1634</v>
      </c>
      <c r="V208" s="35" t="s">
        <v>1627</v>
      </c>
      <c r="W208" s="102">
        <v>112.5</v>
      </c>
      <c r="X208" s="102">
        <v>97.131</v>
      </c>
      <c r="Y208" s="102">
        <v>21</v>
      </c>
      <c r="Z208" s="35" t="s">
        <v>1593</v>
      </c>
      <c r="AA208">
        <f>VLOOKUP(A208,Cover!A:R,18,0)</f>
        <v>7.2</v>
      </c>
      <c r="AB208" s="77">
        <f t="shared" si="126"/>
        <v>17.324999999999999</v>
      </c>
      <c r="AC208" s="77">
        <f t="shared" si="127"/>
        <v>5.4984999999999991</v>
      </c>
      <c r="AD208" s="77">
        <f t="shared" si="128"/>
        <v>43.427583095202287</v>
      </c>
      <c r="AE208" s="77">
        <f t="shared" si="129"/>
        <v>19.590273447938003</v>
      </c>
      <c r="AF208" s="77">
        <f t="shared" si="130"/>
        <v>12.9846</v>
      </c>
      <c r="AG208" s="77">
        <f t="shared" si="131"/>
        <v>36.521196165789121</v>
      </c>
      <c r="AH208" s="77">
        <f t="shared" si="132"/>
        <v>112.5</v>
      </c>
      <c r="AI208" s="77">
        <f t="shared" si="133"/>
        <v>15.369</v>
      </c>
      <c r="AJ208" s="77">
        <f t="shared" si="134"/>
        <v>97.131</v>
      </c>
      <c r="AK208" s="77">
        <f t="shared" si="135"/>
        <v>7.2</v>
      </c>
      <c r="AL208" s="77">
        <f t="shared" si="136"/>
        <v>89.930999999999997</v>
      </c>
      <c r="AM208" s="77">
        <f t="shared" si="137"/>
        <v>79.938666666666663</v>
      </c>
      <c r="AO208" t="s">
        <v>1594</v>
      </c>
      <c r="AP208" t="str">
        <f t="shared" si="125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69"/>
        <v>DDm125-33</v>
      </c>
    </row>
    <row r="209" spans="1:53">
      <c r="A209" s="35" t="s">
        <v>225</v>
      </c>
      <c r="B209" s="35" t="s">
        <v>1687</v>
      </c>
      <c r="C209" s="35" t="s">
        <v>1906</v>
      </c>
      <c r="D209" s="35" t="s">
        <v>1585</v>
      </c>
      <c r="E209" s="35" t="s">
        <v>275</v>
      </c>
      <c r="F209" s="35" t="s">
        <v>1587</v>
      </c>
      <c r="G209" s="102">
        <v>36.6</v>
      </c>
      <c r="H209" s="102">
        <v>37</v>
      </c>
      <c r="I209" s="102">
        <v>489</v>
      </c>
      <c r="J209" s="102">
        <v>26.650500000000001</v>
      </c>
      <c r="K209" s="103">
        <v>45323</v>
      </c>
      <c r="L209" s="102">
        <v>57.447360000000003</v>
      </c>
      <c r="M209" s="102">
        <v>30.796859999999999</v>
      </c>
      <c r="N209" s="102">
        <v>39.109200000000001</v>
      </c>
      <c r="O209" s="102">
        <v>12.4587</v>
      </c>
      <c r="P209" s="35" t="s">
        <v>1588</v>
      </c>
      <c r="Q209" s="35" t="s">
        <v>1598</v>
      </c>
      <c r="R209" s="35" t="s">
        <v>1609</v>
      </c>
      <c r="S209" s="102">
        <v>53.330399999999997</v>
      </c>
      <c r="T209" s="102">
        <v>26.6799</v>
      </c>
      <c r="U209" s="35" t="s">
        <v>1681</v>
      </c>
      <c r="V209" s="35" t="s">
        <v>1907</v>
      </c>
      <c r="W209" s="102">
        <v>84.375</v>
      </c>
      <c r="X209" s="102">
        <v>57.724499999999999</v>
      </c>
      <c r="Y209" s="102">
        <v>69</v>
      </c>
      <c r="Z209" s="35" t="s">
        <v>1593</v>
      </c>
      <c r="AA209">
        <f>VLOOKUP(A209,Cover!A:R,18,0)</f>
        <v>3.7</v>
      </c>
      <c r="AB209" s="77">
        <f t="shared" si="126"/>
        <v>27.09686</v>
      </c>
      <c r="AC209" s="77">
        <f t="shared" si="127"/>
        <v>8.758700000000001</v>
      </c>
      <c r="AD209" s="77">
        <f t="shared" si="128"/>
        <v>47.168155333856937</v>
      </c>
      <c r="AE209" s="77">
        <f t="shared" si="129"/>
        <v>22.395497734548396</v>
      </c>
      <c r="AF209" s="77">
        <f t="shared" si="130"/>
        <v>22.979900000000001</v>
      </c>
      <c r="AG209" s="77">
        <f t="shared" si="131"/>
        <v>43.089682432533792</v>
      </c>
      <c r="AH209" s="77">
        <f t="shared" si="132"/>
        <v>84.375</v>
      </c>
      <c r="AI209" s="77">
        <f t="shared" si="133"/>
        <v>26.650500000000001</v>
      </c>
      <c r="AJ209" s="77">
        <f t="shared" si="134"/>
        <v>57.724499999999999</v>
      </c>
      <c r="AK209" s="77">
        <f t="shared" si="135"/>
        <v>3.7</v>
      </c>
      <c r="AL209" s="77">
        <f t="shared" si="136"/>
        <v>54.024499999999996</v>
      </c>
      <c r="AM209" s="77">
        <f t="shared" si="137"/>
        <v>64.029037037037028</v>
      </c>
      <c r="AO209" t="s">
        <v>1594</v>
      </c>
      <c r="AP209" t="str">
        <f t="shared" ref="AP209:AP254" si="170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69"/>
        <v>DDm125-33</v>
      </c>
    </row>
    <row r="210" spans="1:53">
      <c r="A210" s="35" t="s">
        <v>226</v>
      </c>
      <c r="B210" s="35" t="s">
        <v>1624</v>
      </c>
      <c r="C210" s="35" t="s">
        <v>1908</v>
      </c>
      <c r="D210" s="35" t="s">
        <v>1580</v>
      </c>
      <c r="E210" s="35" t="s">
        <v>1498</v>
      </c>
      <c r="F210" s="35" t="s">
        <v>1587</v>
      </c>
      <c r="G210" s="102">
        <v>36.6</v>
      </c>
      <c r="H210" s="102">
        <v>35</v>
      </c>
      <c r="I210" s="102">
        <v>529</v>
      </c>
      <c r="J210" s="102">
        <v>28.830500000000001</v>
      </c>
      <c r="K210" s="103">
        <v>45323</v>
      </c>
      <c r="L210" s="102">
        <v>54.255839999999999</v>
      </c>
      <c r="M210" s="102">
        <v>25.425339999999998</v>
      </c>
      <c r="N210" s="102">
        <v>35.119799999999998</v>
      </c>
      <c r="O210" s="102">
        <v>6.2892999999999999</v>
      </c>
      <c r="P210" s="35" t="s">
        <v>1588</v>
      </c>
      <c r="Q210" s="35" t="s">
        <v>1598</v>
      </c>
      <c r="R210" s="35" t="s">
        <v>1609</v>
      </c>
      <c r="S210" s="102">
        <v>53.330399999999997</v>
      </c>
      <c r="T210" s="102">
        <v>24.4999</v>
      </c>
      <c r="U210" s="35" t="s">
        <v>1648</v>
      </c>
      <c r="V210" s="35" t="s">
        <v>1797</v>
      </c>
      <c r="W210" s="102">
        <v>63</v>
      </c>
      <c r="X210" s="102">
        <v>34.169499999999999</v>
      </c>
      <c r="Y210" s="102">
        <v>13</v>
      </c>
      <c r="Z210" s="35" t="s">
        <v>1814</v>
      </c>
      <c r="AA210">
        <f>VLOOKUP(A210,Cover!A:R,18,0)</f>
        <v>3.5</v>
      </c>
      <c r="AB210" s="77">
        <f t="shared" si="126"/>
        <v>21.925339999999998</v>
      </c>
      <c r="AC210" s="77">
        <f t="shared" si="127"/>
        <v>2.7892999999999999</v>
      </c>
      <c r="AD210" s="77">
        <f t="shared" si="128"/>
        <v>40.411023034571024</v>
      </c>
      <c r="AE210" s="77">
        <f t="shared" si="129"/>
        <v>7.9422434068531151</v>
      </c>
      <c r="AF210" s="77">
        <f t="shared" si="130"/>
        <v>20.9999</v>
      </c>
      <c r="AG210" s="77">
        <f t="shared" si="131"/>
        <v>39.376978233802859</v>
      </c>
      <c r="AH210" s="77">
        <f t="shared" si="132"/>
        <v>63</v>
      </c>
      <c r="AI210" s="77">
        <f t="shared" si="133"/>
        <v>28.830500000000001</v>
      </c>
      <c r="AJ210" s="77">
        <f t="shared" si="134"/>
        <v>34.169499999999999</v>
      </c>
      <c r="AK210" s="77">
        <f t="shared" si="135"/>
        <v>3.5</v>
      </c>
      <c r="AL210" s="77">
        <f t="shared" si="136"/>
        <v>30.669499999999999</v>
      </c>
      <c r="AM210" s="77">
        <f t="shared" si="137"/>
        <v>48.68174603174603</v>
      </c>
      <c r="AN210" t="s">
        <v>1580</v>
      </c>
      <c r="AO210" t="s">
        <v>1594</v>
      </c>
      <c r="AP210" t="str">
        <f t="shared" si="170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69"/>
        <v>DDm125-33</v>
      </c>
    </row>
    <row r="211" spans="1:53">
      <c r="A211" s="35" t="s">
        <v>227</v>
      </c>
      <c r="B211" s="35" t="s">
        <v>1607</v>
      </c>
      <c r="C211" s="35" t="s">
        <v>1607</v>
      </c>
      <c r="D211" s="35" t="s">
        <v>1580</v>
      </c>
      <c r="E211" s="35" t="s">
        <v>889</v>
      </c>
      <c r="F211" s="35" t="s">
        <v>1597</v>
      </c>
      <c r="G211" s="102">
        <v>75</v>
      </c>
      <c r="H211" s="102">
        <v>18</v>
      </c>
      <c r="I211" s="102">
        <v>570</v>
      </c>
      <c r="J211" s="102">
        <v>31.065000000000001</v>
      </c>
      <c r="K211" s="103">
        <v>44643.354166666701</v>
      </c>
      <c r="L211" s="102">
        <v>55.59</v>
      </c>
      <c r="M211" s="102">
        <v>24.524999999999999</v>
      </c>
      <c r="N211" s="102">
        <v>48.232500000000002</v>
      </c>
      <c r="O211" s="102">
        <v>17.1675</v>
      </c>
      <c r="P211" s="35" t="s">
        <v>1588</v>
      </c>
      <c r="Q211" s="35" t="s">
        <v>1598</v>
      </c>
      <c r="R211" s="35" t="s">
        <v>1605</v>
      </c>
      <c r="S211" s="102">
        <v>34.279200000000003</v>
      </c>
      <c r="T211" s="102">
        <v>3.2141999999999999</v>
      </c>
      <c r="U211" s="35" t="s">
        <v>1588</v>
      </c>
      <c r="V211" s="35" t="s">
        <v>1909</v>
      </c>
      <c r="W211" s="102">
        <v>105</v>
      </c>
      <c r="X211" s="102">
        <v>73.935000000000002</v>
      </c>
      <c r="Y211" s="102">
        <v>3</v>
      </c>
      <c r="Z211" s="35" t="s">
        <v>8</v>
      </c>
      <c r="AA211">
        <f>VLOOKUP(A211,Cover!A:R,18,0)</f>
        <v>0</v>
      </c>
      <c r="AB211" s="77">
        <f t="shared" si="126"/>
        <v>24.524999999999999</v>
      </c>
      <c r="AC211" s="77">
        <f t="shared" si="127"/>
        <v>17.1675</v>
      </c>
      <c r="AD211" s="77">
        <f t="shared" si="128"/>
        <v>44.117647058823522</v>
      </c>
      <c r="AE211" s="77">
        <f t="shared" si="129"/>
        <v>35.593220338983052</v>
      </c>
      <c r="AF211" s="77">
        <f t="shared" si="130"/>
        <v>3.2141999999999999</v>
      </c>
      <c r="AG211" s="77">
        <f t="shared" si="131"/>
        <v>9.3765315409927865</v>
      </c>
      <c r="AH211" s="77">
        <f t="shared" si="132"/>
        <v>105</v>
      </c>
      <c r="AI211" s="77">
        <f t="shared" si="133"/>
        <v>31.065000000000001</v>
      </c>
      <c r="AJ211" s="77">
        <f t="shared" si="134"/>
        <v>73.935000000000002</v>
      </c>
      <c r="AK211" s="77">
        <f t="shared" si="135"/>
        <v>0</v>
      </c>
      <c r="AL211" s="77">
        <f t="shared" si="136"/>
        <v>73.935000000000002</v>
      </c>
      <c r="AM211" s="77">
        <f t="shared" si="137"/>
        <v>70.414285714285711</v>
      </c>
      <c r="AN211" t="s">
        <v>1580</v>
      </c>
      <c r="AO211" t="s">
        <v>1594</v>
      </c>
      <c r="AP211" t="str">
        <f t="shared" si="170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69"/>
        <v>DDm100-27</v>
      </c>
    </row>
    <row r="212" spans="1:53">
      <c r="A212" s="35" t="s">
        <v>228</v>
      </c>
      <c r="B212" s="35" t="s">
        <v>1653</v>
      </c>
      <c r="C212" s="35" t="s">
        <v>1910</v>
      </c>
      <c r="D212" s="35" t="s">
        <v>1585</v>
      </c>
      <c r="E212" s="35" t="s">
        <v>1115</v>
      </c>
      <c r="F212" s="35" t="s">
        <v>1718</v>
      </c>
      <c r="G212" s="102">
        <v>60.4</v>
      </c>
      <c r="H212" s="102">
        <v>6</v>
      </c>
      <c r="I212" s="102">
        <v>91</v>
      </c>
      <c r="J212" s="102">
        <v>4.9595000000000002</v>
      </c>
      <c r="K212" s="103">
        <v>45323</v>
      </c>
      <c r="L212" s="102">
        <v>13.167199999999999</v>
      </c>
      <c r="M212" s="102">
        <v>8.2077000000000009</v>
      </c>
      <c r="N212" s="102">
        <v>13.189</v>
      </c>
      <c r="O212" s="102">
        <v>8.2294999999999998</v>
      </c>
      <c r="P212" s="35" t="s">
        <v>1591</v>
      </c>
      <c r="Q212" s="35" t="s">
        <v>1598</v>
      </c>
      <c r="R212" s="35" t="s">
        <v>1657</v>
      </c>
      <c r="S212" s="102">
        <v>5.2271999999999998</v>
      </c>
      <c r="T212" s="102">
        <v>0.26769999999999999</v>
      </c>
      <c r="U212" s="35" t="s">
        <v>1588</v>
      </c>
      <c r="V212" s="35" t="s">
        <v>1606</v>
      </c>
      <c r="W212" s="102">
        <v>45</v>
      </c>
      <c r="X212" s="102">
        <v>40.040500000000002</v>
      </c>
      <c r="Y212" s="102">
        <v>9</v>
      </c>
      <c r="Z212" s="35" t="s">
        <v>1593</v>
      </c>
      <c r="AA212">
        <f>VLOOKUP(A212,Cover!A:R,18,0)</f>
        <v>0</v>
      </c>
      <c r="AB212" s="77">
        <f t="shared" si="126"/>
        <v>8.2077000000000009</v>
      </c>
      <c r="AC212" s="77">
        <f t="shared" si="127"/>
        <v>8.2294999999999998</v>
      </c>
      <c r="AD212" s="77">
        <f t="shared" si="128"/>
        <v>62.334437086092727</v>
      </c>
      <c r="AE212" s="77">
        <f t="shared" si="129"/>
        <v>62.396694214876028</v>
      </c>
      <c r="AF212" s="77">
        <f t="shared" si="130"/>
        <v>0.26769999999999999</v>
      </c>
      <c r="AG212" s="77">
        <f t="shared" si="131"/>
        <v>5.1212886440159169</v>
      </c>
      <c r="AH212" s="77">
        <f t="shared" si="132"/>
        <v>45</v>
      </c>
      <c r="AI212" s="77">
        <f t="shared" si="133"/>
        <v>4.9595000000000002</v>
      </c>
      <c r="AJ212" s="77">
        <f t="shared" si="134"/>
        <v>40.040500000000002</v>
      </c>
      <c r="AK212" s="77">
        <f t="shared" si="135"/>
        <v>0</v>
      </c>
      <c r="AL212" s="77">
        <f t="shared" si="136"/>
        <v>40.040500000000002</v>
      </c>
      <c r="AM212" s="77">
        <f t="shared" si="137"/>
        <v>88.978888888888889</v>
      </c>
      <c r="AO212" t="s">
        <v>1594</v>
      </c>
      <c r="AP212" t="str">
        <f t="shared" si="170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69"/>
        <v>2DDm50-13</v>
      </c>
    </row>
    <row r="213" spans="1:53">
      <c r="A213" s="35" t="s">
        <v>229</v>
      </c>
      <c r="B213" s="35" t="s">
        <v>1636</v>
      </c>
      <c r="C213" s="35" t="s">
        <v>1911</v>
      </c>
      <c r="D213" s="35" t="s">
        <v>1585</v>
      </c>
      <c r="E213" s="35" t="s">
        <v>1046</v>
      </c>
      <c r="F213" s="35" t="s">
        <v>1684</v>
      </c>
      <c r="G213" s="102">
        <v>55</v>
      </c>
      <c r="H213" s="102">
        <v>15</v>
      </c>
      <c r="I213" s="102">
        <v>258</v>
      </c>
      <c r="J213" s="102">
        <v>14.061</v>
      </c>
      <c r="K213" s="103">
        <v>45323</v>
      </c>
      <c r="L213" s="102">
        <v>33.572000000000003</v>
      </c>
      <c r="M213" s="102">
        <v>19.510999999999999</v>
      </c>
      <c r="N213" s="102">
        <v>20.164999999999999</v>
      </c>
      <c r="O213" s="102">
        <v>6.1040000000000001</v>
      </c>
      <c r="P213" s="35" t="s">
        <v>1591</v>
      </c>
      <c r="Q213" s="35" t="s">
        <v>1598</v>
      </c>
      <c r="R213" s="35" t="s">
        <v>1609</v>
      </c>
      <c r="S213" s="102">
        <v>35.553600000000003</v>
      </c>
      <c r="T213" s="102">
        <v>21.492599999999999</v>
      </c>
      <c r="U213" s="35" t="s">
        <v>1588</v>
      </c>
      <c r="V213" s="35" t="s">
        <v>1606</v>
      </c>
      <c r="W213" s="102">
        <v>45</v>
      </c>
      <c r="X213" s="102">
        <v>30.939</v>
      </c>
      <c r="Y213" s="102">
        <v>38</v>
      </c>
      <c r="Z213" s="35" t="s">
        <v>1593</v>
      </c>
      <c r="AA213">
        <f>VLOOKUP(A213,Cover!A:R,18,0)</f>
        <v>2</v>
      </c>
      <c r="AB213" s="77">
        <f t="shared" ref="AB213:AB267" si="171">M213-AA213</f>
        <v>17.510999999999999</v>
      </c>
      <c r="AC213" s="77">
        <f t="shared" ref="AC213:AC267" si="172">O213-AA213</f>
        <v>4.1040000000000001</v>
      </c>
      <c r="AD213" s="77">
        <f t="shared" ref="AD213:AD267" si="173">AB213/L213%</f>
        <v>52.159537709996421</v>
      </c>
      <c r="AE213" s="77">
        <f t="shared" ref="AE213:AE267" si="174">AC213/N213%</f>
        <v>20.352095214480535</v>
      </c>
      <c r="AF213" s="77">
        <f t="shared" ref="AF213:AF267" si="175">T213-AA213</f>
        <v>19.492599999999999</v>
      </c>
      <c r="AG213" s="77">
        <f t="shared" ref="AG213:AG267" si="176">AF213/S213%</f>
        <v>54.825952927411002</v>
      </c>
      <c r="AH213" s="77">
        <f t="shared" ref="AH213:AH267" si="177">W213</f>
        <v>45</v>
      </c>
      <c r="AI213" s="77">
        <f t="shared" ref="AI213:AI267" si="178">J213</f>
        <v>14.061</v>
      </c>
      <c r="AJ213" s="77">
        <f t="shared" ref="AJ213:AJ267" si="179">AH213-AI213</f>
        <v>30.939</v>
      </c>
      <c r="AK213" s="77">
        <f t="shared" ref="AK213:AK267" si="180">AA213</f>
        <v>2</v>
      </c>
      <c r="AL213" s="77">
        <f t="shared" ref="AL213:AL267" si="181">AJ213-AK213</f>
        <v>28.939</v>
      </c>
      <c r="AM213" s="77">
        <f t="shared" ref="AM213:AM267" si="182">AL213/AH213%</f>
        <v>64.308888888888887</v>
      </c>
      <c r="AO213" t="s">
        <v>1594</v>
      </c>
      <c r="AP213" t="str">
        <f t="shared" si="170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69"/>
        <v>DDm125-33</v>
      </c>
    </row>
    <row r="214" spans="1:53">
      <c r="A214" s="35" t="s">
        <v>230</v>
      </c>
      <c r="B214" s="35" t="s">
        <v>1583</v>
      </c>
      <c r="C214" s="35" t="s">
        <v>1912</v>
      </c>
      <c r="D214" s="35" t="s">
        <v>1585</v>
      </c>
      <c r="E214" s="35" t="s">
        <v>1311</v>
      </c>
      <c r="F214" s="35" t="s">
        <v>1587</v>
      </c>
      <c r="G214" s="102">
        <v>36.6</v>
      </c>
      <c r="H214" s="102">
        <v>10</v>
      </c>
      <c r="I214" s="102">
        <v>130</v>
      </c>
      <c r="J214" s="102">
        <v>7.085</v>
      </c>
      <c r="K214" s="103">
        <v>44231</v>
      </c>
      <c r="L214" s="102">
        <v>14.361840000000001</v>
      </c>
      <c r="M214" s="102">
        <v>7.27684</v>
      </c>
      <c r="N214" s="102">
        <v>8.6873000000000005</v>
      </c>
      <c r="O214" s="102">
        <v>1.6023000000000001</v>
      </c>
      <c r="P214" s="35" t="s">
        <v>1591</v>
      </c>
      <c r="Q214" s="35" t="s">
        <v>1598</v>
      </c>
      <c r="R214" s="35" t="s">
        <v>1781</v>
      </c>
      <c r="S214" s="102">
        <v>14.428800000000001</v>
      </c>
      <c r="T214" s="102">
        <v>7.3437999999999999</v>
      </c>
      <c r="U214" s="35" t="s">
        <v>1588</v>
      </c>
      <c r="V214" s="35" t="s">
        <v>1769</v>
      </c>
      <c r="W214" s="102">
        <v>19.5</v>
      </c>
      <c r="X214" s="102">
        <v>12.414999999999999</v>
      </c>
      <c r="Y214" s="102">
        <v>30</v>
      </c>
      <c r="Z214" s="35" t="s">
        <v>1593</v>
      </c>
      <c r="AA214">
        <f>VLOOKUP(A214,Cover!A:R,18,0)</f>
        <v>2</v>
      </c>
      <c r="AB214" s="77">
        <f t="shared" si="171"/>
        <v>5.27684</v>
      </c>
      <c r="AC214" s="77">
        <f t="shared" si="172"/>
        <v>-0.39769999999999994</v>
      </c>
      <c r="AD214" s="77">
        <f t="shared" si="173"/>
        <v>36.742088757429407</v>
      </c>
      <c r="AE214" s="77">
        <f t="shared" si="174"/>
        <v>-4.577947118207037</v>
      </c>
      <c r="AF214" s="77">
        <f t="shared" si="175"/>
        <v>5.3437999999999999</v>
      </c>
      <c r="AG214" s="77">
        <f t="shared" si="176"/>
        <v>37.035650920381457</v>
      </c>
      <c r="AH214" s="77">
        <f t="shared" si="177"/>
        <v>19.5</v>
      </c>
      <c r="AI214" s="77">
        <f t="shared" si="178"/>
        <v>7.085</v>
      </c>
      <c r="AJ214" s="77">
        <f t="shared" si="179"/>
        <v>12.414999999999999</v>
      </c>
      <c r="AK214" s="77">
        <f t="shared" si="180"/>
        <v>2</v>
      </c>
      <c r="AL214" s="77">
        <f t="shared" si="181"/>
        <v>10.414999999999999</v>
      </c>
      <c r="AM214" s="77">
        <f t="shared" si="182"/>
        <v>53.410256410256402</v>
      </c>
      <c r="AO214" t="s">
        <v>1594</v>
      </c>
      <c r="AP214" t="str">
        <f t="shared" si="170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69"/>
        <v>DDm85-21</v>
      </c>
    </row>
    <row r="215" spans="1:53">
      <c r="A215" s="35" t="s">
        <v>231</v>
      </c>
      <c r="B215" s="35" t="s">
        <v>1636</v>
      </c>
      <c r="C215" s="35" t="s">
        <v>1913</v>
      </c>
      <c r="D215" s="35" t="s">
        <v>1585</v>
      </c>
      <c r="E215" s="35" t="s">
        <v>1050</v>
      </c>
      <c r="F215" s="35" t="s">
        <v>1587</v>
      </c>
      <c r="G215" s="102">
        <v>36.6</v>
      </c>
      <c r="H215" s="102">
        <v>12</v>
      </c>
      <c r="I215" s="102">
        <v>212</v>
      </c>
      <c r="J215" s="102">
        <v>11.554</v>
      </c>
      <c r="K215" s="103">
        <v>45323</v>
      </c>
      <c r="L215" s="102">
        <v>17.553360000000001</v>
      </c>
      <c r="M215" s="102">
        <v>5.9993600000000002</v>
      </c>
      <c r="N215" s="102">
        <v>8.8617000000000008</v>
      </c>
      <c r="O215" s="104">
        <v>-2.6922999999999999</v>
      </c>
      <c r="P215" s="35" t="s">
        <v>1591</v>
      </c>
      <c r="Q215" s="35" t="s">
        <v>1598</v>
      </c>
      <c r="R215" s="35" t="s">
        <v>1602</v>
      </c>
      <c r="S215" s="102">
        <v>21.1248</v>
      </c>
      <c r="T215" s="102">
        <v>9.5708000000000109</v>
      </c>
      <c r="U215" s="35" t="s">
        <v>1608</v>
      </c>
      <c r="V215" s="35" t="s">
        <v>1914</v>
      </c>
      <c r="W215" s="102">
        <v>18</v>
      </c>
      <c r="X215" s="102">
        <v>6.4459999999999997</v>
      </c>
      <c r="Y215" s="102">
        <v>22</v>
      </c>
      <c r="Z215" s="35" t="s">
        <v>1593</v>
      </c>
      <c r="AA215">
        <f>VLOOKUP(A215,Cover!A:R,18,0)</f>
        <v>1</v>
      </c>
      <c r="AB215" s="77">
        <f t="shared" si="171"/>
        <v>4.9993600000000002</v>
      </c>
      <c r="AC215" s="77">
        <f t="shared" si="172"/>
        <v>-3.6922999999999999</v>
      </c>
      <c r="AD215" s="77">
        <f t="shared" si="173"/>
        <v>28.480929007323954</v>
      </c>
      <c r="AE215" s="77">
        <f t="shared" si="174"/>
        <v>-41.665820327928046</v>
      </c>
      <c r="AF215" s="77">
        <f t="shared" si="175"/>
        <v>8.5708000000000109</v>
      </c>
      <c r="AG215" s="77">
        <f t="shared" si="176"/>
        <v>40.572218435204171</v>
      </c>
      <c r="AH215" s="77">
        <f t="shared" si="177"/>
        <v>18</v>
      </c>
      <c r="AI215" s="77">
        <f t="shared" si="178"/>
        <v>11.554</v>
      </c>
      <c r="AJ215" s="77">
        <f t="shared" si="179"/>
        <v>6.4459999999999997</v>
      </c>
      <c r="AK215" s="77">
        <f t="shared" si="180"/>
        <v>1</v>
      </c>
      <c r="AL215" s="77">
        <f t="shared" si="181"/>
        <v>5.4459999999999997</v>
      </c>
      <c r="AM215" s="77">
        <f t="shared" si="182"/>
        <v>30.255555555555556</v>
      </c>
      <c r="AO215" t="s">
        <v>1594</v>
      </c>
      <c r="AP215" t="str">
        <f t="shared" si="170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69"/>
        <v>DDm100-25</v>
      </c>
    </row>
    <row r="216" spans="1:53">
      <c r="A216" s="35" t="s">
        <v>232</v>
      </c>
      <c r="B216" s="35" t="s">
        <v>1607</v>
      </c>
      <c r="C216" s="35" t="s">
        <v>1607</v>
      </c>
      <c r="D216" s="35" t="s">
        <v>1680</v>
      </c>
      <c r="E216" s="35" t="s">
        <v>892</v>
      </c>
      <c r="F216" s="35" t="s">
        <v>1587</v>
      </c>
      <c r="G216" s="102">
        <v>36.6</v>
      </c>
      <c r="H216" s="102">
        <v>29</v>
      </c>
      <c r="I216" s="102">
        <v>223</v>
      </c>
      <c r="J216" s="102">
        <v>12.153499999999999</v>
      </c>
      <c r="K216" s="103">
        <v>45323</v>
      </c>
      <c r="L216" s="102">
        <v>44.681280000000001</v>
      </c>
      <c r="M216" s="102">
        <v>32.52778</v>
      </c>
      <c r="N216" s="102">
        <v>31.326599999999999</v>
      </c>
      <c r="O216" s="102">
        <v>19.173100000000002</v>
      </c>
      <c r="P216" s="35" t="s">
        <v>1588</v>
      </c>
      <c r="Q216" s="35" t="s">
        <v>1598</v>
      </c>
      <c r="R216" s="35" t="s">
        <v>1789</v>
      </c>
      <c r="S216" s="102">
        <v>39.9816</v>
      </c>
      <c r="T216" s="102">
        <v>27.828099999999999</v>
      </c>
      <c r="U216" s="35" t="s">
        <v>1634</v>
      </c>
      <c r="V216" s="35" t="s">
        <v>1915</v>
      </c>
      <c r="W216" s="102">
        <v>187.5</v>
      </c>
      <c r="X216" s="102">
        <v>175.34649999999999</v>
      </c>
      <c r="Y216" s="102">
        <v>104</v>
      </c>
      <c r="Z216" s="35" t="s">
        <v>1593</v>
      </c>
      <c r="AA216">
        <f>VLOOKUP(A216,Cover!A:R,18,0)</f>
        <v>4</v>
      </c>
      <c r="AB216" s="77">
        <f t="shared" si="171"/>
        <v>28.52778</v>
      </c>
      <c r="AC216" s="77">
        <f t="shared" si="172"/>
        <v>15.173100000000002</v>
      </c>
      <c r="AD216" s="77">
        <f t="shared" si="173"/>
        <v>63.847275637582449</v>
      </c>
      <c r="AE216" s="77">
        <f t="shared" si="174"/>
        <v>48.435195648426586</v>
      </c>
      <c r="AF216" s="77">
        <f t="shared" si="175"/>
        <v>23.828099999999999</v>
      </c>
      <c r="AG216" s="77">
        <f t="shared" si="176"/>
        <v>59.597664925865892</v>
      </c>
      <c r="AH216" s="345">
        <f>AVERAGE(W216:W218)</f>
        <v>187.5</v>
      </c>
      <c r="AI216" s="345">
        <f>SUM(J216:J218)</f>
        <v>97.936499999999995</v>
      </c>
      <c r="AJ216" s="345">
        <f t="shared" si="179"/>
        <v>89.563500000000005</v>
      </c>
      <c r="AK216" s="345">
        <f t="shared" si="180"/>
        <v>4</v>
      </c>
      <c r="AL216" s="345">
        <f t="shared" si="181"/>
        <v>85.563500000000005</v>
      </c>
      <c r="AM216" s="346">
        <f t="shared" si="182"/>
        <v>45.63386666666667</v>
      </c>
      <c r="AN216" t="s">
        <v>1580</v>
      </c>
      <c r="AO216" t="s">
        <v>1594</v>
      </c>
      <c r="AP216" t="str">
        <f t="shared" si="170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69"/>
        <v>DDm125-25</v>
      </c>
    </row>
    <row r="217" spans="1:53">
      <c r="A217" s="35" t="s">
        <v>233</v>
      </c>
      <c r="B217" s="35" t="s">
        <v>1607</v>
      </c>
      <c r="C217" s="35" t="s">
        <v>1607</v>
      </c>
      <c r="D217" s="35" t="s">
        <v>1680</v>
      </c>
      <c r="E217" s="35" t="s">
        <v>892</v>
      </c>
      <c r="F217" s="35" t="s">
        <v>1587</v>
      </c>
      <c r="G217" s="102">
        <v>36.6</v>
      </c>
      <c r="H217" s="102">
        <v>45</v>
      </c>
      <c r="I217" s="102">
        <v>795</v>
      </c>
      <c r="J217" s="102">
        <v>43.327500000000001</v>
      </c>
      <c r="K217" s="103">
        <v>45323</v>
      </c>
      <c r="L217" s="102">
        <v>70.213440000000006</v>
      </c>
      <c r="M217" s="102">
        <v>26.885940000000002</v>
      </c>
      <c r="N217" s="102">
        <v>52.886800000000001</v>
      </c>
      <c r="O217" s="102">
        <v>9.5593000000000004</v>
      </c>
      <c r="P217" s="35" t="s">
        <v>1603</v>
      </c>
      <c r="Q217" s="35" t="s">
        <v>1598</v>
      </c>
      <c r="R217" s="35" t="s">
        <v>1661</v>
      </c>
      <c r="S217" s="102">
        <v>56.246400000000101</v>
      </c>
      <c r="T217" s="102">
        <v>12.9189000000001</v>
      </c>
      <c r="U217" s="35" t="s">
        <v>1634</v>
      </c>
      <c r="V217" s="35" t="s">
        <v>1915</v>
      </c>
      <c r="W217" s="102">
        <v>187.5</v>
      </c>
      <c r="X217" s="102">
        <v>144.17250000000001</v>
      </c>
      <c r="Y217" s="102">
        <v>104</v>
      </c>
      <c r="Z217" s="35" t="s">
        <v>1593</v>
      </c>
      <c r="AA217">
        <f>VLOOKUP(A217,Cover!A:R,18,0)</f>
        <v>0</v>
      </c>
      <c r="AB217" s="77">
        <f t="shared" si="171"/>
        <v>26.885940000000002</v>
      </c>
      <c r="AC217" s="77">
        <f t="shared" si="172"/>
        <v>9.5593000000000004</v>
      </c>
      <c r="AD217" s="77">
        <f t="shared" si="173"/>
        <v>38.29172876304024</v>
      </c>
      <c r="AE217" s="77">
        <f t="shared" si="174"/>
        <v>18.07502061005771</v>
      </c>
      <c r="AF217" s="77">
        <f t="shared" si="175"/>
        <v>12.9189000000001</v>
      </c>
      <c r="AG217" s="77">
        <f t="shared" si="176"/>
        <v>22.968403311145387</v>
      </c>
      <c r="AH217" s="345"/>
      <c r="AI217" s="345"/>
      <c r="AJ217" s="345"/>
      <c r="AK217" s="345"/>
      <c r="AL217" s="345"/>
      <c r="AM217" s="346"/>
      <c r="AN217" t="s">
        <v>1580</v>
      </c>
      <c r="AO217" t="s">
        <v>1594</v>
      </c>
      <c r="AP217" t="str">
        <f t="shared" si="170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69"/>
        <v>DDm100-33</v>
      </c>
    </row>
    <row r="218" spans="1:53">
      <c r="A218" s="35" t="s">
        <v>234</v>
      </c>
      <c r="B218" s="35" t="s">
        <v>1607</v>
      </c>
      <c r="C218" s="35" t="s">
        <v>1607</v>
      </c>
      <c r="D218" s="35" t="s">
        <v>1680</v>
      </c>
      <c r="E218" s="35" t="s">
        <v>892</v>
      </c>
      <c r="F218" s="35" t="s">
        <v>1587</v>
      </c>
      <c r="G218" s="102">
        <v>36.6</v>
      </c>
      <c r="H218" s="102">
        <v>63</v>
      </c>
      <c r="I218" s="102">
        <v>779</v>
      </c>
      <c r="J218" s="102">
        <v>42.455500000000001</v>
      </c>
      <c r="K218" s="103">
        <v>45323</v>
      </c>
      <c r="L218" s="102">
        <v>98.937119999999993</v>
      </c>
      <c r="M218" s="102">
        <v>56.481619999999999</v>
      </c>
      <c r="N218" s="102">
        <v>90.971400000000003</v>
      </c>
      <c r="O218" s="102">
        <v>48.515900000000002</v>
      </c>
      <c r="P218" s="35" t="s">
        <v>1588</v>
      </c>
      <c r="Q218" s="35" t="s">
        <v>1598</v>
      </c>
      <c r="R218" s="35" t="s">
        <v>1609</v>
      </c>
      <c r="S218" s="102">
        <v>53.330399999999997</v>
      </c>
      <c r="T218" s="102">
        <v>10.8749</v>
      </c>
      <c r="U218" s="35" t="s">
        <v>1634</v>
      </c>
      <c r="V218" s="35" t="s">
        <v>1915</v>
      </c>
      <c r="W218" s="102">
        <v>187.5</v>
      </c>
      <c r="X218" s="102">
        <v>145.0445</v>
      </c>
      <c r="Y218" s="102">
        <v>104</v>
      </c>
      <c r="Z218" s="35" t="s">
        <v>1593</v>
      </c>
      <c r="AA218">
        <f>VLOOKUP(A218,Cover!A:R,18,0)</f>
        <v>0</v>
      </c>
      <c r="AB218" s="77">
        <f t="shared" si="171"/>
        <v>56.481619999999999</v>
      </c>
      <c r="AC218" s="77">
        <f t="shared" si="172"/>
        <v>48.515900000000002</v>
      </c>
      <c r="AD218" s="77">
        <f t="shared" si="173"/>
        <v>57.088401198660328</v>
      </c>
      <c r="AE218" s="77">
        <f t="shared" si="174"/>
        <v>53.330936975796789</v>
      </c>
      <c r="AF218" s="77">
        <f t="shared" si="175"/>
        <v>10.8749</v>
      </c>
      <c r="AG218" s="77">
        <f t="shared" si="176"/>
        <v>20.391559035746965</v>
      </c>
      <c r="AH218" s="345"/>
      <c r="AI218" s="345"/>
      <c r="AJ218" s="345"/>
      <c r="AK218" s="345"/>
      <c r="AL218" s="345"/>
      <c r="AM218" s="346"/>
      <c r="AN218" t="s">
        <v>1580</v>
      </c>
      <c r="AO218" t="s">
        <v>1594</v>
      </c>
      <c r="AP218" t="str">
        <f t="shared" si="170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69"/>
        <v>DDm125-33</v>
      </c>
    </row>
    <row r="219" spans="1:53">
      <c r="A219" s="35" t="s">
        <v>235</v>
      </c>
      <c r="B219" s="35" t="s">
        <v>1607</v>
      </c>
      <c r="C219" s="35" t="s">
        <v>1607</v>
      </c>
      <c r="D219" s="35" t="s">
        <v>1680</v>
      </c>
      <c r="E219" s="35" t="s">
        <v>904</v>
      </c>
      <c r="F219" s="35" t="s">
        <v>1587</v>
      </c>
      <c r="G219" s="102">
        <v>36.6</v>
      </c>
      <c r="H219" s="102">
        <v>63</v>
      </c>
      <c r="I219" s="102">
        <v>856</v>
      </c>
      <c r="J219" s="102">
        <v>46.652000000000001</v>
      </c>
      <c r="K219" s="103">
        <v>45323</v>
      </c>
      <c r="L219" s="102">
        <v>98.937119999999993</v>
      </c>
      <c r="M219" s="102">
        <v>52.285119999999999</v>
      </c>
      <c r="N219" s="102">
        <v>79.390150000000006</v>
      </c>
      <c r="O219" s="102">
        <v>32.738149999999997</v>
      </c>
      <c r="P219" s="35" t="s">
        <v>1608</v>
      </c>
      <c r="Q219" s="35" t="s">
        <v>1598</v>
      </c>
      <c r="R219" s="35" t="s">
        <v>1782</v>
      </c>
      <c r="S219" s="102">
        <v>72.144000000000005</v>
      </c>
      <c r="T219" s="102">
        <v>25.492000000000001</v>
      </c>
      <c r="U219" s="35" t="s">
        <v>1638</v>
      </c>
      <c r="V219" s="35" t="s">
        <v>1916</v>
      </c>
      <c r="W219" s="102">
        <v>373.5</v>
      </c>
      <c r="X219" s="102">
        <v>326.84800000000001</v>
      </c>
      <c r="Y219" s="102">
        <v>94</v>
      </c>
      <c r="Z219" s="35" t="s">
        <v>1593</v>
      </c>
      <c r="AA219">
        <f>VLOOKUP(A219,Cover!A:R,18,0)</f>
        <v>14.249999999999998</v>
      </c>
      <c r="AB219" s="77">
        <f t="shared" si="171"/>
        <v>38.035119999999999</v>
      </c>
      <c r="AC219" s="77">
        <f t="shared" si="172"/>
        <v>18.488149999999997</v>
      </c>
      <c r="AD219" s="77">
        <f t="shared" si="173"/>
        <v>38.443730725131282</v>
      </c>
      <c r="AE219" s="77">
        <f t="shared" si="174"/>
        <v>23.287712644452739</v>
      </c>
      <c r="AF219" s="77">
        <f t="shared" si="175"/>
        <v>11.242000000000003</v>
      </c>
      <c r="AG219" s="77">
        <f t="shared" si="176"/>
        <v>15.58272344200488</v>
      </c>
      <c r="AH219" s="345">
        <f>AVERAGE(W219:W222)</f>
        <v>373.5</v>
      </c>
      <c r="AI219" s="345">
        <f>SUM(J219:J222)</f>
        <v>189.87799999999999</v>
      </c>
      <c r="AJ219" s="345">
        <f t="shared" si="179"/>
        <v>183.62200000000001</v>
      </c>
      <c r="AK219" s="345">
        <f>SUM(AA219:AA222)</f>
        <v>45.16</v>
      </c>
      <c r="AL219" s="345">
        <f t="shared" si="181"/>
        <v>138.46200000000002</v>
      </c>
      <c r="AM219" s="346">
        <f t="shared" si="182"/>
        <v>37.071485943775109</v>
      </c>
      <c r="AN219" t="s">
        <v>1580</v>
      </c>
      <c r="AO219" s="52" t="s">
        <v>1651</v>
      </c>
      <c r="AP219" t="str">
        <f t="shared" si="170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69"/>
        <v>DDm125-27</v>
      </c>
    </row>
    <row r="220" spans="1:53">
      <c r="A220" s="35" t="s">
        <v>236</v>
      </c>
      <c r="B220" s="35" t="s">
        <v>1607</v>
      </c>
      <c r="C220" s="35" t="s">
        <v>1607</v>
      </c>
      <c r="D220" s="35" t="s">
        <v>1680</v>
      </c>
      <c r="E220" s="35" t="s">
        <v>904</v>
      </c>
      <c r="F220" s="35" t="s">
        <v>1587</v>
      </c>
      <c r="G220" s="102">
        <v>36.6</v>
      </c>
      <c r="H220" s="102">
        <v>64</v>
      </c>
      <c r="I220" s="102">
        <v>756</v>
      </c>
      <c r="J220" s="102">
        <v>41.201999999999998</v>
      </c>
      <c r="K220" s="103">
        <v>45323</v>
      </c>
      <c r="L220" s="102">
        <v>100.53288000000001</v>
      </c>
      <c r="M220" s="102">
        <v>59.330880000000001</v>
      </c>
      <c r="N220" s="102">
        <v>71.1661</v>
      </c>
      <c r="O220" s="102">
        <v>29.964099999999998</v>
      </c>
      <c r="P220" s="35" t="s">
        <v>1608</v>
      </c>
      <c r="Q220" s="35" t="s">
        <v>1598</v>
      </c>
      <c r="R220" s="35" t="s">
        <v>1609</v>
      </c>
      <c r="S220" s="102">
        <v>88.884000000000199</v>
      </c>
      <c r="T220" s="102">
        <v>47.682000000000201</v>
      </c>
      <c r="U220" s="35" t="s">
        <v>1638</v>
      </c>
      <c r="V220" s="35" t="s">
        <v>1916</v>
      </c>
      <c r="W220" s="102">
        <v>373.5</v>
      </c>
      <c r="X220" s="102">
        <v>332.298</v>
      </c>
      <c r="Y220" s="102">
        <v>94</v>
      </c>
      <c r="Z220" s="35" t="s">
        <v>1593</v>
      </c>
      <c r="AA220">
        <f>VLOOKUP(A220,Cover!A:R,18,0)</f>
        <v>13.85</v>
      </c>
      <c r="AB220" s="77">
        <f t="shared" si="171"/>
        <v>45.480879999999999</v>
      </c>
      <c r="AC220" s="77">
        <f t="shared" si="172"/>
        <v>16.114100000000001</v>
      </c>
      <c r="AD220" s="77">
        <f t="shared" si="173"/>
        <v>45.239806121141662</v>
      </c>
      <c r="AE220" s="77">
        <f t="shared" si="174"/>
        <v>22.642943761144704</v>
      </c>
      <c r="AF220" s="77">
        <f t="shared" si="175"/>
        <v>33.8320000000002</v>
      </c>
      <c r="AG220" s="77">
        <f t="shared" si="176"/>
        <v>38.063093470140998</v>
      </c>
      <c r="AH220" s="345"/>
      <c r="AI220" s="345"/>
      <c r="AJ220" s="345"/>
      <c r="AK220" s="345"/>
      <c r="AL220" s="345"/>
      <c r="AM220" s="346"/>
      <c r="AN220" t="s">
        <v>1580</v>
      </c>
      <c r="AO220" s="52" t="s">
        <v>1651</v>
      </c>
      <c r="AP220" t="str">
        <f t="shared" si="170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69"/>
        <v>DDm125-33</v>
      </c>
    </row>
    <row r="221" spans="1:53">
      <c r="A221" s="35" t="s">
        <v>237</v>
      </c>
      <c r="B221" s="35" t="s">
        <v>1607</v>
      </c>
      <c r="C221" s="35" t="s">
        <v>1607</v>
      </c>
      <c r="D221" s="35" t="s">
        <v>1680</v>
      </c>
      <c r="E221" s="35" t="s">
        <v>904</v>
      </c>
      <c r="F221" s="35" t="s">
        <v>1587</v>
      </c>
      <c r="G221" s="102">
        <v>36.6</v>
      </c>
      <c r="H221" s="102">
        <v>72</v>
      </c>
      <c r="I221" s="102">
        <v>802</v>
      </c>
      <c r="J221" s="102">
        <v>43.709000000000003</v>
      </c>
      <c r="K221" s="103">
        <v>45337</v>
      </c>
      <c r="L221" s="102">
        <v>113.29895999999999</v>
      </c>
      <c r="M221" s="102">
        <v>69.589960000000005</v>
      </c>
      <c r="N221" s="102">
        <v>76.223699999999994</v>
      </c>
      <c r="O221" s="102">
        <v>32.514699999999998</v>
      </c>
      <c r="P221" s="35" t="s">
        <v>1634</v>
      </c>
      <c r="Q221" s="35" t="s">
        <v>1598</v>
      </c>
      <c r="R221" s="35" t="s">
        <v>1609</v>
      </c>
      <c r="S221" s="102">
        <v>106.66079999999999</v>
      </c>
      <c r="T221" s="102">
        <v>62.951800000000098</v>
      </c>
      <c r="U221" s="35" t="s">
        <v>1638</v>
      </c>
      <c r="V221" s="35" t="s">
        <v>1916</v>
      </c>
      <c r="W221" s="102">
        <v>373.5</v>
      </c>
      <c r="X221" s="102">
        <v>329.791</v>
      </c>
      <c r="Y221" s="102">
        <v>94</v>
      </c>
      <c r="Z221" s="35" t="s">
        <v>1593</v>
      </c>
      <c r="AA221">
        <f>VLOOKUP(A221,Cover!A:R,18,0)</f>
        <v>8.5299999999999994</v>
      </c>
      <c r="AB221" s="77">
        <f t="shared" si="171"/>
        <v>61.059960000000004</v>
      </c>
      <c r="AC221" s="77">
        <f t="shared" si="172"/>
        <v>23.984699999999997</v>
      </c>
      <c r="AD221" s="77">
        <f t="shared" si="173"/>
        <v>53.892780657474709</v>
      </c>
      <c r="AE221" s="77">
        <f t="shared" si="174"/>
        <v>31.466197521243391</v>
      </c>
      <c r="AF221" s="77">
        <f t="shared" si="175"/>
        <v>54.421800000000097</v>
      </c>
      <c r="AG221" s="77">
        <f t="shared" si="176"/>
        <v>51.023243778407902</v>
      </c>
      <c r="AH221" s="345">
        <f>AVERAGE(W221:W222)</f>
        <v>373.5</v>
      </c>
      <c r="AI221" s="345">
        <f>SUM(J221:J222)</f>
        <v>102.024</v>
      </c>
      <c r="AJ221" s="345">
        <f>AH221-AI221</f>
        <v>271.476</v>
      </c>
      <c r="AK221" s="345">
        <f>SUM(AA221:AA222)</f>
        <v>17.059999999999999</v>
      </c>
      <c r="AL221" s="345">
        <f>AJ221-AK221</f>
        <v>254.416</v>
      </c>
      <c r="AM221" s="346">
        <f t="shared" si="182"/>
        <v>68.116733601070948</v>
      </c>
      <c r="AN221" t="s">
        <v>1580</v>
      </c>
      <c r="AO221" t="s">
        <v>1594</v>
      </c>
      <c r="AP221" t="str">
        <f t="shared" si="170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69"/>
        <v>DDm125-33</v>
      </c>
    </row>
    <row r="222" spans="1:53">
      <c r="A222" s="35" t="s">
        <v>238</v>
      </c>
      <c r="B222" s="35" t="s">
        <v>1607</v>
      </c>
      <c r="C222" s="35" t="s">
        <v>1607</v>
      </c>
      <c r="D222" s="35" t="s">
        <v>1680</v>
      </c>
      <c r="E222" s="35" t="s">
        <v>904</v>
      </c>
      <c r="F222" s="35" t="s">
        <v>1587</v>
      </c>
      <c r="G222" s="102">
        <v>36.6</v>
      </c>
      <c r="H222" s="102">
        <v>72</v>
      </c>
      <c r="I222" s="102">
        <v>1070</v>
      </c>
      <c r="J222" s="102">
        <v>58.314999999999998</v>
      </c>
      <c r="K222" s="103">
        <v>45337</v>
      </c>
      <c r="L222" s="102">
        <v>113.29895999999999</v>
      </c>
      <c r="M222" s="102">
        <v>54.983960000000003</v>
      </c>
      <c r="N222" s="102">
        <v>65.323700000000002</v>
      </c>
      <c r="O222" s="104">
        <v>7.0087000000000099</v>
      </c>
      <c r="P222" s="35" t="s">
        <v>1638</v>
      </c>
      <c r="Q222" s="35" t="s">
        <v>1598</v>
      </c>
      <c r="R222" s="35" t="s">
        <v>1609</v>
      </c>
      <c r="S222" s="102">
        <v>124.4376</v>
      </c>
      <c r="T222" s="102">
        <v>66.122600000000006</v>
      </c>
      <c r="U222" s="35" t="s">
        <v>1638</v>
      </c>
      <c r="V222" s="35" t="s">
        <v>1916</v>
      </c>
      <c r="W222" s="102">
        <v>373.5</v>
      </c>
      <c r="X222" s="102">
        <v>315.185</v>
      </c>
      <c r="Y222" s="102">
        <v>94</v>
      </c>
      <c r="Z222" s="35" t="s">
        <v>1593</v>
      </c>
      <c r="AA222">
        <f>VLOOKUP(A222,Cover!A:R,18,0)</f>
        <v>8.5299999999999994</v>
      </c>
      <c r="AB222" s="77">
        <f t="shared" si="171"/>
        <v>46.453960000000002</v>
      </c>
      <c r="AC222" s="77">
        <f t="shared" si="172"/>
        <v>-1.5212999999999894</v>
      </c>
      <c r="AD222" s="77">
        <f t="shared" si="173"/>
        <v>41.001223665248126</v>
      </c>
      <c r="AE222" s="77">
        <f t="shared" si="174"/>
        <v>-2.3288637967536885</v>
      </c>
      <c r="AF222" s="77">
        <f t="shared" si="175"/>
        <v>57.592600000000004</v>
      </c>
      <c r="AG222" s="77">
        <f t="shared" si="176"/>
        <v>46.282313384379002</v>
      </c>
      <c r="AH222" s="345"/>
      <c r="AI222" s="345"/>
      <c r="AJ222" s="345"/>
      <c r="AK222" s="345"/>
      <c r="AL222" s="345"/>
      <c r="AM222" s="346"/>
      <c r="AN222" t="s">
        <v>1580</v>
      </c>
      <c r="AO222" t="s">
        <v>1594</v>
      </c>
      <c r="AP222" t="str">
        <f t="shared" si="170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69"/>
        <v>DDm125-33</v>
      </c>
    </row>
    <row r="223" spans="1:53">
      <c r="A223" s="35" t="s">
        <v>239</v>
      </c>
      <c r="B223" s="35" t="s">
        <v>1645</v>
      </c>
      <c r="C223" s="35" t="s">
        <v>1917</v>
      </c>
      <c r="D223" s="35" t="s">
        <v>1580</v>
      </c>
      <c r="E223" s="35" t="s">
        <v>1214</v>
      </c>
      <c r="F223" s="35" t="s">
        <v>1587</v>
      </c>
      <c r="G223" s="102">
        <v>36.6</v>
      </c>
      <c r="H223" s="102">
        <v>12</v>
      </c>
      <c r="I223" s="102">
        <v>109</v>
      </c>
      <c r="J223" s="102">
        <v>5.9405000000000001</v>
      </c>
      <c r="K223" s="103">
        <v>45323</v>
      </c>
      <c r="L223" s="102">
        <v>17.553360000000001</v>
      </c>
      <c r="M223" s="102">
        <v>11.61286</v>
      </c>
      <c r="N223" s="102">
        <v>21.1569</v>
      </c>
      <c r="O223" s="102">
        <v>15.2164</v>
      </c>
      <c r="P223" s="35" t="s">
        <v>1588</v>
      </c>
      <c r="Q223" s="35" t="s">
        <v>1616</v>
      </c>
      <c r="R223" s="35" t="s">
        <v>1918</v>
      </c>
      <c r="S223" s="102">
        <v>12.9276</v>
      </c>
      <c r="T223" s="102">
        <v>6.9871000000000203</v>
      </c>
      <c r="U223" s="35" t="s">
        <v>1591</v>
      </c>
      <c r="V223" s="35" t="s">
        <v>1692</v>
      </c>
      <c r="W223" s="102">
        <v>11.25</v>
      </c>
      <c r="X223" s="102">
        <v>5.3094999999999999</v>
      </c>
      <c r="Y223" s="102">
        <v>1</v>
      </c>
      <c r="Z223" s="35" t="s">
        <v>8</v>
      </c>
      <c r="AA223">
        <f>VLOOKUP(A223,Cover!A:R,18,0)</f>
        <v>0</v>
      </c>
      <c r="AB223" s="77">
        <f t="shared" si="171"/>
        <v>11.61286</v>
      </c>
      <c r="AC223" s="77">
        <f t="shared" si="172"/>
        <v>15.2164</v>
      </c>
      <c r="AD223" s="77">
        <f t="shared" si="173"/>
        <v>66.157476403378041</v>
      </c>
      <c r="AE223" s="77">
        <f t="shared" si="174"/>
        <v>71.921689850592472</v>
      </c>
      <c r="AF223" s="77">
        <f t="shared" si="175"/>
        <v>6.9871000000000203</v>
      </c>
      <c r="AG223" s="77">
        <f t="shared" si="176"/>
        <v>54.047928463133296</v>
      </c>
      <c r="AH223" s="77">
        <f t="shared" si="177"/>
        <v>11.25</v>
      </c>
      <c r="AI223" s="77">
        <f t="shared" si="178"/>
        <v>5.9405000000000001</v>
      </c>
      <c r="AJ223" s="77">
        <f t="shared" si="179"/>
        <v>5.3094999999999999</v>
      </c>
      <c r="AK223" s="77">
        <f t="shared" si="180"/>
        <v>0</v>
      </c>
      <c r="AL223" s="77">
        <f t="shared" si="181"/>
        <v>5.3094999999999999</v>
      </c>
      <c r="AM223" s="77">
        <f t="shared" si="182"/>
        <v>47.195555555555551</v>
      </c>
      <c r="AN223" t="s">
        <v>1580</v>
      </c>
      <c r="AO223" t="s">
        <v>1594</v>
      </c>
      <c r="AP223" t="str">
        <f t="shared" si="170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69"/>
        <v>SBS480 EON</v>
      </c>
    </row>
    <row r="224" spans="1:53">
      <c r="A224" s="35" t="s">
        <v>240</v>
      </c>
      <c r="B224" s="35" t="s">
        <v>1595</v>
      </c>
      <c r="C224" s="35" t="s">
        <v>1919</v>
      </c>
      <c r="D224" s="35" t="s">
        <v>1585</v>
      </c>
      <c r="E224" s="35" t="s">
        <v>1280</v>
      </c>
      <c r="F224" s="35" t="s">
        <v>1597</v>
      </c>
      <c r="G224" s="102">
        <v>75</v>
      </c>
      <c r="H224" s="102">
        <v>6</v>
      </c>
      <c r="I224" s="102">
        <v>125</v>
      </c>
      <c r="J224" s="102">
        <v>6.8125</v>
      </c>
      <c r="K224" s="103">
        <v>44873</v>
      </c>
      <c r="L224" s="102">
        <v>16.350000000000001</v>
      </c>
      <c r="M224" s="102">
        <v>9.5374999999999996</v>
      </c>
      <c r="N224" s="102">
        <v>13.952</v>
      </c>
      <c r="O224" s="102">
        <v>7.1395</v>
      </c>
      <c r="P224" s="35" t="s">
        <v>1591</v>
      </c>
      <c r="Q224" s="35" t="s">
        <v>1598</v>
      </c>
      <c r="R224" s="35" t="s">
        <v>1626</v>
      </c>
      <c r="S224" s="102">
        <v>10.1088</v>
      </c>
      <c r="T224" s="102">
        <v>3.29629999999998</v>
      </c>
      <c r="U224" s="35" t="s">
        <v>1591</v>
      </c>
      <c r="V224" s="35" t="s">
        <v>1631</v>
      </c>
      <c r="W224" s="102">
        <v>15</v>
      </c>
      <c r="X224" s="102">
        <v>8.1875</v>
      </c>
      <c r="Y224" s="102">
        <v>13</v>
      </c>
      <c r="Z224" s="35" t="s">
        <v>1593</v>
      </c>
      <c r="AA224">
        <f>VLOOKUP(A224,Cover!A:R,18,0)</f>
        <v>3</v>
      </c>
      <c r="AB224" s="77">
        <f t="shared" si="171"/>
        <v>6.5374999999999996</v>
      </c>
      <c r="AC224" s="77">
        <f t="shared" si="172"/>
        <v>4.1395</v>
      </c>
      <c r="AD224" s="77">
        <f t="shared" si="173"/>
        <v>39.984709480122319</v>
      </c>
      <c r="AE224" s="77">
        <f t="shared" si="174"/>
        <v>29.669581422018346</v>
      </c>
      <c r="AF224" s="77">
        <f t="shared" si="175"/>
        <v>0.29629999999998002</v>
      </c>
      <c r="AG224" s="77">
        <f t="shared" si="176"/>
        <v>2.9311095283315525</v>
      </c>
      <c r="AH224" s="77">
        <f t="shared" si="177"/>
        <v>15</v>
      </c>
      <c r="AI224" s="77">
        <f t="shared" si="178"/>
        <v>6.8125</v>
      </c>
      <c r="AJ224" s="77">
        <f t="shared" si="179"/>
        <v>8.1875</v>
      </c>
      <c r="AK224" s="77">
        <f t="shared" si="180"/>
        <v>3</v>
      </c>
      <c r="AL224" s="77">
        <f t="shared" si="181"/>
        <v>5.1875</v>
      </c>
      <c r="AM224" s="77">
        <f t="shared" si="182"/>
        <v>34.583333333333336</v>
      </c>
      <c r="AO224" t="s">
        <v>1594</v>
      </c>
      <c r="AP224" t="str">
        <f t="shared" si="170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69"/>
        <v>2DDm85-15</v>
      </c>
    </row>
    <row r="225" spans="1:53">
      <c r="A225" s="35" t="s">
        <v>241</v>
      </c>
      <c r="B225" s="35" t="s">
        <v>1725</v>
      </c>
      <c r="C225" s="35" t="s">
        <v>1869</v>
      </c>
      <c r="D225" s="35" t="s">
        <v>1585</v>
      </c>
      <c r="E225" s="35" t="s">
        <v>1511</v>
      </c>
      <c r="F225" s="35" t="s">
        <v>1587</v>
      </c>
      <c r="G225" s="102">
        <v>36.6</v>
      </c>
      <c r="H225" s="102">
        <v>10</v>
      </c>
      <c r="I225" s="102">
        <v>174</v>
      </c>
      <c r="J225" s="102">
        <v>9.4830000000000005</v>
      </c>
      <c r="K225" s="103">
        <v>44392.5</v>
      </c>
      <c r="L225" s="102">
        <v>14.361840000000001</v>
      </c>
      <c r="M225" s="102">
        <v>4.8788400000000003</v>
      </c>
      <c r="N225" s="102">
        <v>6.8342999999999998</v>
      </c>
      <c r="O225" s="104">
        <v>-2.6486999999999998</v>
      </c>
      <c r="P225" s="35" t="s">
        <v>1591</v>
      </c>
      <c r="Q225" s="35" t="s">
        <v>1598</v>
      </c>
      <c r="R225" s="35" t="s">
        <v>1599</v>
      </c>
      <c r="S225" s="102">
        <v>17.409600000000001</v>
      </c>
      <c r="T225" s="102">
        <v>7.9265999999999801</v>
      </c>
      <c r="U225" s="35" t="s">
        <v>1591</v>
      </c>
      <c r="V225" s="35" t="s">
        <v>1742</v>
      </c>
      <c r="W225" s="102">
        <v>30</v>
      </c>
      <c r="X225" s="102">
        <v>20.516999999999999</v>
      </c>
      <c r="Y225" s="102">
        <v>5</v>
      </c>
      <c r="Z225" s="35" t="s">
        <v>1593</v>
      </c>
      <c r="AA225">
        <f>VLOOKUP(A225,Cover!A:R,18,0)</f>
        <v>3.4</v>
      </c>
      <c r="AB225" s="77">
        <f t="shared" si="171"/>
        <v>1.4788400000000004</v>
      </c>
      <c r="AC225" s="77">
        <f t="shared" si="172"/>
        <v>-6.0487000000000002</v>
      </c>
      <c r="AD225" s="77">
        <f t="shared" si="173"/>
        <v>10.297009296858901</v>
      </c>
      <c r="AE225" s="77">
        <f t="shared" si="174"/>
        <v>-88.505040750332881</v>
      </c>
      <c r="AF225" s="77">
        <f t="shared" si="175"/>
        <v>4.5265999999999806</v>
      </c>
      <c r="AG225" s="77">
        <f t="shared" si="176"/>
        <v>26.000597371565004</v>
      </c>
      <c r="AH225" s="77">
        <f t="shared" si="177"/>
        <v>30</v>
      </c>
      <c r="AI225" s="77">
        <f t="shared" si="178"/>
        <v>9.4830000000000005</v>
      </c>
      <c r="AJ225" s="77">
        <f t="shared" si="179"/>
        <v>20.516999999999999</v>
      </c>
      <c r="AK225" s="77">
        <f t="shared" si="180"/>
        <v>3.4</v>
      </c>
      <c r="AL225" s="77">
        <f t="shared" si="181"/>
        <v>17.117000000000001</v>
      </c>
      <c r="AM225" s="77">
        <f t="shared" si="182"/>
        <v>57.056666666666672</v>
      </c>
      <c r="AO225" t="s">
        <v>1594</v>
      </c>
      <c r="AP225" t="str">
        <f t="shared" si="170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69"/>
        <v>DDm85-25</v>
      </c>
    </row>
    <row r="226" spans="1:53">
      <c r="A226" s="35" t="s">
        <v>242</v>
      </c>
      <c r="B226" s="35" t="s">
        <v>1636</v>
      </c>
      <c r="C226" s="35" t="s">
        <v>1920</v>
      </c>
      <c r="D226" s="35" t="s">
        <v>1585</v>
      </c>
      <c r="E226" s="35" t="s">
        <v>1190</v>
      </c>
      <c r="F226" s="35" t="s">
        <v>1587</v>
      </c>
      <c r="G226" s="102">
        <v>36.6</v>
      </c>
      <c r="H226" s="102">
        <v>26</v>
      </c>
      <c r="I226" s="102">
        <v>341</v>
      </c>
      <c r="J226" s="102">
        <v>18.584499999999998</v>
      </c>
      <c r="K226" s="103">
        <v>44502.416666666701</v>
      </c>
      <c r="L226" s="102">
        <v>39.893999999999998</v>
      </c>
      <c r="M226" s="102">
        <v>21.3095</v>
      </c>
      <c r="N226" s="102">
        <v>33.648299999999999</v>
      </c>
      <c r="O226" s="102">
        <v>15.063800000000001</v>
      </c>
      <c r="P226" s="35" t="s">
        <v>1591</v>
      </c>
      <c r="Q226" s="35" t="s">
        <v>1642</v>
      </c>
      <c r="R226" s="35" t="s">
        <v>1921</v>
      </c>
      <c r="S226" s="102">
        <v>33.393599999999999</v>
      </c>
      <c r="T226" s="102">
        <v>14.809100000000001</v>
      </c>
      <c r="U226" s="35" t="s">
        <v>1591</v>
      </c>
      <c r="V226" s="35" t="s">
        <v>1922</v>
      </c>
      <c r="W226" s="102">
        <v>45.5625</v>
      </c>
      <c r="X226" s="102">
        <v>26.978000000000002</v>
      </c>
      <c r="Y226" s="102">
        <v>13</v>
      </c>
      <c r="Z226" s="35" t="s">
        <v>1593</v>
      </c>
      <c r="AA226">
        <f>VLOOKUP(A226,Cover!A:R,18,0)</f>
        <v>3</v>
      </c>
      <c r="AB226" s="77">
        <f t="shared" si="171"/>
        <v>18.3095</v>
      </c>
      <c r="AC226" s="77">
        <f t="shared" si="172"/>
        <v>12.063800000000001</v>
      </c>
      <c r="AD226" s="77">
        <f t="shared" si="173"/>
        <v>45.895372737755054</v>
      </c>
      <c r="AE226" s="77">
        <f t="shared" si="174"/>
        <v>35.852628513178978</v>
      </c>
      <c r="AF226" s="77">
        <f t="shared" si="175"/>
        <v>11.809100000000001</v>
      </c>
      <c r="AG226" s="77">
        <f t="shared" si="176"/>
        <v>35.36336303962436</v>
      </c>
      <c r="AH226" s="77">
        <f t="shared" si="177"/>
        <v>45.5625</v>
      </c>
      <c r="AI226" s="77">
        <f t="shared" si="178"/>
        <v>18.584499999999998</v>
      </c>
      <c r="AJ226" s="77">
        <f t="shared" si="179"/>
        <v>26.978000000000002</v>
      </c>
      <c r="AK226" s="77">
        <f t="shared" si="180"/>
        <v>3</v>
      </c>
      <c r="AL226" s="77">
        <f t="shared" si="181"/>
        <v>23.978000000000002</v>
      </c>
      <c r="AM226" s="77">
        <f t="shared" si="182"/>
        <v>52.626611796982168</v>
      </c>
      <c r="AO226" t="s">
        <v>1594</v>
      </c>
      <c r="AP226" t="str">
        <f t="shared" si="170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69"/>
        <v>2SLA2000</v>
      </c>
    </row>
    <row r="227" spans="1:53">
      <c r="A227" s="35" t="s">
        <v>243</v>
      </c>
      <c r="B227" s="35" t="s">
        <v>1607</v>
      </c>
      <c r="C227" s="35" t="s">
        <v>1607</v>
      </c>
      <c r="D227" s="35" t="s">
        <v>1585</v>
      </c>
      <c r="E227" s="35" t="s">
        <v>920</v>
      </c>
      <c r="F227" s="35" t="s">
        <v>1923</v>
      </c>
      <c r="G227" s="102">
        <v>50</v>
      </c>
      <c r="H227" s="102">
        <v>6</v>
      </c>
      <c r="I227" s="102">
        <v>159</v>
      </c>
      <c r="J227" s="102">
        <v>8.6654999999999998</v>
      </c>
      <c r="K227" s="103">
        <v>44587.444444444402</v>
      </c>
      <c r="L227" s="102">
        <v>10.9</v>
      </c>
      <c r="M227" s="102">
        <v>2.2345000000000002</v>
      </c>
      <c r="N227" s="102">
        <v>6.5944994550000002</v>
      </c>
      <c r="O227" s="104">
        <v>-2.071000545</v>
      </c>
      <c r="P227" s="35" t="s">
        <v>1592</v>
      </c>
      <c r="Q227" s="35" t="s">
        <v>1616</v>
      </c>
      <c r="R227" s="35" t="s">
        <v>1622</v>
      </c>
      <c r="S227" s="102">
        <v>14.04</v>
      </c>
      <c r="T227" s="102">
        <v>5.3745000000000198</v>
      </c>
      <c r="U227" s="35" t="s">
        <v>1603</v>
      </c>
      <c r="V227" s="35" t="s">
        <v>1924</v>
      </c>
      <c r="W227" s="102">
        <v>25.5</v>
      </c>
      <c r="X227" s="102">
        <v>16.834499999999998</v>
      </c>
      <c r="Y227" s="102">
        <v>2</v>
      </c>
      <c r="Z227" s="35" t="s">
        <v>1593</v>
      </c>
      <c r="AA227">
        <f>VLOOKUP(A227,Cover!A:R,18,0)</f>
        <v>1.1000000000000001</v>
      </c>
      <c r="AB227" s="77">
        <f t="shared" si="171"/>
        <v>1.1345000000000001</v>
      </c>
      <c r="AC227" s="77">
        <f t="shared" si="172"/>
        <v>-3.1710005450000001</v>
      </c>
      <c r="AD227" s="77">
        <f t="shared" si="173"/>
        <v>10.408256880733946</v>
      </c>
      <c r="AE227" s="77">
        <f t="shared" si="174"/>
        <v>-48.08553805544291</v>
      </c>
      <c r="AF227" s="77">
        <f t="shared" si="175"/>
        <v>4.2745000000000193</v>
      </c>
      <c r="AG227" s="77">
        <f t="shared" si="176"/>
        <v>30.445156695156832</v>
      </c>
      <c r="AH227" s="345">
        <f>AVERAGE(W227:W230)</f>
        <v>25.5</v>
      </c>
      <c r="AI227" s="345">
        <f>SUM(J227:J230)</f>
        <v>19.919750000000001</v>
      </c>
      <c r="AJ227" s="345">
        <f>AH227-AI227</f>
        <v>5.5802499999999995</v>
      </c>
      <c r="AK227" s="345">
        <f>SUM(AA227:AA230)</f>
        <v>1.1000000000000001</v>
      </c>
      <c r="AL227" s="345">
        <f t="shared" si="181"/>
        <v>4.4802499999999998</v>
      </c>
      <c r="AM227" s="346">
        <f t="shared" si="182"/>
        <v>17.569607843137256</v>
      </c>
      <c r="AN227" t="s">
        <v>1580</v>
      </c>
      <c r="AO227" t="s">
        <v>1594</v>
      </c>
      <c r="AP227" t="str">
        <f t="shared" si="170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69"/>
        <v>12V155F</v>
      </c>
    </row>
    <row r="228" spans="1:53">
      <c r="A228" s="35" t="s">
        <v>244</v>
      </c>
      <c r="B228" s="35" t="s">
        <v>1607</v>
      </c>
      <c r="C228" s="35" t="s">
        <v>1607</v>
      </c>
      <c r="D228" s="35" t="s">
        <v>1585</v>
      </c>
      <c r="E228" s="35" t="s">
        <v>920</v>
      </c>
      <c r="F228" s="35" t="s">
        <v>1923</v>
      </c>
      <c r="G228" s="102">
        <v>50</v>
      </c>
      <c r="H228" s="102">
        <v>6</v>
      </c>
      <c r="I228" s="102">
        <v>131.5</v>
      </c>
      <c r="J228" s="102">
        <v>7.1667500000000004</v>
      </c>
      <c r="K228" s="103">
        <v>44504.541666666701</v>
      </c>
      <c r="L228" s="102">
        <v>10.9</v>
      </c>
      <c r="M228" s="102">
        <v>3.73325</v>
      </c>
      <c r="N228" s="102">
        <v>6.5944994550000002</v>
      </c>
      <c r="O228" s="104">
        <v>-0.57225054500000005</v>
      </c>
      <c r="P228" s="35" t="s">
        <v>1592</v>
      </c>
      <c r="Q228" s="35" t="s">
        <v>1616</v>
      </c>
      <c r="R228" s="35" t="s">
        <v>1622</v>
      </c>
      <c r="S228" s="102">
        <v>14.04</v>
      </c>
      <c r="T228" s="102">
        <v>6.8732500000000201</v>
      </c>
      <c r="U228" s="35" t="s">
        <v>1603</v>
      </c>
      <c r="V228" s="35" t="s">
        <v>1924</v>
      </c>
      <c r="W228" s="102">
        <v>25.5</v>
      </c>
      <c r="X228" s="102">
        <v>18.33325</v>
      </c>
      <c r="Y228" s="102">
        <v>2</v>
      </c>
      <c r="Z228" s="35" t="s">
        <v>1593</v>
      </c>
      <c r="AA228">
        <f>VLOOKUP(A228,Cover!A:R,18,0)</f>
        <v>0</v>
      </c>
      <c r="AB228" s="77">
        <f t="shared" si="171"/>
        <v>3.73325</v>
      </c>
      <c r="AC228" s="77">
        <f t="shared" si="172"/>
        <v>-0.57225054500000005</v>
      </c>
      <c r="AD228" s="77">
        <f t="shared" si="173"/>
        <v>34.25</v>
      </c>
      <c r="AE228" s="77">
        <f t="shared" si="174"/>
        <v>-8.6776949320409056</v>
      </c>
      <c r="AF228" s="77">
        <f t="shared" si="175"/>
        <v>6.8732500000000201</v>
      </c>
      <c r="AG228" s="77">
        <f t="shared" si="176"/>
        <v>48.954772079772226</v>
      </c>
      <c r="AH228" s="345"/>
      <c r="AI228" s="345"/>
      <c r="AJ228" s="345"/>
      <c r="AK228" s="345"/>
      <c r="AL228" s="345"/>
      <c r="AM228" s="346"/>
      <c r="AN228" t="s">
        <v>1580</v>
      </c>
      <c r="AO228" t="s">
        <v>1594</v>
      </c>
      <c r="AP228" t="str">
        <f t="shared" si="170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69"/>
        <v>12V155F</v>
      </c>
    </row>
    <row r="229" spans="1:53">
      <c r="A229" s="35" t="s">
        <v>245</v>
      </c>
      <c r="B229" s="35" t="s">
        <v>1607</v>
      </c>
      <c r="C229" s="35" t="s">
        <v>1607</v>
      </c>
      <c r="D229" s="35" t="s">
        <v>1585</v>
      </c>
      <c r="E229" s="35" t="s">
        <v>920</v>
      </c>
      <c r="F229" s="35" t="s">
        <v>1892</v>
      </c>
      <c r="G229" s="102">
        <v>50</v>
      </c>
      <c r="H229" s="102">
        <v>6</v>
      </c>
      <c r="I229" s="102">
        <v>53</v>
      </c>
      <c r="J229" s="102">
        <v>2.8885000000000001</v>
      </c>
      <c r="K229" s="103">
        <v>45058</v>
      </c>
      <c r="L229" s="102">
        <v>10.9</v>
      </c>
      <c r="M229" s="102">
        <v>8.0114999999999998</v>
      </c>
      <c r="N229" s="102">
        <v>5.1883993459999997</v>
      </c>
      <c r="O229" s="102">
        <v>2.2998993460000001</v>
      </c>
      <c r="P229" s="35" t="s">
        <v>1681</v>
      </c>
      <c r="Q229" s="35" t="s">
        <v>1616</v>
      </c>
      <c r="R229" s="35" t="s">
        <v>1622</v>
      </c>
      <c r="S229" s="102">
        <v>16.847999999999999</v>
      </c>
      <c r="T229" s="102">
        <v>13.9595</v>
      </c>
      <c r="U229" s="35" t="s">
        <v>1603</v>
      </c>
      <c r="V229" s="35" t="s">
        <v>1924</v>
      </c>
      <c r="W229" s="102">
        <v>25.5</v>
      </c>
      <c r="X229" s="102">
        <v>22.611499999999999</v>
      </c>
      <c r="Y229" s="102">
        <v>2</v>
      </c>
      <c r="Z229" s="35" t="s">
        <v>1593</v>
      </c>
      <c r="AA229">
        <f>VLOOKUP(A229,Cover!A:R,18,0)</f>
        <v>0</v>
      </c>
      <c r="AB229" s="77">
        <f t="shared" si="171"/>
        <v>8.0114999999999998</v>
      </c>
      <c r="AC229" s="77">
        <f t="shared" si="172"/>
        <v>2.2998993460000001</v>
      </c>
      <c r="AD229" s="77">
        <f t="shared" si="173"/>
        <v>73.5</v>
      </c>
      <c r="AE229" s="77">
        <f t="shared" si="174"/>
        <v>44.327724074923204</v>
      </c>
      <c r="AF229" s="77">
        <f t="shared" si="175"/>
        <v>13.9595</v>
      </c>
      <c r="AG229" s="77">
        <f t="shared" si="176"/>
        <v>82.855531813865156</v>
      </c>
      <c r="AH229" s="345"/>
      <c r="AI229" s="345"/>
      <c r="AJ229" s="345"/>
      <c r="AK229" s="345"/>
      <c r="AL229" s="345"/>
      <c r="AM229" s="346"/>
      <c r="AN229" t="s">
        <v>1580</v>
      </c>
      <c r="AO229" t="s">
        <v>1594</v>
      </c>
      <c r="AP229" t="str">
        <f t="shared" si="170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69"/>
        <v>12V155F</v>
      </c>
    </row>
    <row r="230" spans="1:53">
      <c r="A230" s="35" t="s">
        <v>246</v>
      </c>
      <c r="B230" s="35" t="s">
        <v>1607</v>
      </c>
      <c r="C230" s="35" t="s">
        <v>1607</v>
      </c>
      <c r="D230" s="35" t="s">
        <v>1585</v>
      </c>
      <c r="E230" s="35" t="s">
        <v>920</v>
      </c>
      <c r="F230" s="35" t="s">
        <v>1892</v>
      </c>
      <c r="G230" s="102">
        <v>50</v>
      </c>
      <c r="H230" s="102">
        <v>4</v>
      </c>
      <c r="I230" s="102">
        <v>22</v>
      </c>
      <c r="J230" s="102">
        <v>1.1990000000000001</v>
      </c>
      <c r="K230" s="103">
        <v>45058</v>
      </c>
      <c r="L230" s="102">
        <v>6.54</v>
      </c>
      <c r="M230" s="102">
        <v>5.3410000000000002</v>
      </c>
      <c r="N230" s="102">
        <v>2.5505995640000001</v>
      </c>
      <c r="O230" s="102">
        <v>1.351599564</v>
      </c>
      <c r="P230" s="35" t="s">
        <v>1648</v>
      </c>
      <c r="Q230" s="35" t="s">
        <v>1616</v>
      </c>
      <c r="R230" s="35" t="s">
        <v>1622</v>
      </c>
      <c r="S230" s="102">
        <v>11.231999999999999</v>
      </c>
      <c r="T230" s="102">
        <v>10.032999999999999</v>
      </c>
      <c r="U230" s="35" t="s">
        <v>1603</v>
      </c>
      <c r="V230" s="35" t="s">
        <v>1924</v>
      </c>
      <c r="W230" s="102">
        <v>25.5</v>
      </c>
      <c r="X230" s="102">
        <v>24.300999999999998</v>
      </c>
      <c r="Y230" s="102">
        <v>2</v>
      </c>
      <c r="Z230" s="35" t="s">
        <v>1593</v>
      </c>
      <c r="AA230">
        <f>VLOOKUP(A230,Cover!A:R,18,0)</f>
        <v>0</v>
      </c>
      <c r="AB230" s="77">
        <f t="shared" si="171"/>
        <v>5.3410000000000002</v>
      </c>
      <c r="AC230" s="77">
        <f t="shared" si="172"/>
        <v>1.351599564</v>
      </c>
      <c r="AD230" s="77">
        <f t="shared" si="173"/>
        <v>81.666666666666671</v>
      </c>
      <c r="AE230" s="77">
        <f t="shared" si="174"/>
        <v>52.991444955802557</v>
      </c>
      <c r="AF230" s="77">
        <f t="shared" si="175"/>
        <v>10.032999999999999</v>
      </c>
      <c r="AG230" s="77">
        <f t="shared" si="176"/>
        <v>89.325142450142451</v>
      </c>
      <c r="AH230" s="345"/>
      <c r="AI230" s="345"/>
      <c r="AJ230" s="345"/>
      <c r="AK230" s="345"/>
      <c r="AL230" s="345"/>
      <c r="AM230" s="346"/>
      <c r="AN230" t="s">
        <v>1580</v>
      </c>
      <c r="AO230" t="s">
        <v>1594</v>
      </c>
      <c r="AP230" t="str">
        <f t="shared" si="170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69"/>
        <v>12V155F</v>
      </c>
    </row>
    <row r="231" spans="1:53">
      <c r="A231" s="35" t="s">
        <v>247</v>
      </c>
      <c r="B231" s="35" t="s">
        <v>1607</v>
      </c>
      <c r="C231" s="35" t="s">
        <v>1607</v>
      </c>
      <c r="D231" s="35" t="s">
        <v>1580</v>
      </c>
      <c r="E231" s="35" t="s">
        <v>917</v>
      </c>
      <c r="F231" s="35" t="s">
        <v>1738</v>
      </c>
      <c r="G231" s="102">
        <v>37.5</v>
      </c>
      <c r="H231" s="102">
        <v>10</v>
      </c>
      <c r="I231" s="102">
        <v>18</v>
      </c>
      <c r="J231" s="102">
        <v>0.98099999999999998</v>
      </c>
      <c r="K231" s="103">
        <v>44602.708333333299</v>
      </c>
      <c r="L231" s="102">
        <v>14.715</v>
      </c>
      <c r="M231" s="102">
        <v>13.734</v>
      </c>
      <c r="N231" s="102">
        <v>11.41775</v>
      </c>
      <c r="O231" s="102">
        <v>10.43675</v>
      </c>
      <c r="P231" s="35" t="s">
        <v>1648</v>
      </c>
      <c r="Q231" s="35" t="s">
        <v>1642</v>
      </c>
      <c r="R231" s="35" t="s">
        <v>1925</v>
      </c>
      <c r="S231" s="102">
        <v>9.4867200000000107</v>
      </c>
      <c r="T231" s="102">
        <v>8.5057200000000108</v>
      </c>
      <c r="U231" s="35" t="s">
        <v>1591</v>
      </c>
      <c r="V231" s="35" t="s">
        <v>1926</v>
      </c>
      <c r="W231" s="102">
        <v>13.5</v>
      </c>
      <c r="X231" s="102">
        <v>12.519</v>
      </c>
      <c r="Y231" s="102">
        <v>0</v>
      </c>
      <c r="Z231" s="35" t="s">
        <v>8</v>
      </c>
      <c r="AA231">
        <f>VLOOKUP(A231,Cover!A:R,18,0)</f>
        <v>0</v>
      </c>
      <c r="AB231" s="77">
        <f t="shared" si="171"/>
        <v>13.734</v>
      </c>
      <c r="AC231" s="77">
        <f t="shared" si="172"/>
        <v>10.43675</v>
      </c>
      <c r="AD231" s="77">
        <f t="shared" si="173"/>
        <v>93.333333333333329</v>
      </c>
      <c r="AE231" s="77">
        <f t="shared" si="174"/>
        <v>91.408114558472548</v>
      </c>
      <c r="AF231" s="77">
        <f t="shared" si="175"/>
        <v>8.5057200000000108</v>
      </c>
      <c r="AG231" s="77">
        <f t="shared" si="176"/>
        <v>89.659228901032193</v>
      </c>
      <c r="AH231" s="77">
        <f t="shared" si="177"/>
        <v>13.5</v>
      </c>
      <c r="AI231" s="77">
        <f t="shared" si="178"/>
        <v>0.98099999999999998</v>
      </c>
      <c r="AJ231" s="77">
        <f t="shared" si="179"/>
        <v>12.519</v>
      </c>
      <c r="AK231" s="77">
        <f t="shared" si="180"/>
        <v>0</v>
      </c>
      <c r="AL231" s="77">
        <f t="shared" si="181"/>
        <v>12.519</v>
      </c>
      <c r="AM231" s="77">
        <f t="shared" si="182"/>
        <v>92.733333333333334</v>
      </c>
      <c r="AN231" t="s">
        <v>1580</v>
      </c>
      <c r="AO231" t="s">
        <v>1594</v>
      </c>
      <c r="AP231" t="str">
        <f t="shared" si="170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69"/>
        <v>12UMTB160</v>
      </c>
    </row>
    <row r="232" spans="1:53">
      <c r="A232" s="35" t="s">
        <v>248</v>
      </c>
      <c r="B232" s="35" t="s">
        <v>1653</v>
      </c>
      <c r="C232" s="35" t="s">
        <v>1831</v>
      </c>
      <c r="D232" s="35" t="s">
        <v>1580</v>
      </c>
      <c r="E232" s="35" t="s">
        <v>1118</v>
      </c>
      <c r="F232" s="35" t="s">
        <v>1587</v>
      </c>
      <c r="G232" s="102">
        <v>36.6</v>
      </c>
      <c r="H232" s="102">
        <v>51</v>
      </c>
      <c r="I232" s="102">
        <v>593</v>
      </c>
      <c r="J232" s="102">
        <v>32.3185</v>
      </c>
      <c r="K232" s="103">
        <v>45323</v>
      </c>
      <c r="L232" s="102">
        <v>79.787999999999997</v>
      </c>
      <c r="M232" s="102">
        <v>47.469499999999996</v>
      </c>
      <c r="N232" s="102">
        <v>67.034999999999997</v>
      </c>
      <c r="O232" s="102">
        <v>34.716500000000003</v>
      </c>
      <c r="P232" s="35" t="s">
        <v>1588</v>
      </c>
      <c r="Q232" s="35" t="s">
        <v>1598</v>
      </c>
      <c r="R232" s="35" t="s">
        <v>1609</v>
      </c>
      <c r="S232" s="102">
        <v>53.330399999999997</v>
      </c>
      <c r="T232" s="102">
        <v>21.011900000000001</v>
      </c>
      <c r="U232" s="35" t="s">
        <v>1603</v>
      </c>
      <c r="V232" s="35" t="s">
        <v>1927</v>
      </c>
      <c r="W232" s="102">
        <v>16.649999999999999</v>
      </c>
      <c r="X232" s="102">
        <v>-15.6685</v>
      </c>
      <c r="Y232" s="102">
        <v>6</v>
      </c>
      <c r="Z232" s="35" t="s">
        <v>1928</v>
      </c>
      <c r="AA232">
        <f>VLOOKUP(A232,Cover!A:R,18,0)</f>
        <v>8.2050000000000001</v>
      </c>
      <c r="AB232" s="77">
        <f t="shared" si="171"/>
        <v>39.264499999999998</v>
      </c>
      <c r="AC232" s="77">
        <f t="shared" si="172"/>
        <v>26.511500000000005</v>
      </c>
      <c r="AD232" s="77">
        <f t="shared" si="173"/>
        <v>49.211034240737959</v>
      </c>
      <c r="AE232" s="77">
        <f t="shared" si="174"/>
        <v>39.548743193853966</v>
      </c>
      <c r="AF232" s="77">
        <f t="shared" si="175"/>
        <v>12.806900000000001</v>
      </c>
      <c r="AG232" s="77">
        <f t="shared" si="176"/>
        <v>24.014258284205631</v>
      </c>
      <c r="AH232" s="345">
        <f>'Multiroom cooling'!F2</f>
        <v>91.350000000000009</v>
      </c>
      <c r="AI232" s="345">
        <f>SUM(J232:J233)</f>
        <v>63.165500000000002</v>
      </c>
      <c r="AJ232" s="345">
        <f t="shared" si="179"/>
        <v>28.184500000000007</v>
      </c>
      <c r="AK232" s="345">
        <f>SUM(AA232:AA233)</f>
        <v>16.41</v>
      </c>
      <c r="AL232" s="345">
        <f t="shared" si="181"/>
        <v>11.774500000000007</v>
      </c>
      <c r="AM232" s="346">
        <f t="shared" si="182"/>
        <v>12.889436234263826</v>
      </c>
      <c r="AN232" t="s">
        <v>1580</v>
      </c>
      <c r="AO232" t="s">
        <v>1651</v>
      </c>
      <c r="AP232" t="str">
        <f t="shared" si="170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69"/>
        <v>DDm125-33</v>
      </c>
    </row>
    <row r="233" spans="1:53">
      <c r="A233" s="35" t="s">
        <v>249</v>
      </c>
      <c r="B233" s="35" t="s">
        <v>1653</v>
      </c>
      <c r="C233" s="35" t="s">
        <v>1831</v>
      </c>
      <c r="D233" s="35" t="s">
        <v>1580</v>
      </c>
      <c r="E233" s="35" t="s">
        <v>1118</v>
      </c>
      <c r="F233" s="35" t="s">
        <v>1587</v>
      </c>
      <c r="G233" s="102">
        <v>36.6</v>
      </c>
      <c r="H233" s="102">
        <v>51</v>
      </c>
      <c r="I233" s="102">
        <v>566</v>
      </c>
      <c r="J233" s="102">
        <v>30.847000000000001</v>
      </c>
      <c r="K233" s="103">
        <v>45323</v>
      </c>
      <c r="L233" s="102">
        <v>79.787999999999997</v>
      </c>
      <c r="M233" s="102">
        <v>48.941000000000003</v>
      </c>
      <c r="N233" s="102">
        <v>67.034999999999997</v>
      </c>
      <c r="O233" s="102">
        <v>36.188000000000002</v>
      </c>
      <c r="P233" s="35" t="s">
        <v>1588</v>
      </c>
      <c r="Q233" s="35" t="s">
        <v>1598</v>
      </c>
      <c r="R233" s="35" t="s">
        <v>1609</v>
      </c>
      <c r="S233" s="102">
        <v>53.330399999999997</v>
      </c>
      <c r="T233" s="102">
        <v>22.4834</v>
      </c>
      <c r="U233" s="35" t="s">
        <v>1603</v>
      </c>
      <c r="V233" s="35" t="s">
        <v>1927</v>
      </c>
      <c r="W233" s="102">
        <v>16.649999999999999</v>
      </c>
      <c r="X233" s="102">
        <v>-14.196999999999999</v>
      </c>
      <c r="Y233" s="102">
        <v>6</v>
      </c>
      <c r="Z233" s="35" t="s">
        <v>1928</v>
      </c>
      <c r="AA233">
        <f>VLOOKUP(A233,Cover!A:R,18,0)</f>
        <v>8.2050000000000001</v>
      </c>
      <c r="AB233" s="77">
        <f t="shared" si="171"/>
        <v>40.736000000000004</v>
      </c>
      <c r="AC233" s="77">
        <f t="shared" si="172"/>
        <v>27.983000000000004</v>
      </c>
      <c r="AD233" s="77">
        <f t="shared" si="173"/>
        <v>51.055296535819934</v>
      </c>
      <c r="AE233" s="77">
        <f t="shared" si="174"/>
        <v>41.743865145073478</v>
      </c>
      <c r="AF233" s="77">
        <f t="shared" si="175"/>
        <v>14.2784</v>
      </c>
      <c r="AG233" s="77">
        <f t="shared" si="176"/>
        <v>26.773472540989754</v>
      </c>
      <c r="AH233" s="345"/>
      <c r="AI233" s="345"/>
      <c r="AJ233" s="345"/>
      <c r="AK233" s="345"/>
      <c r="AL233" s="345"/>
      <c r="AM233" s="346"/>
      <c r="AN233" t="s">
        <v>1580</v>
      </c>
      <c r="AO233" t="s">
        <v>1651</v>
      </c>
      <c r="AP233" t="str">
        <f t="shared" si="170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69"/>
        <v>DDm125-33</v>
      </c>
    </row>
    <row r="234" spans="1:53">
      <c r="A234" s="35" t="s">
        <v>250</v>
      </c>
      <c r="B234" s="35" t="s">
        <v>1612</v>
      </c>
      <c r="C234" s="35" t="s">
        <v>1929</v>
      </c>
      <c r="D234" s="35" t="s">
        <v>1585</v>
      </c>
      <c r="E234" s="35" t="s">
        <v>1930</v>
      </c>
      <c r="F234" s="35" t="s">
        <v>1774</v>
      </c>
      <c r="G234" s="102">
        <v>37.5</v>
      </c>
      <c r="H234" s="102">
        <v>3</v>
      </c>
      <c r="I234" s="102">
        <v>8</v>
      </c>
      <c r="J234" s="102">
        <v>0.436</v>
      </c>
      <c r="K234" s="103">
        <v>44481.701388888898</v>
      </c>
      <c r="L234" s="102">
        <v>3.27</v>
      </c>
      <c r="M234" s="102">
        <v>2.8340000000000001</v>
      </c>
      <c r="N234" s="102">
        <v>2.7795000000000001</v>
      </c>
      <c r="O234" s="102">
        <v>2.3435000000000001</v>
      </c>
      <c r="P234" s="35" t="s">
        <v>1588</v>
      </c>
      <c r="Q234" s="35" t="s">
        <v>1616</v>
      </c>
      <c r="R234" s="35" t="s">
        <v>1698</v>
      </c>
      <c r="S234" s="102">
        <v>2.92896</v>
      </c>
      <c r="T234" s="102">
        <v>2.4929600000000001</v>
      </c>
      <c r="U234" s="35" t="s">
        <v>1591</v>
      </c>
      <c r="V234" s="35" t="s">
        <v>1608</v>
      </c>
      <c r="W234" s="102">
        <v>3.75</v>
      </c>
      <c r="X234" s="102">
        <v>3.3140000000000001</v>
      </c>
      <c r="Y234" s="102">
        <v>0</v>
      </c>
      <c r="Z234" s="35" t="s">
        <v>1593</v>
      </c>
      <c r="AA234">
        <f>VLOOKUP(A234,Cover!A:R,18,0)</f>
        <v>0</v>
      </c>
      <c r="AB234" s="77">
        <f t="shared" ref="AB234" si="183">M234-AA234</f>
        <v>2.8340000000000001</v>
      </c>
      <c r="AC234" s="77">
        <f t="shared" ref="AC234" si="184">O234-AA234</f>
        <v>2.3435000000000001</v>
      </c>
      <c r="AD234" s="77">
        <f t="shared" ref="AD234" si="185">AB234/L234%</f>
        <v>86.666666666666671</v>
      </c>
      <c r="AE234" s="77">
        <f t="shared" ref="AE234" si="186">AC234/N234%</f>
        <v>84.313725490196077</v>
      </c>
      <c r="AF234" s="77">
        <f t="shared" ref="AF234" si="187">T234-AA234</f>
        <v>2.4929600000000001</v>
      </c>
      <c r="AG234" s="77">
        <f t="shared" ref="AG234" si="188">AF234/S234%</f>
        <v>85.114170217415065</v>
      </c>
      <c r="AH234" s="77">
        <f t="shared" ref="AH234" si="189">W234</f>
        <v>3.75</v>
      </c>
      <c r="AI234" s="77">
        <f t="shared" ref="AI234" si="190">J234</f>
        <v>0.436</v>
      </c>
      <c r="AJ234" s="77">
        <f t="shared" ref="AJ234" si="191">AH234-AI234</f>
        <v>3.3140000000000001</v>
      </c>
      <c r="AK234" s="77">
        <f t="shared" ref="AK234" si="192">AA234</f>
        <v>0</v>
      </c>
      <c r="AL234" s="77">
        <f t="shared" ref="AL234" si="193">AJ234-AK234</f>
        <v>3.3140000000000001</v>
      </c>
      <c r="AM234" s="77">
        <f t="shared" ref="AM234" si="194">AL234/AH234%</f>
        <v>88.373333333333335</v>
      </c>
      <c r="AO234" t="s">
        <v>1594</v>
      </c>
      <c r="AP234" t="str">
        <f t="shared" si="170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69"/>
        <v>12V100F</v>
      </c>
    </row>
    <row r="235" spans="1:53">
      <c r="A235" s="35" t="s">
        <v>251</v>
      </c>
      <c r="B235" s="35" t="s">
        <v>1632</v>
      </c>
      <c r="C235" s="35" t="s">
        <v>1931</v>
      </c>
      <c r="D235" s="35" t="s">
        <v>1585</v>
      </c>
      <c r="E235" s="35" t="s">
        <v>1422</v>
      </c>
      <c r="F235" s="35" t="s">
        <v>1587</v>
      </c>
      <c r="G235" s="102">
        <v>36.6</v>
      </c>
      <c r="H235" s="102">
        <v>22</v>
      </c>
      <c r="I235" s="102">
        <v>66</v>
      </c>
      <c r="J235" s="102">
        <v>3.597</v>
      </c>
      <c r="K235" s="103">
        <v>45294</v>
      </c>
      <c r="L235" s="102">
        <v>33.510959999999997</v>
      </c>
      <c r="M235" s="102">
        <v>29.913959999999999</v>
      </c>
      <c r="N235" s="102">
        <v>27.064699999999998</v>
      </c>
      <c r="O235" s="102">
        <v>23.467700000000001</v>
      </c>
      <c r="P235" s="35" t="s">
        <v>1591</v>
      </c>
      <c r="Q235" s="35" t="s">
        <v>1598</v>
      </c>
      <c r="R235" s="35" t="s">
        <v>1713</v>
      </c>
      <c r="S235" s="102">
        <v>22.982399999999998</v>
      </c>
      <c r="T235" s="102">
        <v>19.385400000000001</v>
      </c>
      <c r="U235" s="35" t="s">
        <v>1588</v>
      </c>
      <c r="V235" s="35" t="s">
        <v>1604</v>
      </c>
      <c r="W235" s="102">
        <v>33.75</v>
      </c>
      <c r="X235" s="102">
        <v>30.152999999999999</v>
      </c>
      <c r="Y235" s="102">
        <v>55</v>
      </c>
      <c r="Z235" s="35" t="s">
        <v>1593</v>
      </c>
      <c r="AA235">
        <f>VLOOKUP(A235,Cover!A:R,18,0)</f>
        <v>7.5</v>
      </c>
      <c r="AB235" s="77">
        <f t="shared" si="171"/>
        <v>22.413959999999999</v>
      </c>
      <c r="AC235" s="77">
        <f t="shared" si="172"/>
        <v>15.967700000000001</v>
      </c>
      <c r="AD235" s="77">
        <f t="shared" si="173"/>
        <v>66.885460756719596</v>
      </c>
      <c r="AE235" s="77">
        <f t="shared" si="174"/>
        <v>58.998252336068759</v>
      </c>
      <c r="AF235" s="77">
        <f t="shared" si="175"/>
        <v>11.885400000000001</v>
      </c>
      <c r="AG235" s="77">
        <f t="shared" si="176"/>
        <v>51.715225563909783</v>
      </c>
      <c r="AH235" s="77">
        <f t="shared" si="177"/>
        <v>33.75</v>
      </c>
      <c r="AI235" s="77">
        <f t="shared" si="178"/>
        <v>3.597</v>
      </c>
      <c r="AJ235" s="77">
        <f t="shared" si="179"/>
        <v>30.152999999999999</v>
      </c>
      <c r="AK235" s="77">
        <f t="shared" si="180"/>
        <v>7.5</v>
      </c>
      <c r="AL235" s="77">
        <f t="shared" si="181"/>
        <v>22.652999999999999</v>
      </c>
      <c r="AM235" s="77">
        <f t="shared" si="182"/>
        <v>67.11999999999999</v>
      </c>
      <c r="AO235" t="s">
        <v>1651</v>
      </c>
      <c r="AP235" t="str">
        <f t="shared" si="170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69"/>
        <v>DDm85-33</v>
      </c>
    </row>
    <row r="236" spans="1:53">
      <c r="A236" s="35" t="s">
        <v>252</v>
      </c>
      <c r="B236" s="35" t="s">
        <v>1632</v>
      </c>
      <c r="C236" s="35" t="s">
        <v>1931</v>
      </c>
      <c r="D236" s="35" t="s">
        <v>1585</v>
      </c>
      <c r="E236" s="35" t="s">
        <v>1422</v>
      </c>
      <c r="F236" s="35" t="s">
        <v>1587</v>
      </c>
      <c r="G236" s="102">
        <v>36.6</v>
      </c>
      <c r="H236" s="102">
        <v>22</v>
      </c>
      <c r="I236" s="102">
        <v>114</v>
      </c>
      <c r="J236" s="102">
        <v>6.2130000000000001</v>
      </c>
      <c r="K236" s="103">
        <v>45294</v>
      </c>
      <c r="L236" s="102">
        <v>33.510959999999997</v>
      </c>
      <c r="M236" s="102">
        <v>27.29796</v>
      </c>
      <c r="N236" s="102">
        <v>27.064699999999998</v>
      </c>
      <c r="O236" s="102">
        <v>20.851700000000001</v>
      </c>
      <c r="P236" s="35" t="s">
        <v>1591</v>
      </c>
      <c r="Q236" s="35" t="s">
        <v>1598</v>
      </c>
      <c r="R236" s="35" t="s">
        <v>1713</v>
      </c>
      <c r="S236" s="102">
        <v>22.982399999999998</v>
      </c>
      <c r="T236" s="102">
        <v>16.769400000000001</v>
      </c>
      <c r="U236" s="35" t="s">
        <v>1588</v>
      </c>
      <c r="V236" s="35" t="s">
        <v>1604</v>
      </c>
      <c r="W236" s="102">
        <v>33.75</v>
      </c>
      <c r="X236" s="102">
        <v>27.536999999999999</v>
      </c>
      <c r="Y236" s="102">
        <v>55</v>
      </c>
      <c r="Z236" s="35" t="s">
        <v>1593</v>
      </c>
      <c r="AA236">
        <f>VLOOKUP(A236,Cover!A:R,18,0)</f>
        <v>7.6000000000000005</v>
      </c>
      <c r="AB236" s="77">
        <f t="shared" ref="AB236" si="195">M236-AA236</f>
        <v>19.697959999999998</v>
      </c>
      <c r="AC236" s="77">
        <f t="shared" ref="AC236" si="196">O236-AA236</f>
        <v>13.2517</v>
      </c>
      <c r="AD236" s="77">
        <f t="shared" ref="AD236" si="197">AB236/L236%</f>
        <v>58.780649674017099</v>
      </c>
      <c r="AE236" s="77">
        <f t="shared" ref="AE236" si="198">AC236/N236%</f>
        <v>48.963040417961409</v>
      </c>
      <c r="AF236" s="77">
        <f t="shared" ref="AF236" si="199">T236-AA236</f>
        <v>9.1693999999999996</v>
      </c>
      <c r="AG236" s="77">
        <f t="shared" ref="AG236" si="200">AF236/S236%</f>
        <v>39.897486772486772</v>
      </c>
      <c r="AH236" s="77">
        <f t="shared" ref="AH236" si="201">W236</f>
        <v>33.75</v>
      </c>
      <c r="AI236" s="77">
        <f t="shared" ref="AI236" si="202">J236</f>
        <v>6.2130000000000001</v>
      </c>
      <c r="AJ236" s="77">
        <f t="shared" ref="AJ236" si="203">AH236-AI236</f>
        <v>27.536999999999999</v>
      </c>
      <c r="AK236" s="77">
        <f t="shared" ref="AK236" si="204">AA236</f>
        <v>7.6000000000000005</v>
      </c>
      <c r="AL236" s="77">
        <f t="shared" ref="AL236" si="205">AJ236-AK236</f>
        <v>19.936999999999998</v>
      </c>
      <c r="AM236" s="77">
        <f t="shared" ref="AM236" si="206">AL236/AH236%</f>
        <v>59.072592592592585</v>
      </c>
      <c r="AO236" t="s">
        <v>1651</v>
      </c>
      <c r="AP236" t="str">
        <f t="shared" si="170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69"/>
        <v>DDm85-33</v>
      </c>
    </row>
    <row r="237" spans="1:53">
      <c r="A237" s="35" t="s">
        <v>253</v>
      </c>
      <c r="B237" s="35" t="s">
        <v>1632</v>
      </c>
      <c r="C237" s="35" t="s">
        <v>1932</v>
      </c>
      <c r="D237" s="35" t="s">
        <v>1585</v>
      </c>
      <c r="E237" s="35" t="s">
        <v>1425</v>
      </c>
      <c r="F237" s="35" t="s">
        <v>1587</v>
      </c>
      <c r="G237" s="102">
        <v>36.6</v>
      </c>
      <c r="H237" s="102">
        <v>6</v>
      </c>
      <c r="I237" s="102">
        <v>46</v>
      </c>
      <c r="J237" s="102">
        <v>2.5070000000000001</v>
      </c>
      <c r="K237" s="103">
        <v>45323</v>
      </c>
      <c r="L237" s="102">
        <v>7.9787999999999997</v>
      </c>
      <c r="M237" s="102">
        <v>5.4718</v>
      </c>
      <c r="N237" s="102">
        <v>6.867</v>
      </c>
      <c r="O237" s="102">
        <v>4.3600000000000003</v>
      </c>
      <c r="P237" s="35" t="s">
        <v>1588</v>
      </c>
      <c r="Q237" s="35" t="s">
        <v>1616</v>
      </c>
      <c r="R237" s="35" t="s">
        <v>1771</v>
      </c>
      <c r="S237" s="102">
        <v>5.5922400000000101</v>
      </c>
      <c r="T237" s="102">
        <v>3.08524000000001</v>
      </c>
      <c r="U237" s="35" t="s">
        <v>1603</v>
      </c>
      <c r="V237" s="35" t="s">
        <v>1914</v>
      </c>
      <c r="W237" s="102">
        <v>18</v>
      </c>
      <c r="X237" s="102">
        <v>15.493</v>
      </c>
      <c r="Y237" s="102">
        <v>65</v>
      </c>
      <c r="Z237" s="35" t="s">
        <v>1593</v>
      </c>
      <c r="AA237">
        <f>VLOOKUP(A237,Cover!A:R,18,0)</f>
        <v>0</v>
      </c>
      <c r="AB237" s="77">
        <f t="shared" si="171"/>
        <v>5.4718</v>
      </c>
      <c r="AC237" s="77">
        <f t="shared" si="172"/>
        <v>4.3600000000000003</v>
      </c>
      <c r="AD237" s="77">
        <f t="shared" si="173"/>
        <v>68.579234972677597</v>
      </c>
      <c r="AE237" s="77">
        <f t="shared" si="174"/>
        <v>63.492063492063501</v>
      </c>
      <c r="AF237" s="77">
        <f t="shared" si="175"/>
        <v>3.08524000000001</v>
      </c>
      <c r="AG237" s="77">
        <f t="shared" si="176"/>
        <v>55.170021315251212</v>
      </c>
      <c r="AH237" s="77">
        <f t="shared" si="177"/>
        <v>18</v>
      </c>
      <c r="AI237" s="77">
        <f t="shared" si="178"/>
        <v>2.5070000000000001</v>
      </c>
      <c r="AJ237" s="77">
        <f t="shared" si="179"/>
        <v>15.493</v>
      </c>
      <c r="AK237" s="77">
        <f t="shared" si="180"/>
        <v>0</v>
      </c>
      <c r="AL237" s="77">
        <f t="shared" si="181"/>
        <v>15.493</v>
      </c>
      <c r="AM237" s="77">
        <f t="shared" si="182"/>
        <v>86.072222222222223</v>
      </c>
      <c r="AO237" t="s">
        <v>1594</v>
      </c>
      <c r="AP237" t="str">
        <f t="shared" si="170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69"/>
        <v>12V190F</v>
      </c>
    </row>
    <row r="238" spans="1:53">
      <c r="A238" s="35" t="s">
        <v>254</v>
      </c>
      <c r="B238" s="35" t="s">
        <v>1607</v>
      </c>
      <c r="C238" s="35" t="s">
        <v>1933</v>
      </c>
      <c r="D238" s="35" t="s">
        <v>1585</v>
      </c>
      <c r="E238" s="35" t="s">
        <v>925</v>
      </c>
      <c r="F238" s="35" t="s">
        <v>1587</v>
      </c>
      <c r="G238" s="102">
        <v>36.6</v>
      </c>
      <c r="H238" s="102">
        <v>44</v>
      </c>
      <c r="I238" s="102">
        <v>721</v>
      </c>
      <c r="J238" s="102">
        <v>39.294499999999999</v>
      </c>
      <c r="K238" s="103">
        <v>44627.604166666701</v>
      </c>
      <c r="L238" s="102">
        <v>68.617679999999993</v>
      </c>
      <c r="M238" s="102">
        <v>29.323180000000001</v>
      </c>
      <c r="N238" s="102">
        <v>42.1721</v>
      </c>
      <c r="O238" s="102">
        <v>2.8776000000000002</v>
      </c>
      <c r="P238" s="35" t="s">
        <v>1603</v>
      </c>
      <c r="Q238" s="35" t="s">
        <v>1598</v>
      </c>
      <c r="R238" s="35" t="s">
        <v>1609</v>
      </c>
      <c r="S238" s="102">
        <v>71.107200000000205</v>
      </c>
      <c r="T238" s="102">
        <v>31.812700000000198</v>
      </c>
      <c r="U238" s="35" t="s">
        <v>1603</v>
      </c>
      <c r="V238" s="35" t="s">
        <v>1686</v>
      </c>
      <c r="W238" s="102">
        <v>67.5</v>
      </c>
      <c r="X238" s="102">
        <v>28.205500000000001</v>
      </c>
      <c r="Y238" s="102">
        <v>1</v>
      </c>
      <c r="Z238" s="35" t="s">
        <v>1593</v>
      </c>
      <c r="AA238">
        <f>VLOOKUP(A238,Cover!A:R,18,0)</f>
        <v>7.4</v>
      </c>
      <c r="AB238" s="77">
        <f t="shared" si="171"/>
        <v>21.923180000000002</v>
      </c>
      <c r="AC238" s="77">
        <f t="shared" si="172"/>
        <v>-4.5224000000000002</v>
      </c>
      <c r="AD238" s="77">
        <f t="shared" si="173"/>
        <v>31.949754057554852</v>
      </c>
      <c r="AE238" s="77">
        <f t="shared" si="174"/>
        <v>-10.723677502424589</v>
      </c>
      <c r="AF238" s="77">
        <f t="shared" si="175"/>
        <v>24.4127000000002</v>
      </c>
      <c r="AG238" s="77">
        <f t="shared" si="176"/>
        <v>34.332247648620857</v>
      </c>
      <c r="AH238" s="77">
        <f t="shared" si="177"/>
        <v>67.5</v>
      </c>
      <c r="AI238" s="77">
        <f t="shared" si="178"/>
        <v>39.294499999999999</v>
      </c>
      <c r="AJ238" s="77">
        <f t="shared" si="179"/>
        <v>28.205500000000001</v>
      </c>
      <c r="AK238" s="77">
        <f t="shared" si="180"/>
        <v>7.4</v>
      </c>
      <c r="AL238" s="77">
        <f t="shared" si="181"/>
        <v>20.805500000000002</v>
      </c>
      <c r="AM238" s="77">
        <f t="shared" si="182"/>
        <v>30.822962962962965</v>
      </c>
      <c r="AO238" t="s">
        <v>1594</v>
      </c>
      <c r="AP238" t="str">
        <f t="shared" si="170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69"/>
        <v>DDm125-33</v>
      </c>
    </row>
    <row r="239" spans="1:53">
      <c r="A239" s="35" t="s">
        <v>255</v>
      </c>
      <c r="B239" s="35" t="s">
        <v>1607</v>
      </c>
      <c r="C239" s="35" t="s">
        <v>1747</v>
      </c>
      <c r="D239" s="35" t="s">
        <v>1580</v>
      </c>
      <c r="E239" s="35" t="s">
        <v>851</v>
      </c>
      <c r="F239" s="35" t="s">
        <v>1587</v>
      </c>
      <c r="G239" s="102">
        <v>36.6</v>
      </c>
      <c r="H239" s="102">
        <v>90</v>
      </c>
      <c r="I239" s="102">
        <v>78</v>
      </c>
      <c r="J239" s="102">
        <v>4.2510000000000003</v>
      </c>
      <c r="K239" s="103">
        <v>44692.583333333299</v>
      </c>
      <c r="L239" s="102">
        <v>142.02264</v>
      </c>
      <c r="M239" s="102">
        <v>137.77163999999999</v>
      </c>
      <c r="N239" s="102">
        <v>116.4883</v>
      </c>
      <c r="O239" s="102">
        <v>112.2373</v>
      </c>
      <c r="P239" s="35" t="s">
        <v>1603</v>
      </c>
      <c r="Q239" s="35" t="s">
        <v>1598</v>
      </c>
      <c r="R239" s="35" t="s">
        <v>1830</v>
      </c>
      <c r="S239" s="102">
        <v>95.610240000000005</v>
      </c>
      <c r="T239" s="102">
        <v>91.35924</v>
      </c>
      <c r="U239" s="35" t="s">
        <v>1603</v>
      </c>
      <c r="V239" s="35" t="s">
        <v>1670</v>
      </c>
      <c r="W239" s="102">
        <v>90</v>
      </c>
      <c r="X239" s="102">
        <v>85.748999999999995</v>
      </c>
      <c r="Y239" s="102">
        <v>8</v>
      </c>
      <c r="Z239" s="35" t="s">
        <v>1934</v>
      </c>
      <c r="AA239">
        <f>VLOOKUP(A239,Cover!A:R,18,0)</f>
        <v>0</v>
      </c>
      <c r="AB239" s="77">
        <f t="shared" si="171"/>
        <v>137.77163999999999</v>
      </c>
      <c r="AC239" s="77">
        <f t="shared" si="172"/>
        <v>112.2373</v>
      </c>
      <c r="AD239" s="77">
        <f t="shared" si="173"/>
        <v>97.006815251427511</v>
      </c>
      <c r="AE239" s="77">
        <f t="shared" si="174"/>
        <v>96.35070646579959</v>
      </c>
      <c r="AF239" s="77">
        <f t="shared" si="175"/>
        <v>91.35924</v>
      </c>
      <c r="AG239" s="77">
        <f t="shared" si="176"/>
        <v>95.553823523505429</v>
      </c>
      <c r="AH239" s="77">
        <f t="shared" si="177"/>
        <v>90</v>
      </c>
      <c r="AI239" s="77">
        <f t="shared" si="178"/>
        <v>4.2510000000000003</v>
      </c>
      <c r="AJ239" s="77">
        <f t="shared" si="179"/>
        <v>85.748999999999995</v>
      </c>
      <c r="AK239" s="77">
        <f t="shared" si="180"/>
        <v>0</v>
      </c>
      <c r="AL239" s="77">
        <f t="shared" si="181"/>
        <v>85.748999999999995</v>
      </c>
      <c r="AM239" s="77">
        <f t="shared" si="182"/>
        <v>95.276666666666657</v>
      </c>
      <c r="AO239" t="s">
        <v>1594</v>
      </c>
      <c r="AP239" t="str">
        <f t="shared" si="170"/>
        <v>2CP3000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69"/>
        <v>2CP3000</v>
      </c>
    </row>
    <row r="240" spans="1:53">
      <c r="A240" s="35" t="s">
        <v>256</v>
      </c>
      <c r="B240" s="35" t="s">
        <v>1607</v>
      </c>
      <c r="C240" s="35" t="s">
        <v>1935</v>
      </c>
      <c r="D240" s="35" t="s">
        <v>1580</v>
      </c>
      <c r="E240" s="35" t="s">
        <v>942</v>
      </c>
      <c r="F240" s="35" t="s">
        <v>1587</v>
      </c>
      <c r="G240" s="102">
        <v>36.6</v>
      </c>
      <c r="H240" s="102">
        <v>67</v>
      </c>
      <c r="I240" s="102">
        <v>967</v>
      </c>
      <c r="J240" s="102">
        <v>52.701500000000003</v>
      </c>
      <c r="K240" s="103">
        <v>45323</v>
      </c>
      <c r="L240" s="102">
        <v>105.32016</v>
      </c>
      <c r="M240" s="102">
        <v>52.618659999999998</v>
      </c>
      <c r="N240" s="102">
        <v>77.150199999999998</v>
      </c>
      <c r="O240" s="102">
        <v>24.448699999999999</v>
      </c>
      <c r="P240" s="35" t="s">
        <v>1608</v>
      </c>
      <c r="Q240" s="35" t="s">
        <v>1598</v>
      </c>
      <c r="R240" s="35" t="s">
        <v>1609</v>
      </c>
      <c r="S240" s="102">
        <v>88.884000000000199</v>
      </c>
      <c r="T240" s="102">
        <v>36.182500000000203</v>
      </c>
      <c r="U240" s="35" t="s">
        <v>1603</v>
      </c>
      <c r="V240" s="35" t="s">
        <v>1627</v>
      </c>
      <c r="W240" s="102">
        <v>112.5</v>
      </c>
      <c r="X240" s="102">
        <v>59.798499999999997</v>
      </c>
      <c r="Y240" s="102">
        <v>9</v>
      </c>
      <c r="Z240" s="35" t="s">
        <v>1936</v>
      </c>
      <c r="AA240">
        <f>VLOOKUP(A240,Cover!A:R,18,0)</f>
        <v>9.1549999999999994</v>
      </c>
      <c r="AB240" s="77">
        <f t="shared" si="171"/>
        <v>43.463659999999997</v>
      </c>
      <c r="AC240" s="77">
        <f t="shared" si="172"/>
        <v>15.293699999999999</v>
      </c>
      <c r="AD240" s="77">
        <f t="shared" si="173"/>
        <v>41.268129482522625</v>
      </c>
      <c r="AE240" s="77">
        <f t="shared" si="174"/>
        <v>19.823279784109438</v>
      </c>
      <c r="AF240" s="77">
        <f t="shared" si="175"/>
        <v>27.027500000000202</v>
      </c>
      <c r="AG240" s="77">
        <f t="shared" si="176"/>
        <v>30.407609918545681</v>
      </c>
      <c r="AH240" s="345">
        <f>AVERAGE(W240:W241)</f>
        <v>112.5</v>
      </c>
      <c r="AI240" s="345">
        <f>SUM(J240:J241)</f>
        <v>101.8605</v>
      </c>
      <c r="AJ240" s="345">
        <f t="shared" si="179"/>
        <v>10.639499999999998</v>
      </c>
      <c r="AK240" s="345">
        <f>SUM(AA240:AA241)</f>
        <v>19.21</v>
      </c>
      <c r="AL240" s="345">
        <f t="shared" si="181"/>
        <v>-8.5705000000000027</v>
      </c>
      <c r="AM240" s="346">
        <f t="shared" si="182"/>
        <v>-7.6182222222222249</v>
      </c>
      <c r="AN240" t="s">
        <v>1580</v>
      </c>
      <c r="AO240" t="s">
        <v>1651</v>
      </c>
      <c r="AP240" t="str">
        <f t="shared" si="170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69"/>
        <v>DDm125-33</v>
      </c>
    </row>
    <row r="241" spans="1:53">
      <c r="A241" s="35" t="s">
        <v>257</v>
      </c>
      <c r="B241" s="35" t="s">
        <v>1607</v>
      </c>
      <c r="C241" s="35" t="s">
        <v>1935</v>
      </c>
      <c r="D241" s="35" t="s">
        <v>1580</v>
      </c>
      <c r="E241" s="35" t="s">
        <v>942</v>
      </c>
      <c r="F241" s="35" t="s">
        <v>1587</v>
      </c>
      <c r="G241" s="102">
        <v>36.6</v>
      </c>
      <c r="H241" s="102">
        <v>67</v>
      </c>
      <c r="I241" s="102">
        <v>902</v>
      </c>
      <c r="J241" s="102">
        <v>49.158999999999999</v>
      </c>
      <c r="K241" s="103">
        <v>45323</v>
      </c>
      <c r="L241" s="102">
        <v>105.32016</v>
      </c>
      <c r="M241" s="102">
        <v>56.161160000000002</v>
      </c>
      <c r="N241" s="102">
        <v>77.150199999999998</v>
      </c>
      <c r="O241" s="102">
        <v>27.991199999999999</v>
      </c>
      <c r="P241" s="35" t="s">
        <v>1608</v>
      </c>
      <c r="Q241" s="35" t="s">
        <v>1598</v>
      </c>
      <c r="R241" s="35" t="s">
        <v>1609</v>
      </c>
      <c r="S241" s="102">
        <v>88.884000000000199</v>
      </c>
      <c r="T241" s="102">
        <v>39.7250000000002</v>
      </c>
      <c r="U241" s="35" t="s">
        <v>1603</v>
      </c>
      <c r="V241" s="35" t="s">
        <v>1627</v>
      </c>
      <c r="W241" s="102">
        <v>112.5</v>
      </c>
      <c r="X241" s="102">
        <v>63.341000000000001</v>
      </c>
      <c r="Y241" s="102">
        <v>9</v>
      </c>
      <c r="Z241" s="35" t="s">
        <v>1936</v>
      </c>
      <c r="AA241">
        <f>VLOOKUP(A241,Cover!A:R,18,0)</f>
        <v>10.055</v>
      </c>
      <c r="AB241" s="77">
        <f t="shared" ref="AB241" si="207">M241-AA241</f>
        <v>46.106160000000003</v>
      </c>
      <c r="AC241" s="77">
        <f t="shared" ref="AC241" si="208">O241-AA241</f>
        <v>17.936199999999999</v>
      </c>
      <c r="AD241" s="77">
        <f t="shared" ref="AD241" si="209">AB241/L241%</f>
        <v>43.777145800006387</v>
      </c>
      <c r="AE241" s="77">
        <f t="shared" ref="AE241" si="210">AC241/N241%</f>
        <v>23.248416724778419</v>
      </c>
      <c r="AF241" s="77">
        <f t="shared" ref="AF241" si="211">T241-AA241</f>
        <v>29.670000000000201</v>
      </c>
      <c r="AG241" s="77">
        <f t="shared" ref="AG241" si="212">AF241/S241%</f>
        <v>33.380585932226424</v>
      </c>
      <c r="AH241" s="345"/>
      <c r="AI241" s="345"/>
      <c r="AJ241" s="345"/>
      <c r="AK241" s="345"/>
      <c r="AL241" s="345"/>
      <c r="AM241" s="346"/>
      <c r="AN241" t="s">
        <v>1580</v>
      </c>
      <c r="AO241" t="s">
        <v>1651</v>
      </c>
      <c r="AP241" t="str">
        <f t="shared" si="170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69"/>
        <v>DDm125-33</v>
      </c>
    </row>
    <row r="242" spans="1:53">
      <c r="A242" s="35" t="s">
        <v>258</v>
      </c>
      <c r="B242" s="35" t="s">
        <v>1607</v>
      </c>
      <c r="C242" s="35" t="s">
        <v>1935</v>
      </c>
      <c r="D242" s="35" t="s">
        <v>1585</v>
      </c>
      <c r="E242" s="35" t="s">
        <v>930</v>
      </c>
      <c r="F242" s="35" t="s">
        <v>1587</v>
      </c>
      <c r="G242" s="102">
        <v>36.6</v>
      </c>
      <c r="H242" s="102">
        <v>60</v>
      </c>
      <c r="I242" s="102">
        <v>359</v>
      </c>
      <c r="J242" s="102">
        <v>19.5655</v>
      </c>
      <c r="K242" s="103">
        <v>45323</v>
      </c>
      <c r="L242" s="102">
        <v>94.149839999999998</v>
      </c>
      <c r="M242" s="102">
        <v>74.584339999999997</v>
      </c>
      <c r="N242" s="102">
        <v>96.432299999999998</v>
      </c>
      <c r="O242" s="102">
        <v>76.866799999999998</v>
      </c>
      <c r="P242" s="35" t="s">
        <v>1588</v>
      </c>
      <c r="Q242" s="35" t="s">
        <v>1598</v>
      </c>
      <c r="R242" s="35" t="s">
        <v>1605</v>
      </c>
      <c r="S242" s="102">
        <v>34.279200000000003</v>
      </c>
      <c r="T242" s="102">
        <v>14.713699999999999</v>
      </c>
      <c r="U242" s="35" t="s">
        <v>1608</v>
      </c>
      <c r="V242" s="35" t="s">
        <v>1670</v>
      </c>
      <c r="W242" s="102">
        <v>90</v>
      </c>
      <c r="X242" s="102">
        <v>70.4345</v>
      </c>
      <c r="Y242" s="102">
        <v>64</v>
      </c>
      <c r="Z242" s="35" t="s">
        <v>1593</v>
      </c>
      <c r="AA242">
        <f>VLOOKUP(A242,Cover!A:R,18,0)</f>
        <v>11.83</v>
      </c>
      <c r="AB242" s="77">
        <f t="shared" si="171"/>
        <v>62.754339999999999</v>
      </c>
      <c r="AC242" s="77">
        <f t="shared" si="172"/>
        <v>65.036799999999999</v>
      </c>
      <c r="AD242" s="77">
        <f t="shared" si="173"/>
        <v>66.6536873562398</v>
      </c>
      <c r="AE242" s="77">
        <f t="shared" si="174"/>
        <v>67.442962575817447</v>
      </c>
      <c r="AF242" s="77">
        <f t="shared" si="175"/>
        <v>2.8836999999999993</v>
      </c>
      <c r="AG242" s="77">
        <f t="shared" si="176"/>
        <v>8.4123900207706104</v>
      </c>
      <c r="AH242" s="345">
        <f>AVERAGE(W242:W243)</f>
        <v>90</v>
      </c>
      <c r="AI242" s="345">
        <f>SUM(J242:J243)</f>
        <v>38.367999999999995</v>
      </c>
      <c r="AJ242" s="345">
        <f t="shared" si="179"/>
        <v>51.632000000000005</v>
      </c>
      <c r="AK242" s="345">
        <f>SUM(AA242:AA243)</f>
        <v>23.66</v>
      </c>
      <c r="AL242" s="345">
        <f t="shared" si="181"/>
        <v>27.972000000000005</v>
      </c>
      <c r="AM242" s="346">
        <f t="shared" si="182"/>
        <v>31.080000000000005</v>
      </c>
      <c r="AO242" t="s">
        <v>1651</v>
      </c>
      <c r="AP242" t="str">
        <f t="shared" si="170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69"/>
        <v>DDm100-27</v>
      </c>
    </row>
    <row r="243" spans="1:53">
      <c r="A243" s="35" t="s">
        <v>259</v>
      </c>
      <c r="B243" s="35" t="s">
        <v>1607</v>
      </c>
      <c r="C243" s="35" t="s">
        <v>1935</v>
      </c>
      <c r="D243" s="35" t="s">
        <v>1585</v>
      </c>
      <c r="E243" s="35" t="s">
        <v>930</v>
      </c>
      <c r="F243" s="35" t="s">
        <v>1587</v>
      </c>
      <c r="G243" s="102">
        <v>36.6</v>
      </c>
      <c r="H243" s="102">
        <v>60</v>
      </c>
      <c r="I243" s="102">
        <v>345</v>
      </c>
      <c r="J243" s="102">
        <v>18.802499999999998</v>
      </c>
      <c r="K243" s="103">
        <v>45323</v>
      </c>
      <c r="L243" s="102">
        <v>94.149839999999998</v>
      </c>
      <c r="M243" s="102">
        <v>75.347340000000003</v>
      </c>
      <c r="N243" s="102">
        <v>96.432299999999998</v>
      </c>
      <c r="O243" s="102">
        <v>77.629800000000003</v>
      </c>
      <c r="P243" s="35" t="s">
        <v>1588</v>
      </c>
      <c r="Q243" s="35" t="s">
        <v>1598</v>
      </c>
      <c r="R243" s="35" t="s">
        <v>1605</v>
      </c>
      <c r="S243" s="102">
        <v>34.279200000000003</v>
      </c>
      <c r="T243" s="102">
        <v>15.476699999999999</v>
      </c>
      <c r="U243" s="35" t="s">
        <v>1608</v>
      </c>
      <c r="V243" s="35" t="s">
        <v>1670</v>
      </c>
      <c r="W243" s="102">
        <v>90</v>
      </c>
      <c r="X243" s="102">
        <v>71.197500000000005</v>
      </c>
      <c r="Y243" s="102">
        <v>64</v>
      </c>
      <c r="Z243" s="35" t="s">
        <v>1593</v>
      </c>
      <c r="AA243">
        <f>VLOOKUP(A243,Cover!A:R,18,0)</f>
        <v>11.83</v>
      </c>
      <c r="AB243" s="77">
        <f t="shared" si="171"/>
        <v>63.517340000000004</v>
      </c>
      <c r="AC243" s="77">
        <f t="shared" si="172"/>
        <v>65.799800000000005</v>
      </c>
      <c r="AD243" s="77">
        <f t="shared" si="173"/>
        <v>67.464097655396984</v>
      </c>
      <c r="AE243" s="77">
        <f t="shared" si="174"/>
        <v>68.234191240901652</v>
      </c>
      <c r="AF243" s="77">
        <f t="shared" si="175"/>
        <v>3.6466999999999992</v>
      </c>
      <c r="AG243" s="77">
        <f t="shared" si="176"/>
        <v>10.638229596956752</v>
      </c>
      <c r="AH243" s="345"/>
      <c r="AI243" s="345"/>
      <c r="AJ243" s="345"/>
      <c r="AK243" s="345"/>
      <c r="AL243" s="345"/>
      <c r="AM243" s="346"/>
      <c r="AO243" t="s">
        <v>1651</v>
      </c>
      <c r="AP243" t="str">
        <f t="shared" si="170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69"/>
        <v>DDm100-27</v>
      </c>
    </row>
    <row r="244" spans="1:53">
      <c r="A244" s="35" t="s">
        <v>260</v>
      </c>
      <c r="B244" s="35" t="s">
        <v>1607</v>
      </c>
      <c r="C244" s="35" t="s">
        <v>1935</v>
      </c>
      <c r="D244" s="35" t="s">
        <v>1585</v>
      </c>
      <c r="E244" s="35" t="s">
        <v>949</v>
      </c>
      <c r="F244" s="35" t="s">
        <v>1641</v>
      </c>
      <c r="G244" s="102">
        <v>55</v>
      </c>
      <c r="H244" s="102">
        <v>8</v>
      </c>
      <c r="I244" s="102">
        <v>61</v>
      </c>
      <c r="J244" s="102">
        <v>3.3245</v>
      </c>
      <c r="K244" s="103">
        <v>44673.604166666701</v>
      </c>
      <c r="L244" s="102">
        <v>16.786000000000001</v>
      </c>
      <c r="M244" s="102">
        <v>13.461499999999999</v>
      </c>
      <c r="N244" s="102">
        <v>19.892499999999998</v>
      </c>
      <c r="O244" s="102">
        <v>16.568000000000001</v>
      </c>
      <c r="P244" s="35" t="s">
        <v>1591</v>
      </c>
      <c r="Q244" s="35" t="s">
        <v>1616</v>
      </c>
      <c r="R244" s="35" t="s">
        <v>1937</v>
      </c>
      <c r="S244" s="102">
        <v>2.2507199999999998</v>
      </c>
      <c r="T244" s="102">
        <v>-1.07378</v>
      </c>
      <c r="U244" s="35" t="s">
        <v>1603</v>
      </c>
      <c r="V244" s="35" t="s">
        <v>1627</v>
      </c>
      <c r="W244" s="102">
        <v>112.5</v>
      </c>
      <c r="X244" s="102">
        <v>109.1755</v>
      </c>
      <c r="Y244" s="102">
        <v>6</v>
      </c>
      <c r="Z244" s="35" t="s">
        <v>1593</v>
      </c>
      <c r="AA244">
        <f>VLOOKUP(A244,Cover!A:R,18,0)</f>
        <v>0</v>
      </c>
      <c r="AB244" s="77">
        <f t="shared" si="171"/>
        <v>13.461499999999999</v>
      </c>
      <c r="AC244" s="77">
        <f t="shared" si="172"/>
        <v>16.568000000000001</v>
      </c>
      <c r="AD244" s="77">
        <f t="shared" si="173"/>
        <v>80.194805194805184</v>
      </c>
      <c r="AE244" s="77">
        <f t="shared" si="174"/>
        <v>83.287671232876718</v>
      </c>
      <c r="AF244" s="77">
        <f t="shared" si="175"/>
        <v>-1.07378</v>
      </c>
      <c r="AG244" s="77">
        <f t="shared" si="176"/>
        <v>-47.708288903106563</v>
      </c>
      <c r="AH244" s="77">
        <f t="shared" si="177"/>
        <v>112.5</v>
      </c>
      <c r="AI244" s="77">
        <f t="shared" si="178"/>
        <v>3.3245</v>
      </c>
      <c r="AJ244" s="77">
        <f t="shared" si="179"/>
        <v>109.1755</v>
      </c>
      <c r="AK244" s="77">
        <f t="shared" si="180"/>
        <v>0</v>
      </c>
      <c r="AL244" s="77">
        <f t="shared" si="181"/>
        <v>109.1755</v>
      </c>
      <c r="AM244" s="77">
        <f t="shared" si="182"/>
        <v>97.044888888888892</v>
      </c>
      <c r="AO244" t="s">
        <v>1594</v>
      </c>
      <c r="AP244" t="str">
        <f t="shared" si="170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69"/>
        <v>12V125F</v>
      </c>
    </row>
    <row r="245" spans="1:53">
      <c r="A245" s="35" t="s">
        <v>261</v>
      </c>
      <c r="B245" s="35" t="s">
        <v>1612</v>
      </c>
      <c r="C245" s="35" t="s">
        <v>1938</v>
      </c>
      <c r="D245" s="35" t="s">
        <v>1585</v>
      </c>
      <c r="E245" s="35" t="s">
        <v>1939</v>
      </c>
      <c r="F245" s="35" t="s">
        <v>1587</v>
      </c>
      <c r="G245" s="102">
        <v>36.6</v>
      </c>
      <c r="H245" s="102">
        <v>4</v>
      </c>
      <c r="I245" s="102">
        <v>38</v>
      </c>
      <c r="J245" s="102">
        <v>2.0710000000000002</v>
      </c>
      <c r="K245" s="103">
        <v>45323</v>
      </c>
      <c r="L245" s="102">
        <v>4.78728</v>
      </c>
      <c r="M245" s="102">
        <v>2.7162799999999998</v>
      </c>
      <c r="N245" s="102">
        <v>3.8749498364999999</v>
      </c>
      <c r="O245" s="102">
        <v>1.8039498365</v>
      </c>
      <c r="P245" s="35" t="s">
        <v>1588</v>
      </c>
      <c r="Q245" s="35" t="s">
        <v>1616</v>
      </c>
      <c r="R245" s="35" t="s">
        <v>1622</v>
      </c>
      <c r="S245" s="102">
        <v>4.2119999999999997</v>
      </c>
      <c r="T245" s="102">
        <v>2.141</v>
      </c>
      <c r="U245" s="35" t="s">
        <v>1591</v>
      </c>
      <c r="V245" s="35" t="s">
        <v>1618</v>
      </c>
      <c r="W245" s="102">
        <v>5.0250000000000004</v>
      </c>
      <c r="X245" s="102">
        <v>2.9540000000000002</v>
      </c>
      <c r="Y245" s="102">
        <v>5</v>
      </c>
      <c r="Z245" s="35" t="s">
        <v>1593</v>
      </c>
      <c r="AA245">
        <f>VLOOKUP(A245,Cover!A:R,18,0)</f>
        <v>1.5</v>
      </c>
      <c r="AB245" s="77">
        <f t="shared" si="171"/>
        <v>1.2162799999999998</v>
      </c>
      <c r="AC245" s="77">
        <f t="shared" si="172"/>
        <v>0.30394983649999996</v>
      </c>
      <c r="AD245" s="77">
        <f t="shared" si="173"/>
        <v>25.406493875436571</v>
      </c>
      <c r="AE245" s="77">
        <f t="shared" si="174"/>
        <v>7.8439682918460409</v>
      </c>
      <c r="AF245" s="77">
        <f t="shared" si="175"/>
        <v>0.64100000000000001</v>
      </c>
      <c r="AG245" s="77">
        <f t="shared" si="176"/>
        <v>15.218423551756887</v>
      </c>
      <c r="AH245" s="77">
        <f t="shared" si="177"/>
        <v>5.0250000000000004</v>
      </c>
      <c r="AI245" s="77">
        <f t="shared" si="178"/>
        <v>2.0710000000000002</v>
      </c>
      <c r="AJ245" s="77">
        <f t="shared" si="179"/>
        <v>2.9540000000000002</v>
      </c>
      <c r="AK245" s="77">
        <f t="shared" si="180"/>
        <v>1.5</v>
      </c>
      <c r="AL245" s="77">
        <f t="shared" si="181"/>
        <v>1.4540000000000002</v>
      </c>
      <c r="AM245" s="77">
        <f t="shared" si="182"/>
        <v>28.93532338308458</v>
      </c>
      <c r="AO245" t="s">
        <v>1594</v>
      </c>
      <c r="AP245" t="str">
        <f t="shared" si="170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69"/>
        <v>12V155F</v>
      </c>
    </row>
    <row r="246" spans="1:53">
      <c r="A246" s="35" t="s">
        <v>262</v>
      </c>
      <c r="B246" s="35" t="s">
        <v>1659</v>
      </c>
      <c r="C246" s="35" t="s">
        <v>1940</v>
      </c>
      <c r="D246" s="35" t="s">
        <v>1580</v>
      </c>
      <c r="E246" s="35" t="s">
        <v>1941</v>
      </c>
      <c r="F246" s="35" t="s">
        <v>1942</v>
      </c>
      <c r="G246" s="102">
        <v>20</v>
      </c>
      <c r="H246" s="102">
        <v>3</v>
      </c>
      <c r="I246" s="102">
        <v>9</v>
      </c>
      <c r="J246" s="102">
        <v>0.49049999999999999</v>
      </c>
      <c r="K246" s="103">
        <v>44720.583333333299</v>
      </c>
      <c r="L246" s="102">
        <v>1.744</v>
      </c>
      <c r="M246" s="102">
        <v>1.2535000000000001</v>
      </c>
      <c r="N246" s="102">
        <v>0.54500000000000004</v>
      </c>
      <c r="O246" s="102">
        <v>5.45E-2</v>
      </c>
      <c r="P246" s="35" t="s">
        <v>1588</v>
      </c>
      <c r="Q246" s="35" t="s">
        <v>1598</v>
      </c>
      <c r="R246" s="35" t="s">
        <v>1694</v>
      </c>
      <c r="S246" s="102">
        <v>2.6892</v>
      </c>
      <c r="T246" s="102">
        <v>2.1987000000000001</v>
      </c>
      <c r="U246" s="35" t="s">
        <v>1591</v>
      </c>
      <c r="V246" s="35" t="s">
        <v>1648</v>
      </c>
      <c r="W246" s="102">
        <v>6</v>
      </c>
      <c r="X246" s="102">
        <v>5.5095000000000001</v>
      </c>
      <c r="Y246" s="102">
        <v>1</v>
      </c>
      <c r="Z246" s="35" t="s">
        <v>1943</v>
      </c>
      <c r="AA246">
        <f>VLOOKUP(A246,Cover!A:R,18,0)</f>
        <v>0</v>
      </c>
      <c r="AB246" s="77">
        <f t="shared" si="171"/>
        <v>1.2535000000000001</v>
      </c>
      <c r="AC246" s="77">
        <f t="shared" si="172"/>
        <v>5.45E-2</v>
      </c>
      <c r="AD246" s="77">
        <f t="shared" si="173"/>
        <v>71.875</v>
      </c>
      <c r="AE246" s="77">
        <f t="shared" si="174"/>
        <v>10</v>
      </c>
      <c r="AF246" s="77">
        <f t="shared" si="175"/>
        <v>2.1987000000000001</v>
      </c>
      <c r="AG246" s="77">
        <f t="shared" si="176"/>
        <v>81.760374832663999</v>
      </c>
      <c r="AH246" s="77">
        <f t="shared" si="177"/>
        <v>6</v>
      </c>
      <c r="AI246" s="77">
        <f t="shared" si="178"/>
        <v>0.49049999999999999</v>
      </c>
      <c r="AJ246" s="77">
        <f t="shared" si="179"/>
        <v>5.5095000000000001</v>
      </c>
      <c r="AK246" s="77">
        <f t="shared" si="180"/>
        <v>0</v>
      </c>
      <c r="AL246" s="77">
        <f t="shared" si="181"/>
        <v>5.5095000000000001</v>
      </c>
      <c r="AM246" s="77">
        <f t="shared" si="182"/>
        <v>91.825000000000003</v>
      </c>
      <c r="AN246" t="s">
        <v>1580</v>
      </c>
      <c r="AO246" t="s">
        <v>1594</v>
      </c>
      <c r="AP246" t="str">
        <f t="shared" si="170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69"/>
        <v xml:space="preserve">12V101F </v>
      </c>
    </row>
    <row r="247" spans="1:53">
      <c r="A247" s="35" t="s">
        <v>263</v>
      </c>
      <c r="B247" s="35" t="s">
        <v>1624</v>
      </c>
      <c r="C247" s="35" t="s">
        <v>1944</v>
      </c>
      <c r="D247" s="35" t="s">
        <v>1585</v>
      </c>
      <c r="E247" s="35" t="s">
        <v>1501</v>
      </c>
      <c r="F247" s="35" t="s">
        <v>1601</v>
      </c>
      <c r="G247" s="102">
        <v>31</v>
      </c>
      <c r="H247" s="102">
        <v>24</v>
      </c>
      <c r="I247" s="102">
        <v>438</v>
      </c>
      <c r="J247" s="102">
        <v>23.870999999999999</v>
      </c>
      <c r="K247" s="103">
        <v>44840</v>
      </c>
      <c r="L247" s="102">
        <v>31.0868</v>
      </c>
      <c r="M247" s="102">
        <v>7.2157999999999998</v>
      </c>
      <c r="N247" s="102">
        <v>18.4755</v>
      </c>
      <c r="O247" s="104">
        <v>-5.3955000000000002</v>
      </c>
      <c r="P247" s="35" t="s">
        <v>1591</v>
      </c>
      <c r="Q247" s="35" t="s">
        <v>1598</v>
      </c>
      <c r="R247" s="35" t="s">
        <v>1820</v>
      </c>
      <c r="S247" s="102">
        <v>32.832000000000001</v>
      </c>
      <c r="T247" s="102">
        <v>8.9610000000000198</v>
      </c>
      <c r="U247" s="35" t="s">
        <v>1621</v>
      </c>
      <c r="V247" s="35" t="s">
        <v>1732</v>
      </c>
      <c r="W247" s="102">
        <v>180</v>
      </c>
      <c r="X247" s="102">
        <v>156.12899999999999</v>
      </c>
      <c r="Y247" s="102">
        <v>77</v>
      </c>
      <c r="Z247" s="35" t="s">
        <v>1593</v>
      </c>
      <c r="AA247">
        <f>VLOOKUP(A247,Cover!A:R,18,0)</f>
        <v>1</v>
      </c>
      <c r="AB247" s="77">
        <f t="shared" si="171"/>
        <v>6.2157999999999998</v>
      </c>
      <c r="AC247" s="77">
        <f t="shared" si="172"/>
        <v>-6.3955000000000002</v>
      </c>
      <c r="AD247" s="77">
        <f t="shared" si="173"/>
        <v>19.994981792915322</v>
      </c>
      <c r="AE247" s="77">
        <f t="shared" si="174"/>
        <v>-34.616113231035698</v>
      </c>
      <c r="AF247" s="77">
        <f t="shared" si="175"/>
        <v>7.9610000000000198</v>
      </c>
      <c r="AG247" s="77">
        <f t="shared" si="176"/>
        <v>24.247685185185247</v>
      </c>
      <c r="AH247" s="77">
        <f t="shared" si="177"/>
        <v>180</v>
      </c>
      <c r="AI247" s="77">
        <f t="shared" si="178"/>
        <v>23.870999999999999</v>
      </c>
      <c r="AJ247" s="77">
        <f t="shared" si="179"/>
        <v>156.12899999999999</v>
      </c>
      <c r="AK247" s="77">
        <f t="shared" si="180"/>
        <v>1</v>
      </c>
      <c r="AL247" s="77">
        <f t="shared" si="181"/>
        <v>155.12899999999999</v>
      </c>
      <c r="AM247" s="77">
        <f t="shared" si="182"/>
        <v>86.182777777777773</v>
      </c>
      <c r="AO247" t="s">
        <v>1594</v>
      </c>
      <c r="AP247" t="str">
        <f t="shared" si="170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69"/>
        <v>SBS EON 1800</v>
      </c>
    </row>
    <row r="248" spans="1:53">
      <c r="A248" s="35" t="s">
        <v>264</v>
      </c>
      <c r="B248" s="35" t="s">
        <v>1687</v>
      </c>
      <c r="C248" s="35" t="s">
        <v>1945</v>
      </c>
      <c r="D248" s="35" t="s">
        <v>1585</v>
      </c>
      <c r="E248" s="35" t="s">
        <v>1444</v>
      </c>
      <c r="F248" s="35" t="s">
        <v>1587</v>
      </c>
      <c r="G248" s="102">
        <v>36.6</v>
      </c>
      <c r="H248" s="102">
        <v>35</v>
      </c>
      <c r="I248" s="102">
        <v>135</v>
      </c>
      <c r="J248" s="102">
        <v>7.3574999999999999</v>
      </c>
      <c r="K248" s="103">
        <v>44589</v>
      </c>
      <c r="L248" s="102">
        <v>54.255839999999999</v>
      </c>
      <c r="M248" s="102">
        <v>46.898339999999997</v>
      </c>
      <c r="N248" s="102">
        <v>35.119799999999998</v>
      </c>
      <c r="O248" s="102">
        <v>27.7623</v>
      </c>
      <c r="P248" s="35" t="s">
        <v>1588</v>
      </c>
      <c r="Q248" s="35" t="s">
        <v>1598</v>
      </c>
      <c r="R248" s="35" t="s">
        <v>1609</v>
      </c>
      <c r="S248" s="102">
        <v>53.330399999999997</v>
      </c>
      <c r="T248" s="102">
        <v>45.972900000000003</v>
      </c>
      <c r="U248" s="35" t="s">
        <v>1608</v>
      </c>
      <c r="V248" s="35" t="s">
        <v>1946</v>
      </c>
      <c r="W248" s="102">
        <v>66</v>
      </c>
      <c r="X248" s="102">
        <v>58.642499999999998</v>
      </c>
      <c r="Y248" s="102">
        <v>34</v>
      </c>
      <c r="Z248" s="35" t="s">
        <v>1593</v>
      </c>
      <c r="AA248">
        <f>VLOOKUP(A248,Cover!A:R,18,0)</f>
        <v>2.4</v>
      </c>
      <c r="AB248" s="77">
        <f t="shared" si="171"/>
        <v>44.498339999999999</v>
      </c>
      <c r="AC248" s="77">
        <f t="shared" si="172"/>
        <v>25.362300000000001</v>
      </c>
      <c r="AD248" s="77">
        <f t="shared" si="173"/>
        <v>82.015760883989628</v>
      </c>
      <c r="AE248" s="77">
        <f t="shared" si="174"/>
        <v>72.216527428971702</v>
      </c>
      <c r="AF248" s="77">
        <f t="shared" si="175"/>
        <v>43.572900000000004</v>
      </c>
      <c r="AG248" s="77">
        <f t="shared" si="176"/>
        <v>81.703681202466143</v>
      </c>
      <c r="AH248" s="77">
        <f t="shared" si="177"/>
        <v>66</v>
      </c>
      <c r="AI248" s="77">
        <f t="shared" si="178"/>
        <v>7.3574999999999999</v>
      </c>
      <c r="AJ248" s="77">
        <f t="shared" si="179"/>
        <v>58.642499999999998</v>
      </c>
      <c r="AK248" s="77">
        <f t="shared" si="180"/>
        <v>2.4</v>
      </c>
      <c r="AL248" s="77">
        <f t="shared" si="181"/>
        <v>56.2425</v>
      </c>
      <c r="AM248" s="77">
        <f t="shared" si="182"/>
        <v>85.215909090909093</v>
      </c>
      <c r="AO248" t="s">
        <v>1594</v>
      </c>
      <c r="AP248" t="str">
        <f t="shared" si="170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69"/>
        <v>DDm125-33</v>
      </c>
    </row>
    <row r="249" spans="1:53">
      <c r="A249" s="35" t="s">
        <v>265</v>
      </c>
      <c r="B249" s="35" t="s">
        <v>1672</v>
      </c>
      <c r="C249" s="35" t="s">
        <v>1947</v>
      </c>
      <c r="D249" s="35" t="s">
        <v>1580</v>
      </c>
      <c r="E249" s="35" t="s">
        <v>1948</v>
      </c>
      <c r="F249" s="35" t="s">
        <v>1738</v>
      </c>
      <c r="G249" s="102">
        <v>37.5</v>
      </c>
      <c r="H249" s="102">
        <v>6</v>
      </c>
      <c r="I249" s="102">
        <v>0</v>
      </c>
      <c r="J249" s="102">
        <v>0</v>
      </c>
      <c r="K249" s="103">
        <v>45323</v>
      </c>
      <c r="L249" s="102">
        <v>8.1750000000000007</v>
      </c>
      <c r="M249" s="102">
        <v>8.1750000000000007</v>
      </c>
      <c r="N249" s="102">
        <v>8.1095998364999993</v>
      </c>
      <c r="O249" s="102">
        <v>8.1095998364999993</v>
      </c>
      <c r="P249" s="35" t="s">
        <v>1588</v>
      </c>
      <c r="Q249" s="35" t="s">
        <v>1616</v>
      </c>
      <c r="R249" s="35" t="s">
        <v>1622</v>
      </c>
      <c r="S249" s="102">
        <v>4.2119999999999997</v>
      </c>
      <c r="T249" s="102">
        <v>4.2119999999999997</v>
      </c>
      <c r="U249" s="35" t="s">
        <v>1675</v>
      </c>
      <c r="V249" s="35" t="s">
        <v>1648</v>
      </c>
      <c r="W249" s="102">
        <v>6</v>
      </c>
      <c r="X249" s="102">
        <v>6</v>
      </c>
      <c r="Y249" s="102">
        <v>1</v>
      </c>
      <c r="Z249" s="35" t="s">
        <v>1676</v>
      </c>
      <c r="AA249">
        <f>VLOOKUP(A249,Cover!A:R,18,0)</f>
        <v>0.5</v>
      </c>
      <c r="AB249" s="77">
        <f t="shared" si="171"/>
        <v>7.6750000000000007</v>
      </c>
      <c r="AC249" s="77">
        <f t="shared" si="172"/>
        <v>7.6095998364999993</v>
      </c>
      <c r="AD249" s="77">
        <f t="shared" si="173"/>
        <v>93.883792048929664</v>
      </c>
      <c r="AE249" s="77">
        <f t="shared" si="174"/>
        <v>93.834467666954652</v>
      </c>
      <c r="AF249" s="77">
        <f t="shared" si="175"/>
        <v>3.7119999999999997</v>
      </c>
      <c r="AG249" s="77">
        <f t="shared" si="176"/>
        <v>88.129154795821464</v>
      </c>
      <c r="AH249" s="77">
        <f t="shared" si="177"/>
        <v>6</v>
      </c>
      <c r="AI249" s="77">
        <f t="shared" si="178"/>
        <v>0</v>
      </c>
      <c r="AJ249" s="77">
        <f t="shared" si="179"/>
        <v>6</v>
      </c>
      <c r="AK249" s="77">
        <f t="shared" si="180"/>
        <v>0.5</v>
      </c>
      <c r="AL249" s="77">
        <f t="shared" si="181"/>
        <v>5.5</v>
      </c>
      <c r="AM249" s="77">
        <f t="shared" si="182"/>
        <v>91.666666666666671</v>
      </c>
      <c r="AN249" t="s">
        <v>1580</v>
      </c>
      <c r="AO249" t="s">
        <v>1594</v>
      </c>
      <c r="AP249" t="str">
        <f t="shared" si="170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69"/>
        <v>12V155F</v>
      </c>
    </row>
    <row r="250" spans="1:53">
      <c r="A250" s="35" t="s">
        <v>266</v>
      </c>
      <c r="B250" s="35" t="s">
        <v>1672</v>
      </c>
      <c r="C250" s="35" t="s">
        <v>1949</v>
      </c>
      <c r="D250" s="35" t="s">
        <v>1585</v>
      </c>
      <c r="E250" s="35" t="s">
        <v>1196</v>
      </c>
      <c r="F250" s="35" t="s">
        <v>1641</v>
      </c>
      <c r="G250" s="102">
        <v>55</v>
      </c>
      <c r="H250" s="102">
        <v>26</v>
      </c>
      <c r="I250" s="102">
        <v>691</v>
      </c>
      <c r="J250" s="102">
        <v>37.659500000000001</v>
      </c>
      <c r="K250" s="103">
        <v>44645.666666666701</v>
      </c>
      <c r="L250" s="102">
        <v>59.95</v>
      </c>
      <c r="M250" s="102">
        <v>22.290500000000002</v>
      </c>
      <c r="N250" s="102">
        <v>42.237499999999997</v>
      </c>
      <c r="O250" s="102">
        <v>4.5780000000000003</v>
      </c>
      <c r="P250" s="35" t="s">
        <v>1588</v>
      </c>
      <c r="Q250" s="35" t="s">
        <v>1598</v>
      </c>
      <c r="R250" s="35" t="s">
        <v>1609</v>
      </c>
      <c r="S250" s="102">
        <v>53.330399999999997</v>
      </c>
      <c r="T250" s="102">
        <v>15.6709</v>
      </c>
      <c r="U250" s="35" t="s">
        <v>1634</v>
      </c>
      <c r="V250" s="35" t="s">
        <v>1950</v>
      </c>
      <c r="W250" s="102">
        <v>58.5</v>
      </c>
      <c r="X250" s="102">
        <v>20.840499999999999</v>
      </c>
      <c r="Y250" s="102">
        <v>34</v>
      </c>
      <c r="Z250" s="35" t="s">
        <v>1593</v>
      </c>
      <c r="AA250">
        <f>VLOOKUP(A250,Cover!A:R,18,0)</f>
        <v>2.7</v>
      </c>
      <c r="AB250" s="77">
        <f t="shared" si="171"/>
        <v>19.590500000000002</v>
      </c>
      <c r="AC250" s="77">
        <f t="shared" si="172"/>
        <v>1.8780000000000001</v>
      </c>
      <c r="AD250" s="77">
        <f t="shared" si="173"/>
        <v>32.678065054211842</v>
      </c>
      <c r="AE250" s="77">
        <f t="shared" si="174"/>
        <v>4.4462858833974561</v>
      </c>
      <c r="AF250" s="77">
        <f t="shared" si="175"/>
        <v>12.9709</v>
      </c>
      <c r="AG250" s="77">
        <f t="shared" si="176"/>
        <v>24.321775197635869</v>
      </c>
      <c r="AH250" s="77">
        <f t="shared" si="177"/>
        <v>58.5</v>
      </c>
      <c r="AI250" s="77">
        <f t="shared" si="178"/>
        <v>37.659500000000001</v>
      </c>
      <c r="AJ250" s="77">
        <f t="shared" si="179"/>
        <v>20.840499999999999</v>
      </c>
      <c r="AK250" s="77">
        <f t="shared" si="180"/>
        <v>2.7</v>
      </c>
      <c r="AL250" s="77">
        <f t="shared" si="181"/>
        <v>18.140499999999999</v>
      </c>
      <c r="AM250" s="77">
        <f t="shared" si="182"/>
        <v>31.009401709401711</v>
      </c>
      <c r="AO250" t="s">
        <v>1594</v>
      </c>
      <c r="AP250" t="str">
        <f t="shared" si="170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69"/>
        <v>DDm125-33</v>
      </c>
    </row>
    <row r="251" spans="1:53">
      <c r="A251" s="35" t="s">
        <v>267</v>
      </c>
      <c r="B251" s="35" t="s">
        <v>1583</v>
      </c>
      <c r="C251" s="35" t="s">
        <v>1951</v>
      </c>
      <c r="D251" s="35" t="s">
        <v>1585</v>
      </c>
      <c r="E251" s="35" t="s">
        <v>804</v>
      </c>
      <c r="F251" s="35" t="s">
        <v>1587</v>
      </c>
      <c r="G251" s="102">
        <v>36.6</v>
      </c>
      <c r="H251" s="102">
        <v>15</v>
      </c>
      <c r="I251" s="102">
        <v>137</v>
      </c>
      <c r="J251" s="102">
        <v>7.4664999999999999</v>
      </c>
      <c r="K251" s="103">
        <v>44251</v>
      </c>
      <c r="L251" s="102">
        <v>22.34064</v>
      </c>
      <c r="M251" s="102">
        <v>14.874140000000001</v>
      </c>
      <c r="N251" s="102">
        <v>14.845800000000001</v>
      </c>
      <c r="O251" s="102">
        <v>7.3792999999999997</v>
      </c>
      <c r="P251" s="35" t="s">
        <v>1591</v>
      </c>
      <c r="Q251" s="35" t="s">
        <v>1598</v>
      </c>
      <c r="R251" s="35" t="s">
        <v>1602</v>
      </c>
      <c r="S251" s="102">
        <v>21.1248</v>
      </c>
      <c r="T251" s="102">
        <v>13.658300000000001</v>
      </c>
      <c r="U251" s="35" t="s">
        <v>1608</v>
      </c>
      <c r="V251" s="35" t="s">
        <v>1952</v>
      </c>
      <c r="W251" s="102">
        <v>28.35</v>
      </c>
      <c r="X251" s="102">
        <v>20.883500000000002</v>
      </c>
      <c r="Y251" s="102">
        <v>42</v>
      </c>
      <c r="Z251" s="35" t="s">
        <v>1593</v>
      </c>
      <c r="AA251">
        <f>VLOOKUP(A251,Cover!A:R,18,0)</f>
        <v>1</v>
      </c>
      <c r="AB251" s="77">
        <f t="shared" si="171"/>
        <v>13.874140000000001</v>
      </c>
      <c r="AC251" s="77">
        <f t="shared" si="172"/>
        <v>6.3792999999999997</v>
      </c>
      <c r="AD251" s="77">
        <f t="shared" si="173"/>
        <v>62.102697147440722</v>
      </c>
      <c r="AE251" s="77">
        <f t="shared" si="174"/>
        <v>42.970402403373342</v>
      </c>
      <c r="AF251" s="77">
        <f t="shared" si="175"/>
        <v>12.658300000000001</v>
      </c>
      <c r="AG251" s="77">
        <f t="shared" si="176"/>
        <v>59.921514049837164</v>
      </c>
      <c r="AH251" s="77">
        <f t="shared" si="177"/>
        <v>28.35</v>
      </c>
      <c r="AI251" s="77">
        <f t="shared" si="178"/>
        <v>7.4664999999999999</v>
      </c>
      <c r="AJ251" s="77">
        <f t="shared" si="179"/>
        <v>20.883500000000002</v>
      </c>
      <c r="AK251" s="77">
        <f t="shared" si="180"/>
        <v>1</v>
      </c>
      <c r="AL251" s="77">
        <f t="shared" si="181"/>
        <v>19.883500000000002</v>
      </c>
      <c r="AM251" s="77">
        <f t="shared" si="182"/>
        <v>70.135802469135797</v>
      </c>
      <c r="AO251" t="s">
        <v>1594</v>
      </c>
      <c r="AP251" t="str">
        <f t="shared" si="170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69"/>
        <v>DDm100-25</v>
      </c>
    </row>
    <row r="252" spans="1:53">
      <c r="A252" s="35" t="s">
        <v>268</v>
      </c>
      <c r="B252" s="35" t="s">
        <v>1636</v>
      </c>
      <c r="C252" s="35" t="s">
        <v>1953</v>
      </c>
      <c r="D252" s="35" t="s">
        <v>1585</v>
      </c>
      <c r="E252" s="35" t="s">
        <v>1055</v>
      </c>
      <c r="F252" s="35" t="s">
        <v>1587</v>
      </c>
      <c r="G252" s="102">
        <v>36.6</v>
      </c>
      <c r="H252" s="102">
        <v>15</v>
      </c>
      <c r="I252" s="102">
        <v>178</v>
      </c>
      <c r="J252" s="102">
        <v>9.7010000000000005</v>
      </c>
      <c r="K252" s="103">
        <v>44627.458333333299</v>
      </c>
      <c r="L252" s="102">
        <v>22.34064</v>
      </c>
      <c r="M252" s="102">
        <v>12.63964</v>
      </c>
      <c r="N252" s="102">
        <v>11.248799999999999</v>
      </c>
      <c r="O252" s="102">
        <v>1.5478000000000001</v>
      </c>
      <c r="P252" s="35" t="s">
        <v>1588</v>
      </c>
      <c r="Q252" s="35" t="s">
        <v>1598</v>
      </c>
      <c r="R252" s="35" t="s">
        <v>1599</v>
      </c>
      <c r="S252" s="102">
        <v>26.1144</v>
      </c>
      <c r="T252" s="102">
        <v>16.413399999999999</v>
      </c>
      <c r="U252" s="35" t="s">
        <v>1588</v>
      </c>
      <c r="V252" s="35" t="s">
        <v>1954</v>
      </c>
      <c r="W252" s="102">
        <v>11.1</v>
      </c>
      <c r="X252" s="102">
        <v>1.399</v>
      </c>
      <c r="Y252" s="102">
        <v>12</v>
      </c>
      <c r="Z252" s="35" t="s">
        <v>1593</v>
      </c>
      <c r="AA252">
        <f>VLOOKUP(A252,Cover!A:R,18,0)</f>
        <v>2.4</v>
      </c>
      <c r="AB252" s="77">
        <f t="shared" si="171"/>
        <v>10.23964</v>
      </c>
      <c r="AC252" s="77">
        <f t="shared" si="172"/>
        <v>-0.85219999999999985</v>
      </c>
      <c r="AD252" s="77">
        <f t="shared" si="173"/>
        <v>45.834139039884263</v>
      </c>
      <c r="AE252" s="77">
        <f t="shared" si="174"/>
        <v>-7.5759192091600873</v>
      </c>
      <c r="AF252" s="77">
        <f t="shared" si="175"/>
        <v>14.013399999999999</v>
      </c>
      <c r="AG252" s="77">
        <f t="shared" si="176"/>
        <v>53.661581349753391</v>
      </c>
      <c r="AH252" s="77">
        <f t="shared" si="177"/>
        <v>11.1</v>
      </c>
      <c r="AI252" s="77">
        <f t="shared" si="178"/>
        <v>9.7010000000000005</v>
      </c>
      <c r="AJ252" s="77">
        <f t="shared" si="179"/>
        <v>1.3989999999999991</v>
      </c>
      <c r="AK252" s="77">
        <f t="shared" si="180"/>
        <v>2.4</v>
      </c>
      <c r="AL252" s="77">
        <f t="shared" si="181"/>
        <v>-1.0010000000000008</v>
      </c>
      <c r="AM252" s="77">
        <f t="shared" si="182"/>
        <v>-9.0180180180180241</v>
      </c>
      <c r="AO252" t="s">
        <v>1594</v>
      </c>
      <c r="AP252" t="str">
        <f t="shared" si="170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69"/>
        <v>DDm85-25</v>
      </c>
    </row>
    <row r="253" spans="1:53">
      <c r="A253" s="35" t="s">
        <v>269</v>
      </c>
      <c r="B253" s="35" t="s">
        <v>1653</v>
      </c>
      <c r="C253" s="35" t="s">
        <v>1955</v>
      </c>
      <c r="D253" s="35" t="s">
        <v>1585</v>
      </c>
      <c r="E253" s="35" t="s">
        <v>1127</v>
      </c>
      <c r="F253" s="35" t="s">
        <v>1597</v>
      </c>
      <c r="G253" s="102">
        <v>75</v>
      </c>
      <c r="H253" s="102">
        <v>9</v>
      </c>
      <c r="I253" s="102">
        <v>240</v>
      </c>
      <c r="J253" s="102">
        <v>13.08</v>
      </c>
      <c r="K253" s="103">
        <v>44049</v>
      </c>
      <c r="L253" s="102">
        <v>26.16</v>
      </c>
      <c r="M253" s="102">
        <v>13.08</v>
      </c>
      <c r="N253" s="102">
        <v>19.62</v>
      </c>
      <c r="O253" s="102">
        <v>6.54</v>
      </c>
      <c r="P253" s="35" t="s">
        <v>1591</v>
      </c>
      <c r="Q253" s="35" t="s">
        <v>1598</v>
      </c>
      <c r="R253" s="35" t="s">
        <v>1602</v>
      </c>
      <c r="S253" s="102">
        <v>21.1248</v>
      </c>
      <c r="T253" s="102">
        <v>8.0448000000000093</v>
      </c>
      <c r="U253" s="35" t="s">
        <v>1588</v>
      </c>
      <c r="V253" s="35" t="s">
        <v>1702</v>
      </c>
      <c r="W253" s="102">
        <v>33</v>
      </c>
      <c r="X253" s="102">
        <v>19.920000000000002</v>
      </c>
      <c r="Y253" s="102">
        <v>67</v>
      </c>
      <c r="Z253" s="35"/>
      <c r="AA253">
        <f>VLOOKUP(A253,Cover!A:R,18,0)</f>
        <v>1</v>
      </c>
      <c r="AB253" s="77">
        <f t="shared" si="171"/>
        <v>12.08</v>
      </c>
      <c r="AC253" s="77">
        <f t="shared" si="172"/>
        <v>5.54</v>
      </c>
      <c r="AD253" s="77">
        <f t="shared" si="173"/>
        <v>46.177370030581038</v>
      </c>
      <c r="AE253" s="77">
        <f t="shared" si="174"/>
        <v>28.236493374108051</v>
      </c>
      <c r="AF253" s="77">
        <f t="shared" si="175"/>
        <v>7.0448000000000093</v>
      </c>
      <c r="AG253" s="77">
        <f t="shared" si="176"/>
        <v>33.348481405741168</v>
      </c>
      <c r="AH253" s="77">
        <f t="shared" si="177"/>
        <v>33</v>
      </c>
      <c r="AI253" s="77">
        <f t="shared" si="178"/>
        <v>13.08</v>
      </c>
      <c r="AJ253" s="77">
        <f t="shared" si="179"/>
        <v>19.920000000000002</v>
      </c>
      <c r="AK253" s="77">
        <f t="shared" si="180"/>
        <v>1</v>
      </c>
      <c r="AL253" s="77">
        <f t="shared" si="181"/>
        <v>18.920000000000002</v>
      </c>
      <c r="AM253" s="77">
        <f t="shared" si="182"/>
        <v>57.333333333333336</v>
      </c>
      <c r="AO253" t="s">
        <v>1594</v>
      </c>
      <c r="AP253" t="str">
        <f t="shared" si="170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69"/>
        <v>DDm100-25</v>
      </c>
    </row>
    <row r="254" spans="1:53">
      <c r="A254" s="35" t="s">
        <v>270</v>
      </c>
      <c r="B254" s="35" t="s">
        <v>1653</v>
      </c>
      <c r="C254" s="35" t="s">
        <v>1955</v>
      </c>
      <c r="D254" s="35" t="s">
        <v>1585</v>
      </c>
      <c r="E254" s="35" t="s">
        <v>1129</v>
      </c>
      <c r="F254" s="35" t="s">
        <v>1656</v>
      </c>
      <c r="G254" s="102">
        <v>50</v>
      </c>
      <c r="H254" s="102">
        <v>5</v>
      </c>
      <c r="I254" s="102">
        <v>81.8</v>
      </c>
      <c r="J254" s="102">
        <v>4.4581</v>
      </c>
      <c r="K254" s="103">
        <v>44739.411111111098</v>
      </c>
      <c r="L254" s="102">
        <v>8.7200000000000006</v>
      </c>
      <c r="M254" s="102">
        <v>4.2618999999999998</v>
      </c>
      <c r="N254" s="102">
        <v>4.4145000000000003</v>
      </c>
      <c r="O254" s="104">
        <v>-4.3599999999999799E-2</v>
      </c>
      <c r="P254" s="35" t="s">
        <v>1591</v>
      </c>
      <c r="Q254" s="35" t="s">
        <v>1598</v>
      </c>
      <c r="R254" s="35" t="s">
        <v>1626</v>
      </c>
      <c r="S254" s="102">
        <v>10.1088</v>
      </c>
      <c r="T254" s="102">
        <v>5.6506999999999801</v>
      </c>
      <c r="U254" s="35" t="s">
        <v>1591</v>
      </c>
      <c r="V254" s="35" t="s">
        <v>1600</v>
      </c>
      <c r="W254" s="102">
        <v>22.5</v>
      </c>
      <c r="X254" s="102">
        <v>18.041899999999998</v>
      </c>
      <c r="Y254" s="102">
        <v>42</v>
      </c>
      <c r="Z254" s="35"/>
      <c r="AA254">
        <f>VLOOKUP(A254,Cover!A:R,18,0)</f>
        <v>0</v>
      </c>
      <c r="AB254" s="77">
        <f t="shared" si="171"/>
        <v>4.2618999999999998</v>
      </c>
      <c r="AC254" s="77">
        <f t="shared" si="172"/>
        <v>-4.3599999999999799E-2</v>
      </c>
      <c r="AD254" s="77">
        <f t="shared" si="173"/>
        <v>48.875</v>
      </c>
      <c r="AE254" s="77">
        <f t="shared" si="174"/>
        <v>-0.98765432098764971</v>
      </c>
      <c r="AF254" s="77">
        <f t="shared" si="175"/>
        <v>5.6506999999999801</v>
      </c>
      <c r="AG254" s="77">
        <f t="shared" si="176"/>
        <v>55.898820829376184</v>
      </c>
      <c r="AH254" s="77">
        <f t="shared" si="177"/>
        <v>22.5</v>
      </c>
      <c r="AI254" s="77">
        <f t="shared" si="178"/>
        <v>4.4581</v>
      </c>
      <c r="AJ254" s="77">
        <f t="shared" si="179"/>
        <v>18.041899999999998</v>
      </c>
      <c r="AK254" s="77">
        <f t="shared" si="180"/>
        <v>0</v>
      </c>
      <c r="AL254" s="77">
        <f t="shared" si="181"/>
        <v>18.041899999999998</v>
      </c>
      <c r="AM254" s="77">
        <f t="shared" si="182"/>
        <v>80.186222222222213</v>
      </c>
      <c r="AO254" t="s">
        <v>1594</v>
      </c>
      <c r="AP254" t="str">
        <f t="shared" si="170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69"/>
        <v>2DDm85-15</v>
      </c>
    </row>
    <row r="255" spans="1:53">
      <c r="A255" s="35"/>
      <c r="B255" s="35" t="s">
        <v>1607</v>
      </c>
      <c r="C255" s="35" t="s">
        <v>1747</v>
      </c>
      <c r="D255" s="35" t="s">
        <v>1585</v>
      </c>
      <c r="E255" s="35" t="s">
        <v>846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1591</v>
      </c>
      <c r="V255" s="35" t="s">
        <v>1600</v>
      </c>
      <c r="W255" s="102">
        <v>22.5</v>
      </c>
      <c r="X255" s="102">
        <v>18.041899999999998</v>
      </c>
      <c r="Y255" s="102">
        <v>42</v>
      </c>
      <c r="Z255" s="35" t="s">
        <v>1593</v>
      </c>
      <c r="AA255" t="e">
        <f>VLOOKUP(A255,Cover!A:R,18,0)</f>
        <v>#N/A</v>
      </c>
      <c r="AB255" s="77" t="e">
        <f t="shared" si="171"/>
        <v>#N/A</v>
      </c>
      <c r="AC255" s="77" t="e">
        <f t="shared" si="172"/>
        <v>#N/A</v>
      </c>
      <c r="AD255" s="77" t="e">
        <f t="shared" si="173"/>
        <v>#N/A</v>
      </c>
      <c r="AE255" s="77" t="e">
        <f t="shared" si="174"/>
        <v>#N/A</v>
      </c>
      <c r="AF255" s="77" t="e">
        <f t="shared" si="175"/>
        <v>#N/A</v>
      </c>
      <c r="AG255" s="77" t="e">
        <f t="shared" si="176"/>
        <v>#N/A</v>
      </c>
      <c r="AH255" s="77">
        <f t="shared" si="177"/>
        <v>22.5</v>
      </c>
      <c r="AI255" s="77">
        <f t="shared" si="178"/>
        <v>0</v>
      </c>
      <c r="AJ255" s="77">
        <f t="shared" si="179"/>
        <v>22.5</v>
      </c>
      <c r="AK255" s="77" t="e">
        <f t="shared" si="180"/>
        <v>#N/A</v>
      </c>
      <c r="AL255" s="77" t="e">
        <f t="shared" si="181"/>
        <v>#N/A</v>
      </c>
      <c r="AM255" s="77" t="e">
        <f t="shared" si="182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1607</v>
      </c>
      <c r="C256" s="35" t="s">
        <v>1933</v>
      </c>
      <c r="D256" s="35" t="s">
        <v>1585</v>
      </c>
      <c r="E256" s="35" t="s">
        <v>1956</v>
      </c>
      <c r="F256" s="35" t="s">
        <v>1957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1588</v>
      </c>
      <c r="V256" s="35" t="s">
        <v>1958</v>
      </c>
      <c r="W256" s="102">
        <v>174</v>
      </c>
      <c r="X256" s="102">
        <v>174</v>
      </c>
      <c r="Y256" s="102">
        <v>5</v>
      </c>
      <c r="Z256" s="35"/>
      <c r="AA256" t="e">
        <f>VLOOKUP(A256,Cover!A:R,18,0)</f>
        <v>#N/A</v>
      </c>
      <c r="AB256" s="77" t="e">
        <f t="shared" si="171"/>
        <v>#N/A</v>
      </c>
      <c r="AC256" s="77" t="e">
        <f t="shared" si="172"/>
        <v>#N/A</v>
      </c>
      <c r="AD256" s="77" t="e">
        <f t="shared" si="173"/>
        <v>#N/A</v>
      </c>
      <c r="AE256" s="77" t="e">
        <f t="shared" si="174"/>
        <v>#N/A</v>
      </c>
      <c r="AF256" s="77" t="e">
        <f t="shared" si="175"/>
        <v>#N/A</v>
      </c>
      <c r="AG256" s="77" t="e">
        <f t="shared" si="176"/>
        <v>#N/A</v>
      </c>
      <c r="AH256" s="77">
        <f t="shared" si="177"/>
        <v>174</v>
      </c>
      <c r="AI256" s="77">
        <f t="shared" si="178"/>
        <v>0</v>
      </c>
      <c r="AJ256" s="77">
        <f t="shared" si="179"/>
        <v>174</v>
      </c>
      <c r="AK256" s="77" t="e">
        <f t="shared" si="180"/>
        <v>#N/A</v>
      </c>
      <c r="AL256" s="77" t="e">
        <f t="shared" si="181"/>
        <v>#N/A</v>
      </c>
      <c r="AM256" s="77" t="e">
        <f t="shared" si="182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1636</v>
      </c>
      <c r="C257" s="35" t="s">
        <v>1664</v>
      </c>
      <c r="D257" s="35" t="s">
        <v>1585</v>
      </c>
      <c r="E257" s="35" t="s">
        <v>1042</v>
      </c>
      <c r="F257" s="35" t="s">
        <v>1957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1591</v>
      </c>
      <c r="V257" s="35" t="s">
        <v>1600</v>
      </c>
      <c r="W257" s="102">
        <v>22.5</v>
      </c>
      <c r="X257" s="102">
        <v>22.5</v>
      </c>
      <c r="Y257" s="102">
        <v>16</v>
      </c>
      <c r="Z257" s="35"/>
      <c r="AA257" t="e">
        <f>VLOOKUP(A257,Cover!A:R,18,0)</f>
        <v>#N/A</v>
      </c>
      <c r="AB257" s="77" t="e">
        <f t="shared" si="171"/>
        <v>#N/A</v>
      </c>
      <c r="AC257" s="77" t="e">
        <f t="shared" si="172"/>
        <v>#N/A</v>
      </c>
      <c r="AD257" s="77" t="e">
        <f t="shared" si="173"/>
        <v>#N/A</v>
      </c>
      <c r="AE257" s="77" t="e">
        <f t="shared" si="174"/>
        <v>#N/A</v>
      </c>
      <c r="AF257" s="77" t="e">
        <f t="shared" si="175"/>
        <v>#N/A</v>
      </c>
      <c r="AG257" s="77" t="e">
        <f t="shared" si="176"/>
        <v>#N/A</v>
      </c>
      <c r="AH257" s="77">
        <f t="shared" si="177"/>
        <v>22.5</v>
      </c>
      <c r="AI257" s="77">
        <f t="shared" si="178"/>
        <v>0</v>
      </c>
      <c r="AJ257" s="77">
        <f t="shared" si="179"/>
        <v>22.5</v>
      </c>
      <c r="AK257" s="77" t="e">
        <f t="shared" si="180"/>
        <v>#N/A</v>
      </c>
      <c r="AL257" s="77" t="e">
        <f t="shared" si="181"/>
        <v>#N/A</v>
      </c>
      <c r="AM257" s="77" t="e">
        <f t="shared" si="182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1636</v>
      </c>
      <c r="C258" s="35" t="s">
        <v>1829</v>
      </c>
      <c r="D258" s="35" t="s">
        <v>1585</v>
      </c>
      <c r="E258" s="35" t="s">
        <v>1959</v>
      </c>
      <c r="F258" s="35" t="s">
        <v>1957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1591</v>
      </c>
      <c r="V258" s="35" t="s">
        <v>1960</v>
      </c>
      <c r="W258" s="102">
        <v>7.6875</v>
      </c>
      <c r="X258" s="102">
        <v>7.6875</v>
      </c>
      <c r="Y258" s="102">
        <v>1</v>
      </c>
      <c r="Z258" s="35"/>
      <c r="AA258" t="e">
        <f>VLOOKUP(A258,Cover!A:R,18,0)</f>
        <v>#N/A</v>
      </c>
      <c r="AB258" s="77" t="e">
        <f t="shared" si="171"/>
        <v>#N/A</v>
      </c>
      <c r="AC258" s="77" t="e">
        <f t="shared" si="172"/>
        <v>#N/A</v>
      </c>
      <c r="AD258" s="77" t="e">
        <f t="shared" si="173"/>
        <v>#N/A</v>
      </c>
      <c r="AE258" s="77" t="e">
        <f t="shared" si="174"/>
        <v>#N/A</v>
      </c>
      <c r="AF258" s="77" t="e">
        <f t="shared" si="175"/>
        <v>#N/A</v>
      </c>
      <c r="AG258" s="77" t="e">
        <f t="shared" si="176"/>
        <v>#N/A</v>
      </c>
      <c r="AH258" s="77">
        <f t="shared" si="177"/>
        <v>7.6875</v>
      </c>
      <c r="AI258" s="77">
        <f t="shared" si="178"/>
        <v>0</v>
      </c>
      <c r="AJ258" s="77">
        <f t="shared" si="179"/>
        <v>7.6875</v>
      </c>
      <c r="AK258" s="77" t="e">
        <f t="shared" si="180"/>
        <v>#N/A</v>
      </c>
      <c r="AL258" s="77" t="e">
        <f t="shared" si="181"/>
        <v>#N/A</v>
      </c>
      <c r="AM258" s="77" t="e">
        <f t="shared" si="182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1653</v>
      </c>
      <c r="C259" s="35" t="s">
        <v>1831</v>
      </c>
      <c r="D259" s="35" t="s">
        <v>1580</v>
      </c>
      <c r="E259" s="35" t="s">
        <v>1961</v>
      </c>
      <c r="F259" s="35" t="s">
        <v>1957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1634</v>
      </c>
      <c r="V259" s="35" t="s">
        <v>1962</v>
      </c>
      <c r="W259" s="102">
        <v>41.25</v>
      </c>
      <c r="X259" s="102">
        <v>41.25</v>
      </c>
      <c r="Y259" s="102">
        <v>0</v>
      </c>
      <c r="Z259" s="35"/>
      <c r="AA259" t="e">
        <f>VLOOKUP(A259,Cover!A:R,18,0)</f>
        <v>#N/A</v>
      </c>
      <c r="AB259" s="77" t="e">
        <f t="shared" si="171"/>
        <v>#N/A</v>
      </c>
      <c r="AC259" s="77" t="e">
        <f t="shared" si="172"/>
        <v>#N/A</v>
      </c>
      <c r="AD259" s="77" t="e">
        <f t="shared" si="173"/>
        <v>#N/A</v>
      </c>
      <c r="AE259" s="77" t="e">
        <f t="shared" si="174"/>
        <v>#N/A</v>
      </c>
      <c r="AF259" s="77" t="e">
        <f t="shared" si="175"/>
        <v>#N/A</v>
      </c>
      <c r="AG259" s="77" t="e">
        <f t="shared" si="176"/>
        <v>#N/A</v>
      </c>
      <c r="AH259" s="77">
        <f t="shared" si="177"/>
        <v>41.25</v>
      </c>
      <c r="AI259" s="77">
        <f t="shared" si="178"/>
        <v>0</v>
      </c>
      <c r="AJ259" s="77">
        <f t="shared" si="179"/>
        <v>41.25</v>
      </c>
      <c r="AK259" s="77" t="e">
        <f t="shared" si="180"/>
        <v>#N/A</v>
      </c>
      <c r="AL259" s="77" t="e">
        <f t="shared" si="181"/>
        <v>#N/A</v>
      </c>
      <c r="AM259" s="77" t="e">
        <f t="shared" si="182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1653</v>
      </c>
      <c r="C260" s="35" t="s">
        <v>1831</v>
      </c>
      <c r="D260" s="35" t="s">
        <v>1580</v>
      </c>
      <c r="E260" s="35" t="s">
        <v>1961</v>
      </c>
      <c r="F260" s="35" t="s">
        <v>1957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1588</v>
      </c>
      <c r="V260" s="35" t="s">
        <v>1692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1"/>
        <v>#N/A</v>
      </c>
      <c r="AC260" s="77" t="e">
        <f t="shared" si="172"/>
        <v>#N/A</v>
      </c>
      <c r="AD260" s="77" t="e">
        <f t="shared" si="173"/>
        <v>#N/A</v>
      </c>
      <c r="AE260" s="77" t="e">
        <f t="shared" si="174"/>
        <v>#N/A</v>
      </c>
      <c r="AF260" s="77" t="e">
        <f t="shared" si="175"/>
        <v>#N/A</v>
      </c>
      <c r="AG260" s="77" t="e">
        <f t="shared" si="176"/>
        <v>#N/A</v>
      </c>
      <c r="AH260" s="77">
        <f t="shared" si="177"/>
        <v>11.25</v>
      </c>
      <c r="AI260" s="77">
        <f t="shared" si="178"/>
        <v>0</v>
      </c>
      <c r="AJ260" s="77">
        <f t="shared" si="179"/>
        <v>11.25</v>
      </c>
      <c r="AK260" s="77" t="e">
        <f t="shared" si="180"/>
        <v>#N/A</v>
      </c>
      <c r="AL260" s="77" t="e">
        <f t="shared" si="181"/>
        <v>#N/A</v>
      </c>
      <c r="AM260" s="77" t="e">
        <f t="shared" si="182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1653</v>
      </c>
      <c r="C261" s="35" t="s">
        <v>1831</v>
      </c>
      <c r="D261" s="35" t="s">
        <v>1580</v>
      </c>
      <c r="E261" s="35" t="s">
        <v>1963</v>
      </c>
      <c r="F261" s="35" t="s">
        <v>1957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1588</v>
      </c>
      <c r="V261" s="35" t="s">
        <v>1964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1"/>
        <v>#N/A</v>
      </c>
      <c r="AC261" s="77" t="e">
        <f t="shared" si="172"/>
        <v>#N/A</v>
      </c>
      <c r="AD261" s="77" t="e">
        <f t="shared" si="173"/>
        <v>#N/A</v>
      </c>
      <c r="AE261" s="77" t="e">
        <f t="shared" si="174"/>
        <v>#N/A</v>
      </c>
      <c r="AF261" s="77" t="e">
        <f t="shared" si="175"/>
        <v>#N/A</v>
      </c>
      <c r="AG261" s="77" t="e">
        <f t="shared" si="176"/>
        <v>#N/A</v>
      </c>
      <c r="AH261" s="77">
        <f t="shared" si="177"/>
        <v>48</v>
      </c>
      <c r="AI261" s="77">
        <f t="shared" si="178"/>
        <v>0</v>
      </c>
      <c r="AJ261" s="77">
        <f t="shared" si="179"/>
        <v>48</v>
      </c>
      <c r="AK261" s="77" t="e">
        <f t="shared" si="180"/>
        <v>#N/A</v>
      </c>
      <c r="AL261" s="77" t="e">
        <f t="shared" si="181"/>
        <v>#N/A</v>
      </c>
      <c r="AM261" s="77" t="e">
        <f t="shared" si="182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1653</v>
      </c>
      <c r="C262" s="35" t="s">
        <v>1831</v>
      </c>
      <c r="D262" s="35" t="s">
        <v>1585</v>
      </c>
      <c r="E262" s="35" t="s">
        <v>1965</v>
      </c>
      <c r="F262" s="35" t="s">
        <v>1957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1603</v>
      </c>
      <c r="V262" s="35" t="s">
        <v>1621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1"/>
        <v>#N/A</v>
      </c>
      <c r="AC262" s="77" t="e">
        <f t="shared" si="172"/>
        <v>#N/A</v>
      </c>
      <c r="AD262" s="77" t="e">
        <f t="shared" si="173"/>
        <v>#N/A</v>
      </c>
      <c r="AE262" s="77" t="e">
        <f t="shared" si="174"/>
        <v>#N/A</v>
      </c>
      <c r="AF262" s="77" t="e">
        <f t="shared" si="175"/>
        <v>#N/A</v>
      </c>
      <c r="AG262" s="77" t="e">
        <f t="shared" si="176"/>
        <v>#N/A</v>
      </c>
      <c r="AH262" s="77">
        <f t="shared" si="177"/>
        <v>6.75</v>
      </c>
      <c r="AI262" s="77">
        <f t="shared" si="178"/>
        <v>0</v>
      </c>
      <c r="AJ262" s="77">
        <f t="shared" si="179"/>
        <v>6.75</v>
      </c>
      <c r="AK262" s="77" t="e">
        <f t="shared" si="180"/>
        <v>#N/A</v>
      </c>
      <c r="AL262" s="77" t="e">
        <f t="shared" si="181"/>
        <v>#N/A</v>
      </c>
      <c r="AM262" s="77" t="e">
        <f t="shared" si="182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1659</v>
      </c>
      <c r="C263" s="35" t="s">
        <v>1719</v>
      </c>
      <c r="D263" s="35" t="s">
        <v>1585</v>
      </c>
      <c r="E263" s="35" t="s">
        <v>1966</v>
      </c>
      <c r="F263" s="35" t="s">
        <v>1957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1775</v>
      </c>
      <c r="V263" s="35" t="s">
        <v>1775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1"/>
        <v>#N/A</v>
      </c>
      <c r="AC263" s="77" t="e">
        <f t="shared" si="172"/>
        <v>#N/A</v>
      </c>
      <c r="AD263" s="77" t="e">
        <f t="shared" si="173"/>
        <v>#N/A</v>
      </c>
      <c r="AE263" s="77" t="e">
        <f t="shared" si="174"/>
        <v>#N/A</v>
      </c>
      <c r="AF263" s="77" t="e">
        <f t="shared" si="175"/>
        <v>#N/A</v>
      </c>
      <c r="AG263" s="77" t="e">
        <f t="shared" si="176"/>
        <v>#N/A</v>
      </c>
      <c r="AH263" s="77">
        <f t="shared" si="177"/>
        <v>0</v>
      </c>
      <c r="AI263" s="77">
        <f t="shared" si="178"/>
        <v>0</v>
      </c>
      <c r="AJ263" s="77">
        <f t="shared" si="179"/>
        <v>0</v>
      </c>
      <c r="AK263" s="77" t="e">
        <f t="shared" si="180"/>
        <v>#N/A</v>
      </c>
      <c r="AL263" s="77" t="e">
        <f t="shared" si="181"/>
        <v>#N/A</v>
      </c>
      <c r="AM263" s="77" t="e">
        <f t="shared" si="182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1595</v>
      </c>
      <c r="C264" s="35" t="s">
        <v>1596</v>
      </c>
      <c r="D264" s="35" t="s">
        <v>1585</v>
      </c>
      <c r="E264" s="35" t="s">
        <v>1775</v>
      </c>
      <c r="F264" s="35" t="s">
        <v>1957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1775</v>
      </c>
      <c r="V264" s="35" t="s">
        <v>1775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1"/>
        <v>#N/A</v>
      </c>
      <c r="AC264" s="77" t="e">
        <f t="shared" si="172"/>
        <v>#N/A</v>
      </c>
      <c r="AD264" s="77" t="e">
        <f t="shared" si="173"/>
        <v>#N/A</v>
      </c>
      <c r="AE264" s="77" t="e">
        <f t="shared" si="174"/>
        <v>#N/A</v>
      </c>
      <c r="AF264" s="77" t="e">
        <f t="shared" si="175"/>
        <v>#N/A</v>
      </c>
      <c r="AG264" s="77" t="e">
        <f t="shared" si="176"/>
        <v>#N/A</v>
      </c>
      <c r="AH264" s="77">
        <f t="shared" si="177"/>
        <v>0</v>
      </c>
      <c r="AI264" s="77">
        <f t="shared" si="178"/>
        <v>0</v>
      </c>
      <c r="AJ264" s="77">
        <f t="shared" si="179"/>
        <v>0</v>
      </c>
      <c r="AK264" s="77" t="e">
        <f t="shared" si="180"/>
        <v>#N/A</v>
      </c>
      <c r="AL264" s="77" t="e">
        <f t="shared" si="181"/>
        <v>#N/A</v>
      </c>
      <c r="AM264" s="77" t="e">
        <f t="shared" si="182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1595</v>
      </c>
      <c r="C265" s="35" t="s">
        <v>1967</v>
      </c>
      <c r="D265" s="35" t="s">
        <v>1585</v>
      </c>
      <c r="E265" s="35" t="s">
        <v>1968</v>
      </c>
      <c r="F265" s="35" t="s">
        <v>1957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1591</v>
      </c>
      <c r="V265" s="35" t="s">
        <v>1592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1"/>
        <v>#N/A</v>
      </c>
      <c r="AC265" s="77" t="e">
        <f t="shared" si="172"/>
        <v>#N/A</v>
      </c>
      <c r="AD265" s="77" t="e">
        <f t="shared" si="173"/>
        <v>#N/A</v>
      </c>
      <c r="AE265" s="77" t="e">
        <f t="shared" si="174"/>
        <v>#N/A</v>
      </c>
      <c r="AF265" s="77" t="e">
        <f t="shared" si="175"/>
        <v>#N/A</v>
      </c>
      <c r="AG265" s="77" t="e">
        <f t="shared" si="176"/>
        <v>#N/A</v>
      </c>
      <c r="AH265" s="77">
        <f t="shared" si="177"/>
        <v>7.5</v>
      </c>
      <c r="AI265" s="77">
        <f t="shared" si="178"/>
        <v>0</v>
      </c>
      <c r="AJ265" s="77">
        <f t="shared" si="179"/>
        <v>7.5</v>
      </c>
      <c r="AK265" s="77" t="e">
        <f t="shared" si="180"/>
        <v>#N/A</v>
      </c>
      <c r="AL265" s="77" t="e">
        <f t="shared" si="181"/>
        <v>#N/A</v>
      </c>
      <c r="AM265" s="77" t="e">
        <f t="shared" si="182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1595</v>
      </c>
      <c r="C266" s="35" t="s">
        <v>1779</v>
      </c>
      <c r="D266" s="35" t="s">
        <v>1585</v>
      </c>
      <c r="E266" s="35" t="s">
        <v>1969</v>
      </c>
      <c r="F266" s="35" t="s">
        <v>1957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1775</v>
      </c>
      <c r="V266" s="35" t="s">
        <v>1775</v>
      </c>
      <c r="W266" s="102"/>
      <c r="X266" s="102"/>
      <c r="Y266" s="102">
        <v>210</v>
      </c>
      <c r="Z266" s="35" t="s">
        <v>1970</v>
      </c>
      <c r="AA266" t="e">
        <f>VLOOKUP(A266,Cover!A:R,18,0)</f>
        <v>#N/A</v>
      </c>
      <c r="AB266" s="77" t="e">
        <f t="shared" si="171"/>
        <v>#N/A</v>
      </c>
      <c r="AC266" s="77" t="e">
        <f t="shared" si="172"/>
        <v>#N/A</v>
      </c>
      <c r="AD266" s="77" t="e">
        <f t="shared" si="173"/>
        <v>#N/A</v>
      </c>
      <c r="AE266" s="77" t="e">
        <f t="shared" si="174"/>
        <v>#N/A</v>
      </c>
      <c r="AF266" s="77" t="e">
        <f t="shared" si="175"/>
        <v>#N/A</v>
      </c>
      <c r="AG266" s="77" t="e">
        <f t="shared" si="176"/>
        <v>#N/A</v>
      </c>
      <c r="AH266" s="77">
        <f t="shared" si="177"/>
        <v>0</v>
      </c>
      <c r="AI266" s="77">
        <f t="shared" si="178"/>
        <v>0</v>
      </c>
      <c r="AJ266" s="77">
        <f t="shared" si="179"/>
        <v>0</v>
      </c>
      <c r="AK266" s="77" t="e">
        <f t="shared" si="180"/>
        <v>#N/A</v>
      </c>
      <c r="AL266" s="77" t="e">
        <f t="shared" si="181"/>
        <v>#N/A</v>
      </c>
      <c r="AM266" s="77" t="e">
        <f t="shared" si="182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1595</v>
      </c>
      <c r="C267" s="35" t="s">
        <v>1971</v>
      </c>
      <c r="D267" s="35" t="s">
        <v>1585</v>
      </c>
      <c r="E267" s="35" t="s">
        <v>1972</v>
      </c>
      <c r="F267" s="35" t="s">
        <v>1957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1592</v>
      </c>
      <c r="V267" s="35" t="s">
        <v>1686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1"/>
        <v>#N/A</v>
      </c>
      <c r="AC267" s="77" t="e">
        <f t="shared" si="172"/>
        <v>#N/A</v>
      </c>
      <c r="AD267" s="77" t="e">
        <f t="shared" si="173"/>
        <v>#N/A</v>
      </c>
      <c r="AE267" s="77" t="e">
        <f t="shared" si="174"/>
        <v>#N/A</v>
      </c>
      <c r="AF267" s="77" t="e">
        <f t="shared" si="175"/>
        <v>#N/A</v>
      </c>
      <c r="AG267" s="77" t="e">
        <f t="shared" si="176"/>
        <v>#N/A</v>
      </c>
      <c r="AH267" s="77">
        <f t="shared" si="177"/>
        <v>67.5</v>
      </c>
      <c r="AI267" s="77">
        <f t="shared" si="178"/>
        <v>0</v>
      </c>
      <c r="AJ267" s="77">
        <f t="shared" si="179"/>
        <v>67.5</v>
      </c>
      <c r="AK267" s="77" t="e">
        <f t="shared" si="180"/>
        <v>#N/A</v>
      </c>
      <c r="AL267" s="77" t="e">
        <f t="shared" si="181"/>
        <v>#N/A</v>
      </c>
      <c r="AM267" s="77" t="e">
        <f t="shared" si="182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1632</v>
      </c>
      <c r="C268" s="35" t="s">
        <v>1633</v>
      </c>
      <c r="D268" s="35" t="s">
        <v>1580</v>
      </c>
      <c r="E268" s="35" t="s">
        <v>1316</v>
      </c>
      <c r="F268" s="35" t="s">
        <v>1957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1681</v>
      </c>
      <c r="V268" s="35" t="s">
        <v>1973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3">M268-AA268</f>
        <v>#N/A</v>
      </c>
      <c r="AC268" s="77" t="e">
        <f t="shared" ref="AC268" si="214">O268-AA268</f>
        <v>#N/A</v>
      </c>
      <c r="AD268" s="77" t="e">
        <f t="shared" ref="AD268" si="215">AB268/L268%</f>
        <v>#N/A</v>
      </c>
      <c r="AE268" s="77" t="e">
        <f t="shared" ref="AE268" si="216">AC268/N268%</f>
        <v>#N/A</v>
      </c>
      <c r="AF268" s="77" t="e">
        <f t="shared" ref="AF268" si="217">T268-AA268</f>
        <v>#N/A</v>
      </c>
      <c r="AG268" s="77" t="e">
        <f t="shared" ref="AG268" si="218">AF268/S268%</f>
        <v>#N/A</v>
      </c>
      <c r="AH268" s="77">
        <f t="shared" ref="AH268" si="219">W268</f>
        <v>445.5</v>
      </c>
      <c r="AI268" s="77">
        <f t="shared" ref="AI268" si="220">J268</f>
        <v>0</v>
      </c>
      <c r="AJ268" s="77">
        <f t="shared" ref="AJ268" si="221">AH268-AI268</f>
        <v>445.5</v>
      </c>
      <c r="AK268" s="77" t="e">
        <f t="shared" ref="AK268" si="222">AA268</f>
        <v>#N/A</v>
      </c>
      <c r="AL268" s="77" t="e">
        <f t="shared" ref="AL268" si="223">AJ268-AK268</f>
        <v>#N/A</v>
      </c>
      <c r="AM268" s="77" t="e">
        <f t="shared" ref="AM268" si="224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60"/>
      <c r="B269" s="35" t="s">
        <v>1632</v>
      </c>
      <c r="C269" s="35" t="s">
        <v>1900</v>
      </c>
      <c r="D269" s="35" t="s">
        <v>1580</v>
      </c>
      <c r="E269" s="35" t="s">
        <v>1417</v>
      </c>
      <c r="F269" s="260" t="s">
        <v>1957</v>
      </c>
      <c r="G269" s="260"/>
      <c r="H269" s="260"/>
      <c r="I269" s="260"/>
      <c r="J269" s="260"/>
      <c r="K269" s="260"/>
      <c r="L269" s="260"/>
      <c r="M269" s="260"/>
      <c r="N269" s="260"/>
      <c r="O269" s="260"/>
      <c r="P269" s="260"/>
      <c r="Q269" s="260"/>
      <c r="R269" s="260"/>
      <c r="S269" s="260"/>
      <c r="T269" s="260"/>
      <c r="U269" s="260" t="s">
        <v>1681</v>
      </c>
      <c r="V269" s="260" t="s">
        <v>1973</v>
      </c>
      <c r="W269" s="260">
        <v>445.5</v>
      </c>
      <c r="X269" s="260">
        <v>445.5</v>
      </c>
      <c r="Y269" s="260">
        <v>9</v>
      </c>
      <c r="Z269" s="260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fSZrLQpvbOLu1FdsX12aAuCUjSTAWdY7nVN3k1CF0VNSnzDjd9bxmnyKrmC5a6pmmkQzofxv3d2FXrY/0pThww==" saltValue="fK3TBpgHuyeSHEh0HluUQg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131" priority="11" operator="greaterThanOrEqual">
      <formula>25</formula>
    </cfRule>
    <cfRule type="cellIs" dxfId="130" priority="12" operator="between">
      <formula>10</formula>
      <formula>24.9999999999</formula>
    </cfRule>
    <cfRule type="cellIs" dxfId="129" priority="13" operator="between">
      <formula>0</formula>
      <formula>9.99999999</formula>
    </cfRule>
    <cfRule type="cellIs" dxfId="128" priority="14" operator="lessThan">
      <formula>0</formula>
    </cfRule>
  </conditionalFormatting>
  <conditionalFormatting sqref="AG8:AG268">
    <cfRule type="cellIs" dxfId="127" priority="7" operator="greaterThanOrEqual">
      <formula>25</formula>
    </cfRule>
    <cfRule type="cellIs" dxfId="126" priority="8" operator="between">
      <formula>10</formula>
      <formula>24.99999999</formula>
    </cfRule>
    <cfRule type="cellIs" dxfId="125" priority="9" operator="between">
      <formula>0</formula>
      <formula>9.999999999</formula>
    </cfRule>
    <cfRule type="cellIs" dxfId="124" priority="10" operator="lessThan">
      <formula>0</formula>
    </cfRule>
  </conditionalFormatting>
  <conditionalFormatting sqref="AM24:AM36 AM40:AM41 AM43:AM51 AM53:AM70 AM72 AM74:AM76 AM78:AM80 AM106:AM109 AM111:AM114 AM116:AM117 AM119 AM121:AM141 AM143 AM145:AM154 AM157 AM159 AM178 AM180 AM184:AM187 AM189:AM195 AM197:AM203 AM205:AM216 AM219 AM223:AM227 AM231:AM232 AM234:AM240 AM242 AM244:AM268 AM82:AM104 AM8:AM12 AM14:AM22 AM161:AM172 AM174:AM176 AM221">
    <cfRule type="cellIs" dxfId="123" priority="15" operator="greaterThanOrEqual">
      <formula>25</formula>
    </cfRule>
    <cfRule type="cellIs" dxfId="122" priority="16" operator="between">
      <formula>10</formula>
      <formula>24.9999999</formula>
    </cfRule>
    <cfRule type="cellIs" dxfId="121" priority="17" operator="between">
      <formula>0</formula>
      <formula>9.99999999</formula>
    </cfRule>
    <cfRule type="cellIs" dxfId="120" priority="18" operator="lessThan">
      <formula>0</formula>
    </cfRule>
  </conditionalFormatting>
  <conditionalFormatting sqref="AQ8:AU268">
    <cfRule type="cellIs" dxfId="119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50"/>
  <sheetViews>
    <sheetView topLeftCell="A3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8" customWidth="1"/>
    <col min="2" max="2" width="5.28515625" style="118" customWidth="1"/>
    <col min="3" max="3" width="61" style="118" bestFit="1" customWidth="1"/>
    <col min="4" max="4" width="51.28515625" style="118" customWidth="1"/>
    <col min="5" max="6" width="34.5703125" style="118" customWidth="1"/>
    <col min="7" max="7" width="56.7109375" style="118" customWidth="1"/>
    <col min="8" max="8" width="5" style="118" customWidth="1"/>
    <col min="9" max="9" width="2" style="118" customWidth="1"/>
    <col min="10" max="16384" width="14.42578125" style="118"/>
  </cols>
  <sheetData>
    <row r="1" spans="2:10" ht="15.75" customHeight="1" thickBot="1"/>
    <row r="2" spans="2:10" ht="15.75" customHeight="1" thickBot="1">
      <c r="B2" s="119"/>
      <c r="C2" s="120"/>
      <c r="D2" s="120"/>
      <c r="E2" s="120"/>
      <c r="F2" s="120"/>
      <c r="G2" s="120"/>
      <c r="H2" s="121"/>
    </row>
    <row r="3" spans="2:10" ht="24.75" customHeight="1" thickBot="1">
      <c r="B3" s="122"/>
      <c r="C3" s="350" t="s">
        <v>1974</v>
      </c>
      <c r="D3" s="351"/>
      <c r="E3" s="351"/>
      <c r="F3" s="351"/>
      <c r="G3" s="352"/>
      <c r="H3" s="123"/>
    </row>
    <row r="4" spans="2:10" ht="10.5" customHeight="1">
      <c r="B4" s="122"/>
      <c r="C4" s="124"/>
      <c r="D4" s="124"/>
      <c r="E4" s="124"/>
      <c r="F4" s="124"/>
      <c r="G4" s="124"/>
      <c r="H4" s="123"/>
    </row>
    <row r="5" spans="2:10" ht="10.5" customHeight="1">
      <c r="B5" s="122"/>
      <c r="G5" s="124"/>
      <c r="H5" s="123"/>
    </row>
    <row r="6" spans="2:10" ht="19.899999999999999" customHeight="1">
      <c r="B6" s="122"/>
      <c r="C6" s="189" t="s">
        <v>1975</v>
      </c>
      <c r="D6" s="125" t="s">
        <v>930</v>
      </c>
      <c r="E6" s="353" t="s">
        <v>1976</v>
      </c>
      <c r="F6" s="353"/>
      <c r="G6" s="353"/>
      <c r="H6" s="123"/>
    </row>
    <row r="7" spans="2:10" ht="19.899999999999999" customHeight="1">
      <c r="B7" s="122"/>
      <c r="C7" s="189" t="s">
        <v>1977</v>
      </c>
      <c r="D7" s="193">
        <f>SUM(D15+G15)</f>
        <v>704</v>
      </c>
      <c r="E7" s="354" t="s">
        <v>1978</v>
      </c>
      <c r="F7" s="354"/>
      <c r="G7" s="354"/>
      <c r="H7" s="123"/>
    </row>
    <row r="8" spans="2:10" ht="19.899999999999999" customHeight="1">
      <c r="B8" s="122"/>
      <c r="C8" s="189" t="s">
        <v>1977</v>
      </c>
      <c r="D8" s="212">
        <f>D7*54.5/1000</f>
        <v>38.368000000000002</v>
      </c>
      <c r="E8" s="354" t="s">
        <v>1979</v>
      </c>
      <c r="F8" s="354"/>
      <c r="G8" s="354"/>
      <c r="H8" s="123"/>
      <c r="J8" s="126"/>
    </row>
    <row r="9" spans="2:10" ht="19.899999999999999" customHeight="1">
      <c r="B9" s="122"/>
      <c r="C9" s="185" t="s">
        <v>1980</v>
      </c>
      <c r="D9" s="193">
        <f>SUM(D16+G16)</f>
        <v>434.12844036697248</v>
      </c>
      <c r="E9" s="354" t="s">
        <v>1981</v>
      </c>
      <c r="F9" s="354"/>
      <c r="G9" s="354"/>
      <c r="H9" s="123"/>
    </row>
    <row r="10" spans="2:10" ht="19.899999999999999" customHeight="1">
      <c r="B10" s="122"/>
      <c r="C10" s="185" t="s">
        <v>1980</v>
      </c>
      <c r="D10" s="213">
        <f>D9*54.5/1000</f>
        <v>23.66</v>
      </c>
      <c r="E10" s="347" t="s">
        <v>1982</v>
      </c>
      <c r="F10" s="348"/>
      <c r="G10" s="349"/>
      <c r="H10" s="123"/>
    </row>
    <row r="11" spans="2:10" ht="19.899999999999999" customHeight="1">
      <c r="B11" s="122"/>
      <c r="C11" s="185" t="s">
        <v>1983</v>
      </c>
      <c r="D11" s="214"/>
      <c r="E11" s="353" t="s">
        <v>1984</v>
      </c>
      <c r="F11" s="353"/>
      <c r="G11" s="353"/>
      <c r="H11" s="123"/>
    </row>
    <row r="12" spans="2:10" ht="6" customHeight="1">
      <c r="B12" s="122"/>
      <c r="C12" s="127"/>
      <c r="D12" s="128"/>
      <c r="E12" s="129"/>
      <c r="F12" s="129"/>
      <c r="G12" s="124"/>
      <c r="H12" s="123"/>
    </row>
    <row r="13" spans="2:10" ht="18.75" customHeight="1">
      <c r="B13" s="122"/>
      <c r="C13" s="181"/>
      <c r="D13" s="182" t="s">
        <v>1985</v>
      </c>
      <c r="E13" s="183"/>
      <c r="F13" s="183"/>
      <c r="G13" s="184" t="s">
        <v>1986</v>
      </c>
      <c r="H13" s="123"/>
    </row>
    <row r="14" spans="2:10" ht="18.75" customHeight="1">
      <c r="B14" s="122"/>
      <c r="C14" s="185" t="s">
        <v>1987</v>
      </c>
      <c r="D14" s="186" t="str">
        <f>VLOOKUP(D6,Data!C1:D35,2,FALSE)</f>
        <v>WAHP;DC SYS A Tx</v>
      </c>
      <c r="E14" s="347"/>
      <c r="F14" s="349"/>
      <c r="G14" s="186" t="str">
        <f>VLOOKUP(D6,Data!C1:E35,3,FALSE)</f>
        <v>WAHP;DC SYS B Tx</v>
      </c>
      <c r="H14" s="123"/>
    </row>
    <row r="15" spans="2:10" ht="18.75" customHeight="1">
      <c r="B15" s="122"/>
      <c r="C15" s="185" t="s">
        <v>1988</v>
      </c>
      <c r="D15" s="188">
        <f>VLOOKUP(D14,All!A8:I268,9,FALSE)</f>
        <v>359</v>
      </c>
      <c r="E15" s="347"/>
      <c r="F15" s="349"/>
      <c r="G15" s="188">
        <f>VLOOKUP(G14,All!A8:I268,9,FALSE)</f>
        <v>345</v>
      </c>
      <c r="H15" s="123"/>
    </row>
    <row r="16" spans="2:10" ht="18.75" customHeight="1">
      <c r="B16" s="122"/>
      <c r="C16" s="185" t="s">
        <v>1989</v>
      </c>
      <c r="D16" s="188">
        <f>VLOOKUP(D14,'SYS Allocations'!A8:I269,8,FALSE)</f>
        <v>217.06422018348624</v>
      </c>
      <c r="E16" s="347" t="s">
        <v>1990</v>
      </c>
      <c r="F16" s="349"/>
      <c r="G16" s="188">
        <f>VLOOKUP(G14,'SYS Allocations'!A8:H269,8,FALSE)</f>
        <v>217.06422018348624</v>
      </c>
      <c r="H16" s="123"/>
    </row>
    <row r="17" spans="2:10" ht="18.75" customHeight="1">
      <c r="B17" s="122"/>
      <c r="C17" s="185" t="s">
        <v>1991</v>
      </c>
      <c r="D17" s="187" t="str">
        <f>VLOOKUP(D14,All!A8:H268,6,FALSE)</f>
        <v>Eaton Powerware APR48-ES</v>
      </c>
      <c r="E17" s="347"/>
      <c r="F17" s="349"/>
      <c r="G17" s="187" t="str">
        <f>VLOOKUP(G14,All!A8:H268,6,FALSE)</f>
        <v>Eaton Powerware APR48-ES</v>
      </c>
      <c r="H17" s="131"/>
    </row>
    <row r="18" spans="2:10" ht="18.75" customHeight="1">
      <c r="B18" s="122"/>
      <c r="C18" s="185" t="s">
        <v>1992</v>
      </c>
      <c r="D18" s="187">
        <f>VLOOKUP(D14,All!A8:H268,8,FALSE)</f>
        <v>60</v>
      </c>
      <c r="E18" s="347"/>
      <c r="F18" s="349"/>
      <c r="G18" s="187">
        <f>VLOOKUP(G14,All!A8:H268,8,FALSE)</f>
        <v>60</v>
      </c>
      <c r="H18" s="123"/>
      <c r="J18" s="178" t="s">
        <v>1993</v>
      </c>
    </row>
    <row r="19" spans="2:10" ht="18.75" customHeight="1">
      <c r="B19" s="122"/>
      <c r="C19" s="185" t="s">
        <v>1994</v>
      </c>
      <c r="D19" s="188">
        <f>D7/2</f>
        <v>352</v>
      </c>
      <c r="E19" s="347" t="s">
        <v>1979</v>
      </c>
      <c r="F19" s="349"/>
      <c r="G19" s="188">
        <f>D19</f>
        <v>352</v>
      </c>
      <c r="H19" s="123"/>
    </row>
    <row r="20" spans="2:10" ht="18.75" customHeight="1">
      <c r="B20" s="122"/>
      <c r="C20" s="189" t="s">
        <v>1995</v>
      </c>
      <c r="D20" s="188">
        <f>SUM(D7,D9,D11)/2</f>
        <v>569.06422018348621</v>
      </c>
      <c r="E20" s="347" t="s">
        <v>1979</v>
      </c>
      <c r="F20" s="349"/>
      <c r="G20" s="188">
        <f>D20</f>
        <v>569.06422018348621</v>
      </c>
      <c r="H20" s="123"/>
    </row>
    <row r="21" spans="2:10" ht="18.75" customHeight="1">
      <c r="B21" s="122"/>
      <c r="C21" s="189" t="s">
        <v>1996</v>
      </c>
      <c r="D21" s="190">
        <f>(D20*54.5)/1000</f>
        <v>31.013999999999999</v>
      </c>
      <c r="E21" s="347" t="s">
        <v>1979</v>
      </c>
      <c r="F21" s="349"/>
      <c r="G21" s="190">
        <f>(G20*54.5)/1000</f>
        <v>31.013999999999999</v>
      </c>
      <c r="H21" s="123"/>
    </row>
    <row r="22" spans="2:10" ht="18.75" customHeight="1">
      <c r="B22" s="122"/>
      <c r="C22" s="185" t="s">
        <v>1997</v>
      </c>
      <c r="D22" s="191" t="str">
        <f>VLOOKUP(D14,All!A8:R283,16,FALSE)</f>
        <v>3</v>
      </c>
      <c r="E22" s="347" t="s">
        <v>1998</v>
      </c>
      <c r="F22" s="349"/>
      <c r="G22" s="191" t="str">
        <f>VLOOKUP(G14,All!A8:R283,16,FALSE)</f>
        <v>3</v>
      </c>
      <c r="H22" s="123"/>
    </row>
    <row r="23" spans="2:10" ht="18.75" customHeight="1">
      <c r="B23" s="122"/>
      <c r="C23" s="185" t="s">
        <v>1999</v>
      </c>
      <c r="D23" s="191" t="str">
        <f>VLOOKUP(D14,All!A8:AP283,42,FALSE)</f>
        <v>DDm100-27</v>
      </c>
      <c r="E23" s="347" t="s">
        <v>2000</v>
      </c>
      <c r="F23" s="349"/>
      <c r="G23" s="191" t="str">
        <f>VLOOKUP(G14,All!A8:AP283,42,FALSE)</f>
        <v>DDm100-27</v>
      </c>
      <c r="H23" s="123"/>
      <c r="J23" s="178" t="s">
        <v>1993</v>
      </c>
    </row>
    <row r="24" spans="2:10" ht="18.75" customHeight="1">
      <c r="B24" s="122"/>
      <c r="C24" s="185" t="s">
        <v>2001</v>
      </c>
      <c r="D24" s="192">
        <f>(VLOOKUP(D23,Table7[],15,FALSE)*D22)</f>
        <v>390</v>
      </c>
      <c r="E24" s="347" t="s">
        <v>2002</v>
      </c>
      <c r="F24" s="349"/>
      <c r="G24" s="192">
        <f>(VLOOKUP(G23,Table7[],15,FALSE)*G22)</f>
        <v>390</v>
      </c>
      <c r="H24" s="123"/>
    </row>
    <row r="25" spans="2:10" ht="18.75" customHeight="1">
      <c r="B25" s="122"/>
      <c r="C25" s="185" t="s">
        <v>2003</v>
      </c>
      <c r="D25" s="193">
        <f>D20</f>
        <v>569.06422018348621</v>
      </c>
      <c r="E25" s="347" t="s">
        <v>1979</v>
      </c>
      <c r="F25" s="349"/>
      <c r="G25" s="193">
        <f>G20</f>
        <v>569.06422018348621</v>
      </c>
      <c r="H25" s="123"/>
    </row>
    <row r="26" spans="2:10" ht="6.75" customHeight="1">
      <c r="B26" s="122"/>
      <c r="C26" s="194"/>
      <c r="D26" s="195"/>
      <c r="E26" s="194"/>
      <c r="F26" s="194"/>
      <c r="G26" s="194"/>
      <c r="H26" s="123"/>
    </row>
    <row r="27" spans="2:10" ht="13.15">
      <c r="B27" s="122"/>
      <c r="C27" s="196"/>
      <c r="D27" s="197" t="s">
        <v>2004</v>
      </c>
      <c r="E27" s="362" t="s">
        <v>2005</v>
      </c>
      <c r="F27" s="363"/>
      <c r="G27" s="197" t="s">
        <v>2004</v>
      </c>
      <c r="H27" s="123"/>
    </row>
    <row r="28" spans="2:10" ht="18.75" customHeight="1">
      <c r="B28" s="122"/>
      <c r="C28" s="198" t="s">
        <v>2006</v>
      </c>
      <c r="D28" s="199">
        <f>((VLOOKUP(D17,Table83[#Data],2,FALSE))*(D18-1))/2</f>
        <v>1079.7</v>
      </c>
      <c r="E28" s="364">
        <f>ROUNDUP((((VLOOKUP(D17,Rectifier_Lookup!A2:C23,2,FALSE))*(D18-1))-(D25+G25))/(VLOOKUP(D17,Rectifier_Lookup!A2:C23,2,FALSE)),0)</f>
        <v>28</v>
      </c>
      <c r="F28" s="364"/>
      <c r="G28" s="200">
        <f>((VLOOKUP(G17,Table83[#Data],2,FALSE))*(G18-1))/2</f>
        <v>1079.7</v>
      </c>
      <c r="H28" s="123"/>
    </row>
    <row r="29" spans="2:10" ht="15.75" customHeight="1">
      <c r="B29" s="122"/>
      <c r="C29" s="198" t="s">
        <v>2007</v>
      </c>
      <c r="D29" s="201">
        <f>(D28*54.5)/1000</f>
        <v>58.843650000000004</v>
      </c>
      <c r="E29" s="364"/>
      <c r="F29" s="364"/>
      <c r="G29" s="202">
        <f>(G28*54.5)/1000</f>
        <v>58.843650000000004</v>
      </c>
      <c r="H29" s="123"/>
    </row>
    <row r="30" spans="2:10" ht="6" customHeight="1">
      <c r="B30" s="122"/>
      <c r="C30" s="194"/>
      <c r="D30" s="194"/>
      <c r="E30" s="194"/>
      <c r="F30" s="194"/>
      <c r="G30" s="194"/>
      <c r="H30" s="123"/>
    </row>
    <row r="31" spans="2:10" ht="19.5" customHeight="1">
      <c r="B31" s="122"/>
      <c r="C31" s="203"/>
      <c r="D31" s="204" t="s">
        <v>2008</v>
      </c>
      <c r="E31" s="365" t="s">
        <v>2009</v>
      </c>
      <c r="F31" s="365"/>
      <c r="G31" s="204" t="s">
        <v>2010</v>
      </c>
      <c r="H31" s="123"/>
    </row>
    <row r="32" spans="2:10" ht="19.5" customHeight="1">
      <c r="B32" s="122"/>
      <c r="C32" s="205" t="s">
        <v>2011</v>
      </c>
      <c r="D32" s="132">
        <f>(D33/D28)</f>
        <v>0.47294228009309419</v>
      </c>
      <c r="E32" s="366" t="s">
        <v>2012</v>
      </c>
      <c r="F32" s="367"/>
      <c r="G32" s="132">
        <f>(G33/G28)</f>
        <v>0.47294228009309419</v>
      </c>
      <c r="H32" s="123"/>
    </row>
    <row r="33" spans="2:8" ht="19.5" customHeight="1">
      <c r="B33" s="122"/>
      <c r="C33" s="198" t="s">
        <v>2006</v>
      </c>
      <c r="D33" s="199">
        <f>D28-D25</f>
        <v>510.63577981651383</v>
      </c>
      <c r="E33" s="368">
        <f>D33+G33</f>
        <v>1021.2715596330277</v>
      </c>
      <c r="F33" s="368"/>
      <c r="G33" s="199">
        <f>G28-G25</f>
        <v>510.63577981651383</v>
      </c>
      <c r="H33" s="123"/>
    </row>
    <row r="34" spans="2:8" ht="19.5" customHeight="1">
      <c r="B34" s="122"/>
      <c r="C34" s="198" t="s">
        <v>2007</v>
      </c>
      <c r="D34" s="201">
        <f>(D33*54.5)/1000</f>
        <v>27.829650000000004</v>
      </c>
      <c r="E34" s="355">
        <f>D34+G34</f>
        <v>55.659300000000009</v>
      </c>
      <c r="F34" s="355"/>
      <c r="G34" s="201">
        <f>(G33*54.5)/1000</f>
        <v>27.829650000000004</v>
      </c>
      <c r="H34" s="123"/>
    </row>
    <row r="35" spans="2:8" ht="6" customHeight="1">
      <c r="B35" s="122"/>
      <c r="C35" s="194"/>
      <c r="D35" s="194"/>
      <c r="E35" s="194"/>
      <c r="F35" s="194"/>
      <c r="G35" s="194"/>
      <c r="H35" s="123"/>
    </row>
    <row r="36" spans="2:8" ht="15.75" customHeight="1">
      <c r="B36" s="122"/>
      <c r="C36" s="356" t="s">
        <v>2013</v>
      </c>
      <c r="D36" s="357"/>
      <c r="E36" s="357"/>
      <c r="F36" s="357"/>
      <c r="G36" s="358"/>
      <c r="H36" s="123"/>
    </row>
    <row r="37" spans="2:8" ht="15.75" customHeight="1">
      <c r="B37" s="122"/>
      <c r="C37" s="198" t="s">
        <v>2014</v>
      </c>
      <c r="D37" s="206" t="s">
        <v>2015</v>
      </c>
      <c r="E37" s="206" t="s">
        <v>2016</v>
      </c>
      <c r="F37" s="206" t="s">
        <v>2017</v>
      </c>
      <c r="G37" s="206" t="s">
        <v>2018</v>
      </c>
      <c r="H37" s="123"/>
    </row>
    <row r="38" spans="2:8" ht="21.6" customHeight="1">
      <c r="B38" s="122"/>
      <c r="C38" s="207" t="s">
        <v>2019</v>
      </c>
      <c r="D38" s="208">
        <f>VLOOKUP(D23,Table7[],6,FALSE)*D22</f>
        <v>1463.6477064220185</v>
      </c>
      <c r="E38" s="208">
        <f>VLOOKUP(D23,Table7[],7,FALSE)*D22</f>
        <v>989.2403669724772</v>
      </c>
      <c r="F38" s="208">
        <f>VLOOKUP(D23,Table7[],8,FALSE)*D22</f>
        <v>750.25321100917427</v>
      </c>
      <c r="G38" s="208">
        <f>VLOOKUP(D23,Table7[],9,FALSE)*D22</f>
        <v>613.51926605504582</v>
      </c>
      <c r="H38" s="123"/>
    </row>
    <row r="39" spans="2:8" ht="21.6" customHeight="1">
      <c r="B39" s="122"/>
      <c r="C39" s="207" t="s">
        <v>2020</v>
      </c>
      <c r="D39" s="208">
        <f>VLOOKUP(D23,Table7[],10,FALSE)*D22</f>
        <v>79.768799999999999</v>
      </c>
      <c r="E39" s="208">
        <f>VLOOKUP(D23,Table7[],11,FALSE)*D22</f>
        <v>53.91360000000001</v>
      </c>
      <c r="F39" s="208">
        <f>VLOOKUP(D23,Table7[],12,FALSE)*D22</f>
        <v>40.888800000000003</v>
      </c>
      <c r="G39" s="208">
        <f>VLOOKUP(D23,Table7[],13,FALSE)*D22</f>
        <v>33.436799999999998</v>
      </c>
      <c r="H39" s="123"/>
    </row>
    <row r="40" spans="2:8" ht="21.6" customHeight="1">
      <c r="B40" s="122"/>
      <c r="C40" s="209" t="s">
        <v>2021</v>
      </c>
      <c r="D40" s="208">
        <f>VLOOKUP(G23,Table7[],6,FALSE)*G22</f>
        <v>1463.6477064220185</v>
      </c>
      <c r="E40" s="208">
        <f>VLOOKUP(G23,Table7[],7,FALSE)*G22</f>
        <v>989.2403669724772</v>
      </c>
      <c r="F40" s="208">
        <f>VLOOKUP(G23,Table7[],8,FALSE)*G22</f>
        <v>750.25321100917427</v>
      </c>
      <c r="G40" s="208">
        <f>VLOOKUP(G23,Table7[],9,FALSE)*G22</f>
        <v>613.51926605504582</v>
      </c>
      <c r="H40" s="123"/>
    </row>
    <row r="41" spans="2:8" ht="21.6" customHeight="1">
      <c r="B41" s="122"/>
      <c r="C41" s="209" t="s">
        <v>2022</v>
      </c>
      <c r="D41" s="208">
        <f>VLOOKUP(G23,Table7[],10,FALSE)*G22</f>
        <v>79.768799999999999</v>
      </c>
      <c r="E41" s="208">
        <f>VLOOKUP(G23,Table7[],11,FALSE)*G22</f>
        <v>53.91360000000001</v>
      </c>
      <c r="F41" s="208">
        <f>VLOOKUP(G23,Table7[],12,FALSE)*G22</f>
        <v>40.888800000000003</v>
      </c>
      <c r="G41" s="208">
        <f>VLOOKUP(G23,Table7[],13,FALSE)*G22</f>
        <v>33.436799999999998</v>
      </c>
      <c r="H41" s="123"/>
    </row>
    <row r="42" spans="2:8" ht="6" customHeight="1">
      <c r="B42" s="122"/>
      <c r="C42" s="194"/>
      <c r="D42" s="194"/>
      <c r="E42" s="194"/>
      <c r="F42" s="194"/>
      <c r="G42" s="194"/>
      <c r="H42" s="123"/>
    </row>
    <row r="43" spans="2:8" ht="21" customHeight="1">
      <c r="B43" s="122"/>
      <c r="C43" s="359" t="s">
        <v>2023</v>
      </c>
      <c r="D43" s="360"/>
      <c r="E43" s="360"/>
      <c r="F43" s="360"/>
      <c r="G43" s="361"/>
      <c r="H43" s="123"/>
    </row>
    <row r="44" spans="2:8" ht="21" customHeight="1">
      <c r="B44" s="122"/>
      <c r="C44" s="210" t="s">
        <v>2014</v>
      </c>
      <c r="D44" s="211" t="s">
        <v>2015</v>
      </c>
      <c r="E44" s="211" t="s">
        <v>2016</v>
      </c>
      <c r="F44" s="211" t="s">
        <v>2017</v>
      </c>
      <c r="G44" s="211" t="s">
        <v>2018</v>
      </c>
      <c r="H44" s="123"/>
    </row>
    <row r="45" spans="2:8" ht="21" customHeight="1">
      <c r="B45" s="122"/>
      <c r="C45" s="207" t="s">
        <v>2024</v>
      </c>
      <c r="D45" s="208">
        <f>VLOOKUP(D23,Table7[],6,FALSE)*D22</f>
        <v>1463.6477064220185</v>
      </c>
      <c r="E45" s="208">
        <f>VLOOKUP(D23,Table7[],7,FALSE)*D22</f>
        <v>989.2403669724772</v>
      </c>
      <c r="F45" s="208">
        <f>VLOOKUP(D23,Table7[],8,FALSE)*D22</f>
        <v>750.25321100917427</v>
      </c>
      <c r="G45" s="208">
        <f>VLOOKUP(D23,Table7[],9,FALSE)*D22</f>
        <v>613.51926605504582</v>
      </c>
      <c r="H45" s="123"/>
    </row>
    <row r="46" spans="2:8" ht="21" customHeight="1">
      <c r="B46" s="122"/>
      <c r="C46" s="207" t="s">
        <v>2020</v>
      </c>
      <c r="D46" s="208">
        <f>VLOOKUP(D23,Table7[],10,FALSE)*D22</f>
        <v>79.768799999999999</v>
      </c>
      <c r="E46" s="208">
        <f>VLOOKUP(D23,Table7[],11,FALSE)*D22</f>
        <v>53.91360000000001</v>
      </c>
      <c r="F46" s="208">
        <f>VLOOKUP(D23,Table7[],12,FALSE)*D22</f>
        <v>40.888800000000003</v>
      </c>
      <c r="G46" s="208">
        <f>VLOOKUP(D23,Table7[],13,FALSE)*D22</f>
        <v>33.436799999999998</v>
      </c>
      <c r="H46" s="123"/>
    </row>
    <row r="47" spans="2:8" ht="21" customHeight="1">
      <c r="B47" s="122"/>
      <c r="C47" s="209" t="s">
        <v>2025</v>
      </c>
      <c r="D47" s="208">
        <f>VLOOKUP(G23,Table7[],6,FALSE)*G22</f>
        <v>1463.6477064220185</v>
      </c>
      <c r="E47" s="208">
        <f>VLOOKUP(G23,Table7[],7,FALSE)*G22</f>
        <v>989.2403669724772</v>
      </c>
      <c r="F47" s="208">
        <f>VLOOKUP(G23,Table7[],8,FALSE)*G22</f>
        <v>750.25321100917427</v>
      </c>
      <c r="G47" s="208">
        <f>VLOOKUP(G23,Table7[],9,FALSE)*G22</f>
        <v>613.51926605504582</v>
      </c>
      <c r="H47" s="123"/>
    </row>
    <row r="48" spans="2:8" ht="21" customHeight="1">
      <c r="B48" s="122"/>
      <c r="C48" s="209" t="s">
        <v>2022</v>
      </c>
      <c r="D48" s="208">
        <f>VLOOKUP(G23,Table7[],10,FALSE)*G22</f>
        <v>79.768799999999999</v>
      </c>
      <c r="E48" s="208">
        <f>VLOOKUP(G23,Table7[],11,FALSE)*G22</f>
        <v>53.91360000000001</v>
      </c>
      <c r="F48" s="208">
        <f>VLOOKUP(G23,Table7[],12,FALSE)*G22</f>
        <v>40.888800000000003</v>
      </c>
      <c r="G48" s="208">
        <f>VLOOKUP(G23,Table7[],13,FALSE)*G22</f>
        <v>33.436799999999998</v>
      </c>
      <c r="H48" s="123"/>
    </row>
    <row r="49" spans="2:8" ht="13.15">
      <c r="B49" s="133"/>
      <c r="H49" s="123"/>
    </row>
    <row r="50" spans="2:8" ht="15.75" customHeight="1" thickBot="1">
      <c r="B50" s="134"/>
      <c r="C50" s="135"/>
      <c r="D50" s="135"/>
      <c r="E50" s="135"/>
      <c r="F50" s="135"/>
      <c r="G50" s="135"/>
      <c r="H50" s="136"/>
    </row>
  </sheetData>
  <sheetProtection algorithmName="SHA-512" hashValue="hUcO5Qx0Jg5f9cQIrzg3Gc7D4FXq4baM+nboUmswxOa36VUr3Yy68L/xsWZeEs1ofly3ayWsfVM5txWNymaEGw==" saltValue="phkwOPeTmpDwgDj791/Iw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18" priority="3" operator="notEqual">
      <formula>$G$18</formula>
    </cfRule>
  </conditionalFormatting>
  <conditionalFormatting sqref="D23">
    <cfRule type="cellIs" dxfId="117" priority="2" operator="notEqual">
      <formula>$G$23</formula>
    </cfRule>
  </conditionalFormatting>
  <conditionalFormatting sqref="D24">
    <cfRule type="cellIs" dxfId="116" priority="16" operator="greaterThan">
      <formula>$D$28</formula>
    </cfRule>
  </conditionalFormatting>
  <conditionalFormatting sqref="D29 G29">
    <cfRule type="cellIs" dxfId="115" priority="30" operator="lessThan">
      <formula>$D$21</formula>
    </cfRule>
    <cfRule type="cellIs" dxfId="114" priority="31" operator="greaterThanOrEqual">
      <formula>$D$21</formula>
    </cfRule>
  </conditionalFormatting>
  <conditionalFormatting sqref="D32 G32">
    <cfRule type="cellIs" dxfId="113" priority="17" operator="lessThanOrEqual">
      <formula>10%</formula>
    </cfRule>
    <cfRule type="cellIs" dxfId="112" priority="18" operator="between">
      <formula>24.99999%</formula>
      <formula>9.99999999999999%</formula>
    </cfRule>
    <cfRule type="cellIs" dxfId="111" priority="19" operator="greaterThan">
      <formula>25%</formula>
    </cfRule>
  </conditionalFormatting>
  <conditionalFormatting sqref="D46">
    <cfRule type="cellIs" dxfId="110" priority="24" operator="lessThan">
      <formula>$D$8</formula>
    </cfRule>
    <cfRule type="cellIs" dxfId="109" priority="25" operator="greaterThanOrEqual">
      <formula>$D$8</formula>
    </cfRule>
  </conditionalFormatting>
  <conditionalFormatting sqref="D48">
    <cfRule type="cellIs" dxfId="108" priority="5" operator="lessThan">
      <formula>$D$8</formula>
    </cfRule>
    <cfRule type="cellIs" dxfId="107" priority="6" operator="greaterThanOrEqual">
      <formula>$D$8</formula>
    </cfRule>
  </conditionalFormatting>
  <conditionalFormatting sqref="D28:E28 G28">
    <cfRule type="cellIs" dxfId="106" priority="36" operator="lessThan">
      <formula>$D$20</formula>
    </cfRule>
    <cfRule type="cellIs" dxfId="105" priority="37" operator="greaterThanOrEqual">
      <formula>$D$20</formula>
    </cfRule>
  </conditionalFormatting>
  <conditionalFormatting sqref="D33:E34 G33:G34">
    <cfRule type="cellIs" dxfId="104" priority="20" operator="lessThanOrEqual">
      <formula>0</formula>
    </cfRule>
    <cfRule type="cellIs" dxfId="103" priority="21" operator="greaterThan">
      <formula>0</formula>
    </cfRule>
  </conditionalFormatting>
  <conditionalFormatting sqref="D38:G38">
    <cfRule type="cellIs" dxfId="102" priority="38" operator="lessThanOrEqual">
      <formula>$D$20</formula>
    </cfRule>
    <cfRule type="cellIs" dxfId="101" priority="39" operator="greaterThan">
      <formula>$D$20</formula>
    </cfRule>
  </conditionalFormatting>
  <conditionalFormatting sqref="D39:G39">
    <cfRule type="cellIs" dxfId="100" priority="40" operator="lessThan">
      <formula>$D$21</formula>
    </cfRule>
    <cfRule type="cellIs" dxfId="99" priority="41" operator="greaterThanOrEqual">
      <formula>$D$21</formula>
    </cfRule>
  </conditionalFormatting>
  <conditionalFormatting sqref="D40:G40">
    <cfRule type="cellIs" dxfId="98" priority="11" operator="lessThanOrEqual">
      <formula>$D$20</formula>
    </cfRule>
    <cfRule type="cellIs" dxfId="97" priority="12" operator="greaterThan">
      <formula>$D$20</formula>
    </cfRule>
  </conditionalFormatting>
  <conditionalFormatting sqref="D41:G41">
    <cfRule type="cellIs" dxfId="96" priority="13" operator="lessThan">
      <formula>$D$21</formula>
    </cfRule>
    <cfRule type="cellIs" dxfId="95" priority="14" operator="greaterThanOrEqual">
      <formula>$D$21</formula>
    </cfRule>
  </conditionalFormatting>
  <conditionalFormatting sqref="D45:G45">
    <cfRule type="cellIs" dxfId="94" priority="26" operator="lessThanOrEqual">
      <formula>$D$20*2</formula>
    </cfRule>
    <cfRule type="cellIs" dxfId="93" priority="27" operator="greaterThan">
      <formula>$D$20*2</formula>
    </cfRule>
  </conditionalFormatting>
  <conditionalFormatting sqref="D47:G47">
    <cfRule type="cellIs" dxfId="92" priority="7" operator="lessThanOrEqual">
      <formula>$G$20*2</formula>
    </cfRule>
    <cfRule type="cellIs" dxfId="91" priority="8" operator="greaterThan">
      <formula>$G$20*2</formula>
    </cfRule>
  </conditionalFormatting>
  <conditionalFormatting sqref="E28">
    <cfRule type="cellIs" dxfId="90" priority="22" operator="lessThan">
      <formula>0</formula>
    </cfRule>
    <cfRule type="cellIs" dxfId="89" priority="23" operator="greaterThanOrEqual">
      <formula>0</formula>
    </cfRule>
  </conditionalFormatting>
  <conditionalFormatting sqref="E46:G46">
    <cfRule type="cellIs" dxfId="88" priority="28" operator="lessThan">
      <formula>$D$21*2</formula>
    </cfRule>
    <cfRule type="cellIs" dxfId="87" priority="29" operator="greaterThanOrEqual">
      <formula>$D$21*2</formula>
    </cfRule>
  </conditionalFormatting>
  <conditionalFormatting sqref="E48:G48">
    <cfRule type="cellIs" dxfId="86" priority="9" operator="lessThan">
      <formula>$G$21*2</formula>
    </cfRule>
    <cfRule type="cellIs" dxfId="85" priority="10" operator="greaterThanOrEqual">
      <formula>$G$21*2</formula>
    </cfRule>
  </conditionalFormatting>
  <conditionalFormatting sqref="G18">
    <cfRule type="cellIs" dxfId="84" priority="4" operator="notEqual">
      <formula>$D$18</formula>
    </cfRule>
  </conditionalFormatting>
  <conditionalFormatting sqref="G23">
    <cfRule type="cellIs" dxfId="83" priority="1" operator="notEqual">
      <formula>$D$23</formula>
    </cfRule>
  </conditionalFormatting>
  <conditionalFormatting sqref="G24">
    <cfRule type="cellIs" dxfId="82" priority="15" operator="greaterThan">
      <formula>$G$28</formula>
    </cfRule>
  </conditionalFormatting>
  <conditionalFormatting sqref="G28">
    <cfRule type="cellIs" dxfId="81" priority="32" operator="lessThan">
      <formula>$D$20</formula>
    </cfRule>
    <cfRule type="cellIs" dxfId="80" priority="33" operator="greaterThanOrEqual">
      <formula>$D$20</formula>
    </cfRule>
  </conditionalFormatting>
  <conditionalFormatting sqref="G28:G29 E28">
    <cfRule type="cellIs" dxfId="79" priority="34" operator="greaterThanOrEqual">
      <formula>0</formula>
    </cfRule>
    <cfRule type="cellIs" dxfId="78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Data!$C$2:$C$35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R37"/>
  <sheetViews>
    <sheetView showGridLines="0" topLeftCell="C1" zoomScale="90" zoomScaleNormal="90" workbookViewId="0">
      <selection activeCell="D11" sqref="D11"/>
    </sheetView>
  </sheetViews>
  <sheetFormatPr defaultColWidth="14.42578125" defaultRowHeight="15.75" customHeight="1"/>
  <cols>
    <col min="1" max="1" width="4.42578125" style="215" customWidth="1"/>
    <col min="2" max="2" width="5.28515625" style="215" customWidth="1"/>
    <col min="3" max="3" width="49.42578125" style="215" customWidth="1"/>
    <col min="4" max="6" width="33.5703125" style="215" customWidth="1"/>
    <col min="7" max="7" width="36" style="215" customWidth="1"/>
    <col min="8" max="8" width="6.42578125" style="215" customWidth="1"/>
    <col min="9" max="9" width="3.42578125" style="215" customWidth="1"/>
    <col min="10" max="16384" width="14.42578125" style="215"/>
  </cols>
  <sheetData>
    <row r="1" spans="2:9" ht="15.75" customHeight="1" thickBot="1"/>
    <row r="2" spans="2:9" ht="15.75" customHeight="1" thickBot="1">
      <c r="B2" s="216"/>
      <c r="C2" s="217"/>
      <c r="D2" s="217"/>
      <c r="E2" s="217"/>
      <c r="F2" s="217"/>
      <c r="G2" s="217"/>
      <c r="H2" s="218"/>
    </row>
    <row r="3" spans="2:9" ht="24.75" customHeight="1" thickBot="1">
      <c r="B3" s="219"/>
      <c r="C3" s="370" t="s">
        <v>2026</v>
      </c>
      <c r="D3" s="371"/>
      <c r="E3" s="371"/>
      <c r="F3" s="371"/>
      <c r="G3" s="372"/>
      <c r="H3" s="220"/>
    </row>
    <row r="4" spans="2:9" ht="18.75" customHeight="1">
      <c r="B4" s="219"/>
      <c r="C4" s="221"/>
      <c r="D4" s="222"/>
      <c r="E4" s="223"/>
      <c r="F4" s="223"/>
      <c r="G4" s="223"/>
      <c r="H4" s="220"/>
    </row>
    <row r="5" spans="2:9" ht="18.75" customHeight="1">
      <c r="B5" s="219"/>
      <c r="C5" s="244" t="s">
        <v>2027</v>
      </c>
      <c r="D5" s="130" t="s">
        <v>102</v>
      </c>
      <c r="E5" s="369" t="s">
        <v>2028</v>
      </c>
      <c r="F5" s="369"/>
      <c r="G5" s="369"/>
      <c r="H5" s="220"/>
    </row>
    <row r="6" spans="2:9" ht="18.75" customHeight="1">
      <c r="B6" s="219"/>
      <c r="C6" s="244" t="s">
        <v>1991</v>
      </c>
      <c r="D6" s="187" t="str">
        <f>VLOOKUP(D5,All!A8:H268,6,FALSE)</f>
        <v>Eaton Powerware NPR.48</v>
      </c>
      <c r="E6" s="369" t="s">
        <v>2028</v>
      </c>
      <c r="F6" s="369"/>
      <c r="G6" s="369"/>
      <c r="H6" s="220"/>
    </row>
    <row r="7" spans="2:9" ht="18.75" customHeight="1">
      <c r="B7" s="219"/>
      <c r="C7" s="244" t="s">
        <v>1992</v>
      </c>
      <c r="D7" s="187">
        <f>VLOOKUP(D5,All!A8:H268,8,FALSE)</f>
        <v>8</v>
      </c>
      <c r="E7" s="369" t="s">
        <v>2029</v>
      </c>
      <c r="F7" s="369"/>
      <c r="G7" s="369"/>
      <c r="H7" s="220"/>
    </row>
    <row r="8" spans="2:9" ht="18.75" customHeight="1">
      <c r="B8" s="219"/>
      <c r="C8" s="244" t="s">
        <v>2030</v>
      </c>
      <c r="D8" s="188">
        <f>VLOOKUP(D5,All!A8:I268,9,FALSE)</f>
        <v>79</v>
      </c>
      <c r="E8" s="373" t="s">
        <v>2031</v>
      </c>
      <c r="F8" s="374"/>
      <c r="G8" s="375"/>
      <c r="H8" s="224"/>
    </row>
    <row r="9" spans="2:9" ht="18.75" customHeight="1">
      <c r="B9" s="219"/>
      <c r="C9" s="244" t="s">
        <v>2032</v>
      </c>
      <c r="D9" s="188">
        <f>VLOOKUP(D5,'SYS Allocations'!A8:H269,8,FALSE)</f>
        <v>80.733944954128447</v>
      </c>
      <c r="E9" s="373" t="s">
        <v>2033</v>
      </c>
      <c r="F9" s="374"/>
      <c r="G9" s="375"/>
      <c r="H9" s="220"/>
    </row>
    <row r="10" spans="2:9" ht="18.75" customHeight="1">
      <c r="B10" s="219"/>
      <c r="C10" s="244" t="s">
        <v>2034</v>
      </c>
      <c r="D10" s="242">
        <v>9</v>
      </c>
      <c r="E10" s="376" t="s">
        <v>2035</v>
      </c>
      <c r="F10" s="377"/>
      <c r="G10" s="378"/>
      <c r="H10" s="220"/>
    </row>
    <row r="11" spans="2:9" s="118" customFormat="1" ht="18.75" customHeight="1">
      <c r="B11" s="122"/>
      <c r="C11" s="243" t="s">
        <v>2036</v>
      </c>
      <c r="D11" s="188">
        <f>SUM(D8:D10)</f>
        <v>168.73394495412845</v>
      </c>
      <c r="E11" s="369" t="s">
        <v>1979</v>
      </c>
      <c r="F11" s="369"/>
      <c r="G11" s="369"/>
      <c r="H11" s="225"/>
    </row>
    <row r="12" spans="2:9" s="118" customFormat="1" ht="18.75" customHeight="1">
      <c r="B12" s="122"/>
      <c r="C12" s="243" t="s">
        <v>2037</v>
      </c>
      <c r="D12" s="190">
        <f>(D11*54.5)/1000</f>
        <v>9.1959999999999997</v>
      </c>
      <c r="E12" s="369" t="s">
        <v>1979</v>
      </c>
      <c r="F12" s="369"/>
      <c r="G12" s="369"/>
      <c r="H12" s="225"/>
    </row>
    <row r="13" spans="2:9" s="118" customFormat="1" ht="18.75" customHeight="1">
      <c r="B13" s="122"/>
      <c r="C13" s="244" t="s">
        <v>1997</v>
      </c>
      <c r="D13" s="191" t="str">
        <f>VLOOKUP(D5,All!A8:R283,16,FALSE)</f>
        <v>3</v>
      </c>
      <c r="E13" s="369" t="s">
        <v>1998</v>
      </c>
      <c r="F13" s="369"/>
      <c r="G13" s="369"/>
      <c r="H13" s="225"/>
    </row>
    <row r="14" spans="2:9" s="118" customFormat="1" ht="18.75" customHeight="1">
      <c r="B14" s="122"/>
      <c r="C14" s="244" t="s">
        <v>1999</v>
      </c>
      <c r="D14" s="191" t="str">
        <f>VLOOKUP(D5,All!A8:AP283,42,FALSE)</f>
        <v>EN480-2</v>
      </c>
      <c r="E14" s="369" t="s">
        <v>2000</v>
      </c>
      <c r="F14" s="369"/>
      <c r="G14" s="369"/>
      <c r="H14" s="225"/>
    </row>
    <row r="15" spans="2:9" ht="18.75" customHeight="1">
      <c r="B15" s="219"/>
      <c r="C15" s="245" t="s">
        <v>2001</v>
      </c>
      <c r="D15" s="246">
        <f>(VLOOKUP(D14,Table7[],15,FALSE)*D13)</f>
        <v>146.69999999999999</v>
      </c>
      <c r="E15" s="369" t="s">
        <v>1979</v>
      </c>
      <c r="F15" s="369"/>
      <c r="G15" s="369"/>
      <c r="H15" s="220"/>
    </row>
    <row r="16" spans="2:9" s="118" customFormat="1" ht="18.75" customHeight="1">
      <c r="B16" s="122"/>
      <c r="C16" s="244" t="s">
        <v>2038</v>
      </c>
      <c r="D16" s="193">
        <f>D11+D15</f>
        <v>315.43394495412844</v>
      </c>
      <c r="E16" s="369" t="s">
        <v>1979</v>
      </c>
      <c r="F16" s="369"/>
      <c r="G16" s="369"/>
      <c r="H16" s="225"/>
      <c r="I16" s="226"/>
    </row>
    <row r="17" spans="2:18" s="118" customFormat="1" ht="18.75" customHeight="1">
      <c r="B17" s="122"/>
      <c r="C17" s="194"/>
      <c r="D17" s="195"/>
      <c r="E17" s="194"/>
      <c r="F17" s="194"/>
      <c r="G17" s="194"/>
      <c r="H17" s="225"/>
    </row>
    <row r="18" spans="2:18" s="118" customFormat="1" ht="28.5" customHeight="1">
      <c r="B18" s="122"/>
      <c r="C18" s="196"/>
      <c r="D18" s="247" t="s">
        <v>2039</v>
      </c>
      <c r="E18" s="197" t="s">
        <v>2040</v>
      </c>
      <c r="F18" s="206" t="s">
        <v>2005</v>
      </c>
      <c r="G18" s="197" t="s">
        <v>2041</v>
      </c>
      <c r="H18" s="225"/>
    </row>
    <row r="19" spans="2:18" s="118" customFormat="1" ht="18.75" customHeight="1">
      <c r="B19" s="122"/>
      <c r="C19" s="198" t="s">
        <v>2006</v>
      </c>
      <c r="D19" s="199">
        <f>((VLOOKUP(D6,Table83[],2,FALSE))*(D7-1))-(VLOOKUP(D14,Table7[],15,FALSE)*D13)</f>
        <v>238.3</v>
      </c>
      <c r="E19" s="248">
        <f>((VLOOKUP(D6,Table83[],2,FALSE))*(D7-1))*0.8</f>
        <v>308</v>
      </c>
      <c r="F19" s="380">
        <f>ROUNDUP((((VLOOKUP(D6,Rectifier_Lookup!A2:B37,2,FALSE))*(D7-1))-D16)/(VLOOKUP(D6,Rectifier_Lookup!A2:C37,2,FALSE)),0)</f>
        <v>2</v>
      </c>
      <c r="G19" s="380">
        <f>ROUNDUP((D11-E19)/(VLOOKUP(D6,'[2]Rectifier Lookup'!A2:C37,3,FALSE)),0)</f>
        <v>-4</v>
      </c>
      <c r="H19" s="225"/>
    </row>
    <row r="20" spans="2:18" ht="15.75" customHeight="1">
      <c r="B20" s="219"/>
      <c r="C20" s="198" t="s">
        <v>2007</v>
      </c>
      <c r="D20" s="201">
        <f>(D19*54.5)/1000</f>
        <v>12.987350000000001</v>
      </c>
      <c r="E20" s="201">
        <f>(E19*54.5)/1000</f>
        <v>16.786000000000001</v>
      </c>
      <c r="F20" s="381"/>
      <c r="G20" s="381"/>
      <c r="H20" s="220"/>
    </row>
    <row r="21" spans="2:18" ht="15.75" customHeight="1">
      <c r="B21" s="219"/>
      <c r="C21" s="223"/>
      <c r="D21" s="223"/>
      <c r="E21" s="223"/>
      <c r="F21" s="223"/>
      <c r="G21" s="223"/>
      <c r="H21" s="220"/>
    </row>
    <row r="22" spans="2:18" ht="15.75" customHeight="1">
      <c r="B22" s="219"/>
      <c r="C22" s="203"/>
      <c r="D22" s="204" t="s">
        <v>2042</v>
      </c>
      <c r="E22" s="204" t="s">
        <v>2043</v>
      </c>
      <c r="F22" s="203"/>
      <c r="G22" s="203"/>
      <c r="H22" s="220"/>
      <c r="R22" s="215" t="s">
        <v>2044</v>
      </c>
    </row>
    <row r="23" spans="2:18" ht="15.75" customHeight="1">
      <c r="B23" s="219"/>
      <c r="C23" s="205" t="s">
        <v>2011</v>
      </c>
      <c r="D23" s="382">
        <f>D24/D19</f>
        <v>0.29192637451058145</v>
      </c>
      <c r="E23" s="383"/>
      <c r="F23" s="366" t="s">
        <v>2045</v>
      </c>
      <c r="G23" s="367"/>
      <c r="H23" s="220"/>
    </row>
    <row r="24" spans="2:18" ht="15.75" customHeight="1">
      <c r="B24" s="219"/>
      <c r="C24" s="198" t="s">
        <v>2006</v>
      </c>
      <c r="D24" s="199">
        <f>D19-D11</f>
        <v>69.566055045871565</v>
      </c>
      <c r="E24" s="248">
        <f>E19-D11</f>
        <v>139.26605504587155</v>
      </c>
      <c r="F24" s="203"/>
      <c r="G24" s="203"/>
      <c r="H24" s="220"/>
    </row>
    <row r="25" spans="2:18" ht="15.75" customHeight="1">
      <c r="B25" s="219"/>
      <c r="C25" s="198" t="s">
        <v>2007</v>
      </c>
      <c r="D25" s="201">
        <f>(D24*54.5)/1000</f>
        <v>3.7913500000000004</v>
      </c>
      <c r="E25" s="201">
        <f>(E24*54.5)/1000</f>
        <v>7.59</v>
      </c>
      <c r="F25" s="203"/>
      <c r="G25" s="203"/>
      <c r="H25" s="220"/>
    </row>
    <row r="26" spans="2:18" ht="15.75" customHeight="1">
      <c r="B26" s="219"/>
      <c r="C26" s="223"/>
      <c r="D26" s="223"/>
      <c r="E26" s="223"/>
      <c r="F26" s="223"/>
      <c r="G26" s="223"/>
      <c r="H26" s="220"/>
    </row>
    <row r="27" spans="2:18" ht="15.75" customHeight="1">
      <c r="B27" s="219"/>
      <c r="C27" s="384" t="s">
        <v>2046</v>
      </c>
      <c r="D27" s="384"/>
      <c r="E27" s="384"/>
      <c r="F27" s="384"/>
      <c r="G27" s="384"/>
      <c r="H27" s="220"/>
    </row>
    <row r="28" spans="2:18" ht="15.75" customHeight="1">
      <c r="B28" s="219"/>
      <c r="C28" s="198" t="s">
        <v>2014</v>
      </c>
      <c r="D28" s="206" t="s">
        <v>2015</v>
      </c>
      <c r="E28" s="206" t="s">
        <v>2016</v>
      </c>
      <c r="F28" s="206" t="s">
        <v>2017</v>
      </c>
      <c r="G28" s="206" t="s">
        <v>2018</v>
      </c>
      <c r="H28" s="220"/>
    </row>
    <row r="29" spans="2:18" ht="15.75" customHeight="1">
      <c r="B29" s="219"/>
      <c r="C29" s="198" t="s">
        <v>2006</v>
      </c>
      <c r="D29" s="249">
        <f>VLOOKUP(D14,Table7[],6,FALSE)*D13</f>
        <v>702.6935779816514</v>
      </c>
      <c r="E29" s="249">
        <f>VLOOKUP(D14,Table7[],7,FALSE)*D13</f>
        <v>422.09174311926608</v>
      </c>
      <c r="F29" s="249">
        <f>VLOOKUP(D14,Table7[],8,FALSE)*D13</f>
        <v>302.00366972477065</v>
      </c>
      <c r="G29" s="249">
        <f>VLOOKUP(D14,Table7[],9,FALSE)*D13</f>
        <v>241.3651376146789</v>
      </c>
      <c r="H29" s="220"/>
    </row>
    <row r="30" spans="2:18" ht="15.75" customHeight="1">
      <c r="B30" s="219"/>
      <c r="C30" s="198" t="s">
        <v>2007</v>
      </c>
      <c r="D30" s="249">
        <f>VLOOKUP(D14,Table7[],10,FALSE)*D13</f>
        <v>38.296800000000005</v>
      </c>
      <c r="E30" s="249">
        <f>VLOOKUP(D14,Table7[],11,FALSE)*D13</f>
        <v>23.004000000000001</v>
      </c>
      <c r="F30" s="249">
        <f>VLOOKUP(D14,Table7[],12,FALSE)*D13</f>
        <v>16.459199999999999</v>
      </c>
      <c r="G30" s="249">
        <f>VLOOKUP(D14,Table7[],13,FALSE)*D13</f>
        <v>13.154400000000001</v>
      </c>
      <c r="H30" s="220"/>
    </row>
    <row r="31" spans="2:18" ht="21" customHeight="1" thickBot="1">
      <c r="B31" s="227"/>
      <c r="C31" s="250"/>
      <c r="D31" s="250"/>
      <c r="E31" s="250"/>
      <c r="F31" s="250"/>
      <c r="G31" s="250"/>
      <c r="H31" s="228"/>
    </row>
    <row r="32" spans="2:18" ht="13.15">
      <c r="B32" s="229"/>
      <c r="C32" s="217"/>
      <c r="D32" s="217"/>
      <c r="E32" s="217"/>
      <c r="F32" s="217"/>
      <c r="G32" s="251"/>
      <c r="H32" s="230"/>
    </row>
    <row r="33" spans="2:8" ht="15.75" customHeight="1">
      <c r="B33" s="231"/>
      <c r="C33" s="379" t="s">
        <v>2047</v>
      </c>
      <c r="D33" s="379"/>
      <c r="E33" s="379"/>
      <c r="F33" s="379"/>
      <c r="G33" s="379"/>
      <c r="H33" s="232"/>
    </row>
    <row r="34" spans="2:8" ht="15.75" customHeight="1">
      <c r="B34" s="231"/>
      <c r="C34" s="210" t="s">
        <v>2014</v>
      </c>
      <c r="D34" s="211" t="s">
        <v>2015</v>
      </c>
      <c r="E34" s="211" t="s">
        <v>2016</v>
      </c>
      <c r="F34" s="211" t="s">
        <v>2017</v>
      </c>
      <c r="G34" s="211" t="s">
        <v>2018</v>
      </c>
      <c r="H34" s="232"/>
    </row>
    <row r="35" spans="2:8" ht="15.75" customHeight="1">
      <c r="B35" s="231"/>
      <c r="C35" s="210" t="s">
        <v>2006</v>
      </c>
      <c r="D35" s="249">
        <f>VLOOKUP(D14,Table72[],6,FALSE)*D13</f>
        <v>624.61651376146801</v>
      </c>
      <c r="E35" s="249">
        <f>VLOOKUP(D14,Table72[],7,FALSE)*D13</f>
        <v>375.19266055045875</v>
      </c>
      <c r="F35" s="249">
        <f>VLOOKUP(D14,Table72[],8,FALSE)*D13</f>
        <v>268.44770642201837</v>
      </c>
      <c r="G35" s="249">
        <f>VLOOKUP(D14,Table72[],9,FALSE)*D13</f>
        <v>214.54678899082569</v>
      </c>
      <c r="H35" s="232"/>
    </row>
    <row r="36" spans="2:8" ht="15.75" customHeight="1">
      <c r="B36" s="231"/>
      <c r="C36" s="210" t="s">
        <v>2007</v>
      </c>
      <c r="D36" s="249">
        <f>VLOOKUP(D14,Table72[],10,FALSE)*D13</f>
        <v>34.041600000000003</v>
      </c>
      <c r="E36" s="249">
        <f>VLOOKUP(D14,Table72[],11,FALSE)*D13</f>
        <v>20.448</v>
      </c>
      <c r="F36" s="249">
        <f>VLOOKUP(D14,Table72[],12,FALSE)*D13</f>
        <v>14.630400000000003</v>
      </c>
      <c r="G36" s="249">
        <f>VLOOKUP(D14,Table72[],13,FALSE)*D13</f>
        <v>11.692799999999998</v>
      </c>
      <c r="H36" s="232"/>
    </row>
    <row r="37" spans="2:8" ht="15.75" customHeight="1" thickBot="1">
      <c r="B37" s="233"/>
      <c r="C37" s="234"/>
      <c r="D37" s="234"/>
      <c r="E37" s="234"/>
      <c r="F37" s="234"/>
      <c r="G37" s="234"/>
      <c r="H37" s="235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Data!$I$2:$I$181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2048</v>
      </c>
      <c r="D1" s="52" t="s">
        <v>2049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33</v>
      </c>
      <c r="C39">
        <f>IFERROR(VLOOKUP(A39,'Site check'!A:Q,3,0),0)</f>
        <v>0</v>
      </c>
      <c r="D39">
        <f t="shared" si="0"/>
        <v>33</v>
      </c>
    </row>
    <row r="40" spans="1:4">
      <c r="A40" t="str">
        <f>All!E49</f>
        <v>BSHN07</v>
      </c>
      <c r="B40">
        <f>All!Y49</f>
        <v>33</v>
      </c>
      <c r="C40">
        <f>IFERROR(VLOOKUP(A40,'Site check'!A:Q,3,0),0)</f>
        <v>0</v>
      </c>
      <c r="D40">
        <f t="shared" si="0"/>
        <v>33</v>
      </c>
    </row>
    <row r="41" spans="1:4">
      <c r="A41" t="str">
        <f>All!E50</f>
        <v>BSHN07</v>
      </c>
      <c r="B41">
        <f>All!Y50</f>
        <v>33</v>
      </c>
      <c r="C41">
        <f>IFERROR(VLOOKUP(A41,'Site check'!A:Q,3,0),0)</f>
        <v>0</v>
      </c>
      <c r="D41">
        <f t="shared" si="0"/>
        <v>33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21</v>
      </c>
      <c r="C160">
        <f>IFERROR(VLOOKUP(A160,'Site check'!A:Q,3,0),0)</f>
        <v>0</v>
      </c>
      <c r="D160">
        <f t="shared" si="2"/>
        <v>21</v>
      </c>
    </row>
    <row r="161" spans="1:4">
      <c r="A161" t="str">
        <f>All!E177</f>
        <v>OHB</v>
      </c>
      <c r="B161">
        <f>All!Y177</f>
        <v>21</v>
      </c>
      <c r="C161">
        <f>IFERROR(VLOOKUP(A161,'Site check'!A:Q,3,0),0)</f>
        <v>0</v>
      </c>
      <c r="D161">
        <f t="shared" si="2"/>
        <v>21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6" t="s">
        <v>271</v>
      </c>
      <c r="B1" s="237" t="s">
        <v>2050</v>
      </c>
      <c r="C1" s="237" t="s">
        <v>2051</v>
      </c>
      <c r="D1" s="238" t="s">
        <v>2052</v>
      </c>
    </row>
    <row r="2" spans="1:4">
      <c r="A2" s="239"/>
      <c r="B2" s="58"/>
      <c r="C2" s="58"/>
      <c r="D2" s="240"/>
    </row>
    <row r="3" spans="1:4">
      <c r="A3" s="239"/>
      <c r="B3" s="58"/>
      <c r="C3" s="58"/>
      <c r="D3" s="240"/>
    </row>
    <row r="4" spans="1:4">
      <c r="A4" s="239"/>
      <c r="B4" s="58"/>
      <c r="C4" s="58"/>
      <c r="D4" s="240"/>
    </row>
    <row r="5" spans="1:4">
      <c r="A5" s="239"/>
      <c r="B5" s="58"/>
      <c r="C5" s="58"/>
      <c r="D5" s="240"/>
    </row>
    <row r="6" spans="1:4">
      <c r="A6" s="239"/>
      <c r="B6" s="58"/>
      <c r="C6" s="58"/>
      <c r="D6" s="240"/>
    </row>
    <row r="7" spans="1:4">
      <c r="A7" s="239"/>
      <c r="B7" s="58"/>
      <c r="C7" s="58"/>
      <c r="D7" s="240"/>
    </row>
    <row r="8" spans="1:4">
      <c r="A8" s="239"/>
      <c r="B8" s="58"/>
      <c r="C8" s="58"/>
      <c r="D8" s="240"/>
    </row>
    <row r="9" spans="1:4">
      <c r="A9" s="239"/>
      <c r="B9" s="58"/>
      <c r="C9" s="58"/>
      <c r="D9" s="240"/>
    </row>
    <row r="10" spans="1:4">
      <c r="A10" s="239"/>
      <c r="B10" s="58"/>
      <c r="C10" s="58"/>
      <c r="D10" s="240"/>
    </row>
    <row r="11" spans="1:4">
      <c r="A11" s="239"/>
      <c r="B11" s="58"/>
      <c r="C11" s="58"/>
      <c r="D11" s="240"/>
    </row>
    <row r="12" spans="1:4">
      <c r="A12" s="239"/>
      <c r="B12" s="58"/>
      <c r="C12" s="58"/>
      <c r="D12" s="240"/>
    </row>
    <row r="13" spans="1:4">
      <c r="A13" s="239"/>
      <c r="B13" s="58"/>
      <c r="C13" s="58"/>
      <c r="D13" s="240"/>
    </row>
    <row r="14" spans="1:4">
      <c r="A14" s="175"/>
      <c r="B14" s="241"/>
      <c r="C14" s="241"/>
      <c r="D14" s="174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D18" workbookViewId="0">
      <selection activeCell="D18" sqref="D18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2053</v>
      </c>
      <c r="D1" s="52" t="s">
        <v>2054</v>
      </c>
      <c r="E1" s="52" t="s">
        <v>2055</v>
      </c>
      <c r="I1" s="52" t="s">
        <v>2056</v>
      </c>
    </row>
    <row r="2" spans="1:9">
      <c r="A2" t="str" cm="1">
        <f t="array" ref="A2:A207">_xlfn.UNIQUE(All!E8:E267)</f>
        <v>ABH</v>
      </c>
      <c r="C2" s="52" t="s">
        <v>813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1199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979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985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960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1450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971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842</v>
      </c>
      <c r="D9" s="52" t="s">
        <v>88</v>
      </c>
      <c r="E9" s="52" t="s">
        <v>89</v>
      </c>
      <c r="I9" t="s">
        <v>33</v>
      </c>
    </row>
    <row r="10" spans="1:9">
      <c r="A10" t="str">
        <v>AYRN01</v>
      </c>
      <c r="C10" s="52" t="s">
        <v>1364</v>
      </c>
      <c r="D10" s="52" t="s">
        <v>90</v>
      </c>
      <c r="E10" s="52" t="s">
        <v>91</v>
      </c>
      <c r="I10" t="s">
        <v>34</v>
      </c>
    </row>
    <row r="11" spans="1:9">
      <c r="A11" t="str">
        <v>AZTCD1</v>
      </c>
      <c r="C11" s="52" t="s">
        <v>998</v>
      </c>
      <c r="D11" s="52" t="s">
        <v>92</v>
      </c>
      <c r="E11" s="52" t="s">
        <v>93</v>
      </c>
      <c r="I11" t="s">
        <v>35</v>
      </c>
    </row>
    <row r="12" spans="1:9">
      <c r="A12" t="str">
        <v>BCT</v>
      </c>
      <c r="C12" s="52" t="s">
        <v>2057</v>
      </c>
      <c r="D12" s="52" t="s">
        <v>96</v>
      </c>
      <c r="E12" s="52" t="s">
        <v>97</v>
      </c>
      <c r="I12" t="s">
        <v>36</v>
      </c>
    </row>
    <row r="13" spans="1:9">
      <c r="A13" t="str">
        <v>BDEN02</v>
      </c>
      <c r="C13" s="52" t="s">
        <v>1244</v>
      </c>
      <c r="D13" t="s">
        <v>118</v>
      </c>
      <c r="E13" s="52" t="s">
        <v>119</v>
      </c>
      <c r="I13" t="s">
        <v>37</v>
      </c>
    </row>
    <row r="14" spans="1:9">
      <c r="A14" t="str">
        <v>BDEN06</v>
      </c>
      <c r="C14" s="52" t="s">
        <v>1250</v>
      </c>
      <c r="D14" s="52" t="s">
        <v>120</v>
      </c>
      <c r="E14" s="52" t="s">
        <v>121</v>
      </c>
      <c r="I14" t="s">
        <v>40</v>
      </c>
    </row>
    <row r="15" spans="1:9">
      <c r="A15" t="str">
        <v>BDFN02</v>
      </c>
      <c r="C15" s="52" t="s">
        <v>1372</v>
      </c>
      <c r="D15" s="52" t="s">
        <v>2058</v>
      </c>
      <c r="E15" s="52" t="s">
        <v>2059</v>
      </c>
      <c r="I15" t="s">
        <v>41</v>
      </c>
    </row>
    <row r="16" spans="1:9">
      <c r="A16" t="str">
        <v>BFDTB1</v>
      </c>
      <c r="C16" s="52" t="s">
        <v>1374</v>
      </c>
      <c r="D16" s="52" t="s">
        <v>130</v>
      </c>
      <c r="E16" s="52" t="s">
        <v>131</v>
      </c>
      <c r="I16" t="s">
        <v>42</v>
      </c>
    </row>
    <row r="17" spans="1:9">
      <c r="A17" t="str">
        <v>BFEC01</v>
      </c>
      <c r="C17" s="52" t="s">
        <v>1433</v>
      </c>
      <c r="D17" s="52" t="s">
        <v>133</v>
      </c>
      <c r="E17" s="52" t="s">
        <v>134</v>
      </c>
      <c r="I17" t="s">
        <v>43</v>
      </c>
    </row>
    <row r="18" spans="1:9">
      <c r="A18" t="str">
        <v>BFTN03</v>
      </c>
      <c r="C18" s="52" t="s">
        <v>1257</v>
      </c>
      <c r="D18" s="52" t="s">
        <v>135</v>
      </c>
      <c r="E18" s="52" t="s">
        <v>136</v>
      </c>
      <c r="I18" t="s">
        <v>50</v>
      </c>
    </row>
    <row r="19" spans="1:9">
      <c r="A19" t="str">
        <v>BHMN07</v>
      </c>
      <c r="C19" s="52" t="s">
        <v>1062</v>
      </c>
      <c r="D19" s="52" t="s">
        <v>157</v>
      </c>
      <c r="E19" s="52" t="s">
        <v>158</v>
      </c>
      <c r="I19" t="s">
        <v>51</v>
      </c>
    </row>
    <row r="20" spans="1:9">
      <c r="A20" t="str">
        <v>BHMN05</v>
      </c>
      <c r="C20" s="52" t="s">
        <v>1070</v>
      </c>
      <c r="D20" s="52" t="s">
        <v>159</v>
      </c>
      <c r="E20" s="52" t="s">
        <v>160</v>
      </c>
      <c r="I20" t="s">
        <v>52</v>
      </c>
    </row>
    <row r="21" spans="1:9">
      <c r="A21" t="str">
        <v>BHMN08</v>
      </c>
      <c r="C21" s="52" t="s">
        <v>1161</v>
      </c>
      <c r="D21" s="52" t="s">
        <v>173</v>
      </c>
      <c r="E21" s="52" t="s">
        <v>174</v>
      </c>
      <c r="I21" t="s">
        <v>53</v>
      </c>
    </row>
    <row r="22" spans="1:9">
      <c r="A22" t="str">
        <v>BHMTF1</v>
      </c>
      <c r="C22" s="52" t="s">
        <v>1169</v>
      </c>
      <c r="D22" s="52" t="s">
        <v>175</v>
      </c>
      <c r="E22" s="52" t="s">
        <v>176</v>
      </c>
      <c r="I22" t="s">
        <v>54</v>
      </c>
    </row>
    <row r="23" spans="1:9">
      <c r="A23" t="str">
        <v>BHWCN1</v>
      </c>
      <c r="C23" s="52" t="s">
        <v>1106</v>
      </c>
      <c r="D23" t="s">
        <v>188</v>
      </c>
      <c r="E23" t="s">
        <v>189</v>
      </c>
      <c r="I23" t="s">
        <v>59</v>
      </c>
    </row>
    <row r="24" spans="1:9">
      <c r="A24" t="str">
        <v>BIFTS1</v>
      </c>
      <c r="C24" s="52" t="s">
        <v>1379</v>
      </c>
      <c r="D24" s="52" t="s">
        <v>194</v>
      </c>
      <c r="E24" s="52" t="s">
        <v>195</v>
      </c>
      <c r="I24" t="s">
        <v>60</v>
      </c>
    </row>
    <row r="25" spans="1:9">
      <c r="A25" t="str">
        <v>BKBN41</v>
      </c>
      <c r="C25" s="52" t="s">
        <v>2060</v>
      </c>
      <c r="D25" s="52" t="s">
        <v>196</v>
      </c>
      <c r="E25" s="52" t="s">
        <v>198</v>
      </c>
      <c r="I25" t="s">
        <v>61</v>
      </c>
    </row>
    <row r="26" spans="1:9">
      <c r="A26" t="str">
        <v>BKLN05</v>
      </c>
      <c r="C26" s="52" t="s">
        <v>2061</v>
      </c>
      <c r="D26" s="52" t="s">
        <v>197</v>
      </c>
      <c r="E26" s="52" t="s">
        <v>199</v>
      </c>
      <c r="I26" t="s">
        <v>2062</v>
      </c>
    </row>
    <row r="27" spans="1:9">
      <c r="A27" t="str">
        <v>BKLN05 Ext</v>
      </c>
      <c r="C27" s="52" t="s">
        <v>1383</v>
      </c>
      <c r="D27" s="52" t="s">
        <v>200</v>
      </c>
      <c r="E27" s="52" t="s">
        <v>201</v>
      </c>
      <c r="I27" t="s">
        <v>62</v>
      </c>
    </row>
    <row r="28" spans="1:9">
      <c r="A28" t="str">
        <v>BMGV03</v>
      </c>
      <c r="C28" s="52" t="s">
        <v>1485</v>
      </c>
      <c r="D28" s="52" t="s">
        <v>203</v>
      </c>
      <c r="E28" s="52" t="s">
        <v>204</v>
      </c>
      <c r="I28" t="s">
        <v>63</v>
      </c>
    </row>
    <row r="29" spans="1:9">
      <c r="A29" t="str">
        <v>BMTDN1</v>
      </c>
      <c r="C29" s="52" t="s">
        <v>1891</v>
      </c>
      <c r="D29" s="52" t="s">
        <v>211</v>
      </c>
      <c r="E29" s="52" t="s">
        <v>212</v>
      </c>
      <c r="I29" t="s">
        <v>64</v>
      </c>
    </row>
    <row r="30" spans="1:9">
      <c r="A30" t="str">
        <v>BPL</v>
      </c>
      <c r="C30" s="52" t="s">
        <v>2063</v>
      </c>
      <c r="D30" s="52" t="s">
        <v>903</v>
      </c>
      <c r="E30" s="52" t="s">
        <v>2064</v>
      </c>
      <c r="I30" t="s">
        <v>65</v>
      </c>
    </row>
    <row r="31" spans="1:9">
      <c r="A31" t="str">
        <v>BRETS1</v>
      </c>
      <c r="C31" s="52" t="s">
        <v>2065</v>
      </c>
      <c r="D31" t="s">
        <v>237</v>
      </c>
      <c r="E31" t="s">
        <v>238</v>
      </c>
      <c r="I31" t="s">
        <v>66</v>
      </c>
    </row>
    <row r="32" spans="1:9">
      <c r="A32" t="str">
        <v>BRRTS1</v>
      </c>
      <c r="C32" s="52" t="s">
        <v>1961</v>
      </c>
      <c r="D32" t="s">
        <v>248</v>
      </c>
      <c r="E32" s="52" t="s">
        <v>249</v>
      </c>
      <c r="I32" t="s">
        <v>67</v>
      </c>
    </row>
    <row r="33" spans="1:9">
      <c r="A33" t="str">
        <v>BSG</v>
      </c>
      <c r="C33" s="52" t="s">
        <v>1422</v>
      </c>
      <c r="D33" s="52" t="s">
        <v>251</v>
      </c>
      <c r="E33" s="52" t="s">
        <v>252</v>
      </c>
      <c r="I33" t="s">
        <v>68</v>
      </c>
    </row>
    <row r="34" spans="1:9">
      <c r="A34" t="str">
        <v>BSHN07</v>
      </c>
      <c r="C34" s="52" t="s">
        <v>942</v>
      </c>
      <c r="D34" s="52" t="s">
        <v>256</v>
      </c>
      <c r="E34" s="52" t="s">
        <v>257</v>
      </c>
      <c r="I34" t="s">
        <v>69</v>
      </c>
    </row>
    <row r="35" spans="1:9">
      <c r="A35" t="str">
        <v>BSHN03</v>
      </c>
      <c r="C35" s="52" t="s">
        <v>930</v>
      </c>
      <c r="D35" s="52" t="s">
        <v>258</v>
      </c>
      <c r="E35" s="52" t="s">
        <v>259</v>
      </c>
      <c r="I35" t="s">
        <v>70</v>
      </c>
    </row>
    <row r="36" spans="1:9">
      <c r="A36" t="str">
        <v>BTFTB1</v>
      </c>
      <c r="C36" s="52"/>
      <c r="I36" t="s">
        <v>71</v>
      </c>
    </row>
    <row r="37" spans="1:9">
      <c r="A37" t="str">
        <v>BTLCD1</v>
      </c>
      <c r="C37" s="52"/>
      <c r="I37" t="s">
        <v>72</v>
      </c>
    </row>
    <row r="38" spans="1:9">
      <c r="A38" t="str">
        <v>BTLN08</v>
      </c>
      <c r="I38" t="s">
        <v>73</v>
      </c>
    </row>
    <row r="39" spans="1:9">
      <c r="A39" t="str">
        <v>BTLN09</v>
      </c>
      <c r="I39" t="s">
        <v>74</v>
      </c>
    </row>
    <row r="40" spans="1:9">
      <c r="A40" t="str">
        <v>BTN</v>
      </c>
      <c r="I40" t="s">
        <v>75</v>
      </c>
    </row>
    <row r="41" spans="1:9">
      <c r="A41" t="str">
        <v>BTNW01</v>
      </c>
      <c r="I41" t="s">
        <v>76</v>
      </c>
    </row>
    <row r="42" spans="1:9">
      <c r="A42" t="str">
        <v>BTRTP1</v>
      </c>
      <c r="I42" t="s">
        <v>77</v>
      </c>
    </row>
    <row r="43" spans="1:9">
      <c r="A43" t="str">
        <v>BYR</v>
      </c>
      <c r="I43" t="s">
        <v>78</v>
      </c>
    </row>
    <row r="44" spans="1:9">
      <c r="A44" t="str">
        <v>CAMN02</v>
      </c>
      <c r="I44" t="s">
        <v>79</v>
      </c>
    </row>
    <row r="45" spans="1:9">
      <c r="A45" t="str">
        <v>CAMN41</v>
      </c>
      <c r="I45" t="s">
        <v>80</v>
      </c>
    </row>
    <row r="46" spans="1:9">
      <c r="A46" t="str">
        <v>CBY</v>
      </c>
      <c r="I46" t="s">
        <v>81</v>
      </c>
    </row>
    <row r="47" spans="1:9">
      <c r="A47" t="str">
        <v>CDFN02</v>
      </c>
      <c r="I47" t="s">
        <v>82</v>
      </c>
    </row>
    <row r="48" spans="1:9">
      <c r="A48" t="str">
        <v>CELL01</v>
      </c>
      <c r="I48" t="s">
        <v>83</v>
      </c>
    </row>
    <row r="49" spans="1:9">
      <c r="A49" t="str">
        <v>CFDTN1</v>
      </c>
      <c r="I49" t="s">
        <v>84</v>
      </c>
    </row>
    <row r="50" spans="1:9">
      <c r="A50" t="str">
        <v>CHDCD1</v>
      </c>
      <c r="I50" t="s">
        <v>85</v>
      </c>
    </row>
    <row r="51" spans="1:9">
      <c r="A51" t="str">
        <v>CHMN21</v>
      </c>
      <c r="I51" t="s">
        <v>86</v>
      </c>
    </row>
    <row r="52" spans="1:9">
      <c r="A52" t="str">
        <v>CHTN07</v>
      </c>
      <c r="I52" t="s">
        <v>87</v>
      </c>
    </row>
    <row r="53" spans="1:9">
      <c r="A53" t="str">
        <v>CHTTN3</v>
      </c>
      <c r="I53" t="s">
        <v>94</v>
      </c>
    </row>
    <row r="54" spans="1:9">
      <c r="A54" t="str">
        <v>CKNN03</v>
      </c>
      <c r="I54" t="s">
        <v>95</v>
      </c>
    </row>
    <row r="55" spans="1:9">
      <c r="A55" t="str">
        <v>COV</v>
      </c>
      <c r="I55" t="s">
        <v>98</v>
      </c>
    </row>
    <row r="56" spans="1:9">
      <c r="A56" t="str">
        <v>COWL02</v>
      </c>
      <c r="I56" t="s">
        <v>99</v>
      </c>
    </row>
    <row r="57" spans="1:9">
      <c r="A57" t="str">
        <v>CSLN13</v>
      </c>
      <c r="I57" t="s">
        <v>100</v>
      </c>
    </row>
    <row r="58" spans="1:9">
      <c r="A58" t="str">
        <v>CTNN01</v>
      </c>
      <c r="I58" t="s">
        <v>101</v>
      </c>
    </row>
    <row r="59" spans="1:9">
      <c r="A59" t="str">
        <v>CTRTK1</v>
      </c>
      <c r="I59" t="s">
        <v>102</v>
      </c>
    </row>
    <row r="60" spans="1:9">
      <c r="A60" t="str">
        <v>CTRTS1</v>
      </c>
      <c r="I60" t="s">
        <v>103</v>
      </c>
    </row>
    <row r="61" spans="1:9">
      <c r="A61" t="str">
        <v>CYNTN2(EXT'N)</v>
      </c>
      <c r="I61" t="s">
        <v>104</v>
      </c>
    </row>
    <row r="62" spans="1:9">
      <c r="A62" t="str">
        <v>DBY</v>
      </c>
      <c r="I62" t="s">
        <v>105</v>
      </c>
    </row>
    <row r="63" spans="1:9">
      <c r="A63" t="str">
        <v>DCT</v>
      </c>
      <c r="I63" t="s">
        <v>106</v>
      </c>
    </row>
    <row r="64" spans="1:9">
      <c r="A64" t="str">
        <v>DFSN01</v>
      </c>
      <c r="I64" t="s">
        <v>107</v>
      </c>
    </row>
    <row r="65" spans="1:9">
      <c r="A65" t="str">
        <v>DFSNC1</v>
      </c>
      <c r="I65" t="s">
        <v>108</v>
      </c>
    </row>
    <row r="66" spans="1:9">
      <c r="A66" t="str">
        <v>DGS</v>
      </c>
      <c r="I66" t="s">
        <v>109</v>
      </c>
    </row>
    <row r="67" spans="1:9">
      <c r="A67" t="str">
        <v>DHMNU1</v>
      </c>
      <c r="I67" t="s">
        <v>110</v>
      </c>
    </row>
    <row r="68" spans="1:9">
      <c r="A68" t="str">
        <v>DKTN08</v>
      </c>
      <c r="I68" t="s">
        <v>111</v>
      </c>
    </row>
    <row r="69" spans="1:9">
      <c r="A69" t="str">
        <v>DLD</v>
      </c>
      <c r="I69" t="s">
        <v>112</v>
      </c>
    </row>
    <row r="70" spans="1:9">
      <c r="A70" t="str">
        <v>DLNTC1</v>
      </c>
      <c r="I70" t="s">
        <v>113</v>
      </c>
    </row>
    <row r="71" spans="1:9">
      <c r="A71" t="str">
        <v>DNDN71</v>
      </c>
      <c r="I71" t="s">
        <v>114</v>
      </c>
    </row>
    <row r="72" spans="1:9">
      <c r="A72" t="str">
        <v>DNDTC1</v>
      </c>
      <c r="I72" t="s">
        <v>115</v>
      </c>
    </row>
    <row r="73" spans="1:9">
      <c r="A73" t="str">
        <v>DNFNP1</v>
      </c>
      <c r="I73" t="s">
        <v>116</v>
      </c>
    </row>
    <row r="74" spans="1:9">
      <c r="A74" t="str">
        <v>DONTN1</v>
      </c>
      <c r="I74" t="s">
        <v>117</v>
      </c>
    </row>
    <row r="75" spans="1:9">
      <c r="A75" t="str">
        <v>DVSTB1</v>
      </c>
      <c r="I75" t="s">
        <v>122</v>
      </c>
    </row>
    <row r="76" spans="1:9">
      <c r="A76" t="str">
        <v>DWLTM1</v>
      </c>
      <c r="I76" t="s">
        <v>123</v>
      </c>
    </row>
    <row r="77" spans="1:9">
      <c r="A77" t="str">
        <v>EBCTC1</v>
      </c>
      <c r="I77" t="s">
        <v>124</v>
      </c>
    </row>
    <row r="78" spans="1:9">
      <c r="A78" t="str">
        <v>EDBN07</v>
      </c>
      <c r="I78" t="s">
        <v>127</v>
      </c>
    </row>
    <row r="79" spans="1:9">
      <c r="A79" t="str">
        <v>EDBTG1</v>
      </c>
      <c r="I79" t="s">
        <v>128</v>
      </c>
    </row>
    <row r="80" spans="1:9">
      <c r="A80" t="str">
        <v>EDBTN1</v>
      </c>
      <c r="I80" t="s">
        <v>129</v>
      </c>
    </row>
    <row r="81" spans="1:9">
      <c r="A81" t="str">
        <v>EGNTM1</v>
      </c>
      <c r="I81" t="s">
        <v>132</v>
      </c>
    </row>
    <row r="82" spans="1:9">
      <c r="A82" t="str">
        <v>EVMN01</v>
      </c>
      <c r="I82" t="s">
        <v>137</v>
      </c>
    </row>
    <row r="83" spans="1:9">
      <c r="A83" t="str">
        <v>EXR</v>
      </c>
      <c r="I83" t="s">
        <v>138</v>
      </c>
    </row>
    <row r="84" spans="1:9">
      <c r="A84" t="str">
        <v>FKE</v>
      </c>
      <c r="I84" t="s">
        <v>139</v>
      </c>
    </row>
    <row r="85" spans="1:9">
      <c r="A85" t="str">
        <v>FLNTT1</v>
      </c>
      <c r="I85" t="s">
        <v>140</v>
      </c>
    </row>
    <row r="86" spans="1:9">
      <c r="A86" t="str">
        <v>FMYN31</v>
      </c>
      <c r="I86" t="s">
        <v>141</v>
      </c>
    </row>
    <row r="87" spans="1:9">
      <c r="A87" t="str">
        <v>FRNN03</v>
      </c>
      <c r="I87" t="s">
        <v>142</v>
      </c>
    </row>
    <row r="88" spans="1:9">
      <c r="A88" t="str">
        <v>GCRTB1</v>
      </c>
      <c r="I88" t="s">
        <v>143</v>
      </c>
    </row>
    <row r="89" spans="1:9">
      <c r="A89" t="str">
        <v>GFDCD1</v>
      </c>
      <c r="I89" t="s">
        <v>144</v>
      </c>
    </row>
    <row r="90" spans="1:9">
      <c r="A90" t="str">
        <v>GLWN07</v>
      </c>
      <c r="I90" t="s">
        <v>145</v>
      </c>
    </row>
    <row r="91" spans="1:9">
      <c r="A91" t="str">
        <v>GLWTO1</v>
      </c>
      <c r="I91" t="s">
        <v>146</v>
      </c>
    </row>
    <row r="92" spans="1:9">
      <c r="A92" t="str">
        <v>GLWTW1</v>
      </c>
      <c r="I92" t="s">
        <v>147</v>
      </c>
    </row>
    <row r="93" spans="1:9">
      <c r="A93" t="str">
        <v>GRSTB1</v>
      </c>
      <c r="I93" t="s">
        <v>148</v>
      </c>
    </row>
    <row r="94" spans="1:9">
      <c r="A94" t="str">
        <v>GWK</v>
      </c>
      <c r="I94" t="s">
        <v>149</v>
      </c>
    </row>
    <row r="95" spans="1:9">
      <c r="A95" t="str">
        <v>HHD</v>
      </c>
      <c r="I95" t="s">
        <v>150</v>
      </c>
    </row>
    <row r="96" spans="1:9">
      <c r="A96" t="str">
        <v>HLDA11</v>
      </c>
      <c r="I96" t="s">
        <v>151</v>
      </c>
    </row>
    <row r="97" spans="1:9">
      <c r="A97" t="str">
        <v>HLDA12</v>
      </c>
      <c r="I97" t="s">
        <v>152</v>
      </c>
    </row>
    <row r="98" spans="1:9">
      <c r="A98" t="str">
        <v>HLWN02</v>
      </c>
      <c r="I98" t="s">
        <v>153</v>
      </c>
    </row>
    <row r="99" spans="1:9">
      <c r="A99" t="str">
        <v>HRWN02</v>
      </c>
      <c r="I99" t="s">
        <v>154</v>
      </c>
    </row>
    <row r="100" spans="1:9">
      <c r="A100" t="str">
        <v>HTE</v>
      </c>
      <c r="I100" t="s">
        <v>155</v>
      </c>
    </row>
    <row r="101" spans="1:9">
      <c r="A101" t="str">
        <v>IGNN01</v>
      </c>
      <c r="I101" t="s">
        <v>156</v>
      </c>
    </row>
    <row r="102" spans="1:9">
      <c r="A102" t="str">
        <v>INVN41</v>
      </c>
      <c r="I102" t="s">
        <v>161</v>
      </c>
    </row>
    <row r="103" spans="1:9">
      <c r="A103" t="str">
        <v>INVTL1</v>
      </c>
      <c r="I103" t="s">
        <v>162</v>
      </c>
    </row>
    <row r="104" spans="1:9">
      <c r="A104" t="str">
        <v>IODN01</v>
      </c>
      <c r="I104" t="s">
        <v>163</v>
      </c>
    </row>
    <row r="105" spans="1:9">
      <c r="A105" t="str">
        <v>IODTA1</v>
      </c>
      <c r="I105" t="s">
        <v>164</v>
      </c>
    </row>
    <row r="106" spans="1:9">
      <c r="A106" t="str">
        <v>IPWTN1</v>
      </c>
      <c r="I106" t="s">
        <v>165</v>
      </c>
    </row>
    <row r="107" spans="1:9">
      <c r="A107" t="str">
        <v>IVER02</v>
      </c>
      <c r="I107" t="s">
        <v>166</v>
      </c>
    </row>
    <row r="108" spans="1:9">
      <c r="A108" t="str">
        <v>KLNN01</v>
      </c>
      <c r="I108" t="s">
        <v>167</v>
      </c>
    </row>
    <row r="109" spans="1:9">
      <c r="A109" t="str">
        <v>KNLTS1</v>
      </c>
      <c r="I109" t="s">
        <v>168</v>
      </c>
    </row>
    <row r="110" spans="1:9">
      <c r="A110" t="str">
        <v>LCT</v>
      </c>
      <c r="I110" t="s">
        <v>169</v>
      </c>
    </row>
    <row r="111" spans="1:9">
      <c r="A111" t="str">
        <v>LDMS13</v>
      </c>
      <c r="I111" t="s">
        <v>170</v>
      </c>
    </row>
    <row r="112" spans="1:9">
      <c r="A112" t="str">
        <v>LDSCD2</v>
      </c>
      <c r="I112" t="s">
        <v>171</v>
      </c>
    </row>
    <row r="113" spans="1:9">
      <c r="A113" t="str">
        <v>LDSN14</v>
      </c>
      <c r="I113" t="s">
        <v>2066</v>
      </c>
    </row>
    <row r="114" spans="1:9">
      <c r="A114" t="str">
        <v>LDSTS1</v>
      </c>
      <c r="I114" t="s">
        <v>177</v>
      </c>
    </row>
    <row r="115" spans="1:9">
      <c r="A115" t="str">
        <v>LIVN01</v>
      </c>
      <c r="I115" t="s">
        <v>178</v>
      </c>
    </row>
    <row r="116" spans="1:9">
      <c r="A116" t="str">
        <v>LLDTE1</v>
      </c>
      <c r="I116" t="s">
        <v>179</v>
      </c>
    </row>
    <row r="117" spans="1:9">
      <c r="A117" t="str">
        <v>LMSCN2</v>
      </c>
      <c r="I117" t="s">
        <v>180</v>
      </c>
    </row>
    <row r="118" spans="1:9">
      <c r="A118" t="str">
        <v>LPLTB1</v>
      </c>
      <c r="I118" t="s">
        <v>181</v>
      </c>
    </row>
    <row r="119" spans="1:9">
      <c r="A119" t="str">
        <v>LPLTK1</v>
      </c>
      <c r="I119" t="s">
        <v>182</v>
      </c>
    </row>
    <row r="120" spans="1:9">
      <c r="A120" t="str">
        <v>LSWN01</v>
      </c>
      <c r="I120" t="s">
        <v>183</v>
      </c>
    </row>
    <row r="121" spans="1:9">
      <c r="A121" t="str">
        <v>LTNDN1</v>
      </c>
      <c r="I121" t="s">
        <v>184</v>
      </c>
    </row>
    <row r="122" spans="1:9">
      <c r="A122" t="str">
        <v>MCRCD2</v>
      </c>
      <c r="I122" t="s">
        <v>185</v>
      </c>
    </row>
    <row r="123" spans="1:9">
      <c r="A123" t="str">
        <v>MCRN11</v>
      </c>
      <c r="I123" t="s">
        <v>186</v>
      </c>
    </row>
    <row r="124" spans="1:9">
      <c r="A124" t="str">
        <v>MCRN12</v>
      </c>
      <c r="I124" t="s">
        <v>187</v>
      </c>
    </row>
    <row r="125" spans="1:9">
      <c r="A125" t="str">
        <v>MDBTD1</v>
      </c>
      <c r="I125" t="s">
        <v>190</v>
      </c>
    </row>
    <row r="126" spans="1:9">
      <c r="A126" t="str">
        <v>MDE</v>
      </c>
      <c r="I126" t="s">
        <v>191</v>
      </c>
    </row>
    <row r="127" spans="1:9">
      <c r="A127" t="str">
        <v>MDFTB1</v>
      </c>
      <c r="I127" t="s">
        <v>192</v>
      </c>
    </row>
    <row r="128" spans="1:9">
      <c r="A128" t="str">
        <v>MKSTN1</v>
      </c>
      <c r="I128" t="s">
        <v>193</v>
      </c>
    </row>
    <row r="129" spans="1:9">
      <c r="A129" t="str">
        <v>NBYCD1</v>
      </c>
      <c r="I129" t="s">
        <v>202</v>
      </c>
    </row>
    <row r="130" spans="1:9">
      <c r="A130" t="str">
        <v>NECCD1</v>
      </c>
      <c r="I130" t="s">
        <v>205</v>
      </c>
    </row>
    <row r="131" spans="1:9">
      <c r="A131" t="str">
        <v>NGM</v>
      </c>
      <c r="I131" t="s">
        <v>206</v>
      </c>
    </row>
    <row r="132" spans="1:9">
      <c r="A132" t="str">
        <v>NGMTL1</v>
      </c>
      <c r="I132" t="s">
        <v>207</v>
      </c>
    </row>
    <row r="133" spans="1:9">
      <c r="A133" t="str">
        <v>NRWN51</v>
      </c>
      <c r="I133" t="s">
        <v>208</v>
      </c>
    </row>
    <row r="134" spans="1:9">
      <c r="A134" t="str">
        <v>NRWTN1</v>
      </c>
      <c r="I134" t="s">
        <v>209</v>
      </c>
    </row>
    <row r="135" spans="1:9">
      <c r="A135" t="str">
        <v>NULTB1</v>
      </c>
      <c r="I135" t="s">
        <v>210</v>
      </c>
    </row>
    <row r="136" spans="1:9">
      <c r="A136" t="str">
        <v>NWCN05</v>
      </c>
      <c r="I136" t="s">
        <v>213</v>
      </c>
    </row>
    <row r="137" spans="1:9">
      <c r="A137" t="str">
        <v>NWCNY1</v>
      </c>
      <c r="I137" t="s">
        <v>214</v>
      </c>
    </row>
    <row r="138" spans="1:9">
      <c r="A138" t="str">
        <v>NWPDN1</v>
      </c>
      <c r="I138" t="s">
        <v>215</v>
      </c>
    </row>
    <row r="139" spans="1:9">
      <c r="A139" t="str">
        <v>OHB</v>
      </c>
      <c r="I139" t="s">
        <v>216</v>
      </c>
    </row>
    <row r="140" spans="1:9">
      <c r="A140" t="str">
        <v>OKNN01</v>
      </c>
      <c r="I140" t="s">
        <v>217</v>
      </c>
    </row>
    <row r="141" spans="1:9">
      <c r="A141" t="str">
        <v>PCOTN1</v>
      </c>
      <c r="I141" t="s">
        <v>218</v>
      </c>
    </row>
    <row r="142" spans="1:9">
      <c r="A142" t="str">
        <v>PLY</v>
      </c>
      <c r="I142" t="s">
        <v>219</v>
      </c>
    </row>
    <row r="143" spans="1:9">
      <c r="A143" t="str">
        <v>PNRTN1</v>
      </c>
      <c r="I143" t="s">
        <v>220</v>
      </c>
    </row>
    <row r="144" spans="1:9">
      <c r="A144" t="str">
        <v>POLN02</v>
      </c>
      <c r="I144" t="s">
        <v>221</v>
      </c>
    </row>
    <row r="145" spans="1:9">
      <c r="A145" t="str">
        <v>PRDTB1</v>
      </c>
      <c r="I145" t="s">
        <v>222</v>
      </c>
    </row>
    <row r="146" spans="1:9">
      <c r="A146" t="str">
        <v>PRLN02</v>
      </c>
      <c r="I146" t="s">
        <v>223</v>
      </c>
    </row>
    <row r="147" spans="1:9">
      <c r="A147" t="str">
        <v>PTBTN1</v>
      </c>
      <c r="I147" t="s">
        <v>224</v>
      </c>
    </row>
    <row r="148" spans="1:9">
      <c r="A148" t="str">
        <v>PTHTL1</v>
      </c>
      <c r="I148" t="s">
        <v>225</v>
      </c>
    </row>
    <row r="149" spans="1:9">
      <c r="A149" t="str">
        <v>PTMDN1</v>
      </c>
      <c r="I149" t="s">
        <v>226</v>
      </c>
    </row>
    <row r="150" spans="1:9">
      <c r="A150" t="str">
        <v>PTMN03</v>
      </c>
      <c r="I150" t="s">
        <v>227</v>
      </c>
    </row>
    <row r="151" spans="1:9">
      <c r="A151" t="str">
        <v>RATE02</v>
      </c>
      <c r="I151" t="s">
        <v>228</v>
      </c>
    </row>
    <row r="152" spans="1:9">
      <c r="A152" t="str">
        <v>RCR</v>
      </c>
      <c r="I152" t="s">
        <v>229</v>
      </c>
    </row>
    <row r="153" spans="1:9">
      <c r="A153" t="str">
        <v>RDGCD2</v>
      </c>
      <c r="I153" t="s">
        <v>230</v>
      </c>
    </row>
    <row r="154" spans="1:9">
      <c r="A154" t="str">
        <v>RDG</v>
      </c>
      <c r="I154" t="s">
        <v>231</v>
      </c>
    </row>
    <row r="155" spans="1:9">
      <c r="A155" t="str">
        <v>RFDN11</v>
      </c>
      <c r="I155" t="s">
        <v>232</v>
      </c>
    </row>
    <row r="156" spans="1:9">
      <c r="A156" t="str">
        <v>SBHN01</v>
      </c>
      <c r="I156" t="s">
        <v>233</v>
      </c>
    </row>
    <row r="157" spans="1:9">
      <c r="A157" t="str">
        <v>SDN</v>
      </c>
      <c r="I157" t="s">
        <v>234</v>
      </c>
    </row>
    <row r="158" spans="1:9">
      <c r="A158" t="str">
        <v>SDNN06</v>
      </c>
      <c r="I158" t="s">
        <v>239</v>
      </c>
    </row>
    <row r="159" spans="1:9">
      <c r="A159" t="str">
        <v>SDNN13</v>
      </c>
      <c r="I159" t="s">
        <v>240</v>
      </c>
    </row>
    <row r="160" spans="1:9">
      <c r="A160" t="str">
        <v>SHD</v>
      </c>
      <c r="I160" t="s">
        <v>241</v>
      </c>
    </row>
    <row r="161" spans="1:9">
      <c r="A161" t="str">
        <v>SHDTR1</v>
      </c>
      <c r="I161" t="s">
        <v>242</v>
      </c>
    </row>
    <row r="162" spans="1:9">
      <c r="A162" t="str">
        <v>SHTN03</v>
      </c>
      <c r="I162" t="s">
        <v>243</v>
      </c>
    </row>
    <row r="163" spans="1:9">
      <c r="A163" t="str">
        <v>SLO</v>
      </c>
      <c r="I163" t="s">
        <v>244</v>
      </c>
    </row>
    <row r="164" spans="1:9">
      <c r="A164" t="str">
        <v>SMHN02</v>
      </c>
      <c r="I164" t="s">
        <v>245</v>
      </c>
    </row>
    <row r="165" spans="1:9">
      <c r="A165" t="str">
        <v>SNDTM1</v>
      </c>
      <c r="I165" t="s">
        <v>246</v>
      </c>
    </row>
    <row r="166" spans="1:9">
      <c r="A166" t="str">
        <v>SOLN02</v>
      </c>
      <c r="I166" t="s">
        <v>247</v>
      </c>
    </row>
    <row r="167" spans="1:9">
      <c r="A167" t="str">
        <v>SOSTN1</v>
      </c>
      <c r="I167" t="s">
        <v>250</v>
      </c>
    </row>
    <row r="168" spans="1:9">
      <c r="A168" t="str">
        <v>SOT</v>
      </c>
      <c r="I168" t="s">
        <v>253</v>
      </c>
    </row>
    <row r="169" spans="1:9">
      <c r="A169" t="str">
        <v>SQYN01</v>
      </c>
      <c r="I169" t="s">
        <v>254</v>
      </c>
    </row>
    <row r="170" spans="1:9">
      <c r="A170" t="str">
        <v>SQYN02</v>
      </c>
      <c r="I170" t="s">
        <v>255</v>
      </c>
    </row>
    <row r="171" spans="1:9">
      <c r="A171" t="str">
        <v>STEDN1</v>
      </c>
      <c r="I171" t="s">
        <v>260</v>
      </c>
    </row>
    <row r="172" spans="1:9">
      <c r="A172" t="str">
        <v>STGCD1</v>
      </c>
      <c r="I172" t="s">
        <v>261</v>
      </c>
    </row>
    <row r="173" spans="1:9">
      <c r="A173" t="str">
        <v>SWNN03</v>
      </c>
      <c r="I173" t="s">
        <v>262</v>
      </c>
    </row>
    <row r="174" spans="1:9">
      <c r="A174" t="str">
        <v>SWY</v>
      </c>
      <c r="I174" t="s">
        <v>263</v>
      </c>
    </row>
    <row r="175" spans="1:9">
      <c r="A175" t="str">
        <v>TELHS1</v>
      </c>
      <c r="I175" t="s">
        <v>264</v>
      </c>
    </row>
    <row r="176" spans="1:9">
      <c r="A176" t="str">
        <v>TELHS2</v>
      </c>
      <c r="I176" t="s">
        <v>265</v>
      </c>
    </row>
    <row r="177" spans="1:9">
      <c r="A177" t="str">
        <v>TGYN04</v>
      </c>
      <c r="I177" t="s">
        <v>266</v>
      </c>
    </row>
    <row r="178" spans="1:9">
      <c r="A178" t="str">
        <v>THOTC1</v>
      </c>
      <c r="I178" t="s">
        <v>267</v>
      </c>
    </row>
    <row r="179" spans="1:9">
      <c r="A179" t="str">
        <v>TNTTN1</v>
      </c>
      <c r="I179" t="s">
        <v>268</v>
      </c>
    </row>
    <row r="180" spans="1:9">
      <c r="A180" t="str">
        <v>TRON01</v>
      </c>
      <c r="I180" t="s">
        <v>269</v>
      </c>
    </row>
    <row r="181" spans="1:9">
      <c r="A181" t="str">
        <v>VHXN02</v>
      </c>
      <c r="I181" t="s">
        <v>270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gvGmzNjgHsIO/MjtWnfqDO24be5Y3jE53MQ3RtVsHAZLNctbJvpR7Qy4YzA7j+n+z7xa8kpM+6Y90BBcaCJL/g==" saltValue="ipeknDi8x/qIW3XAFdwZVw==" spinCount="100000" sheet="1" objects="1" scenarios="1"/>
  <autoFilter ref="A1:A208" xr:uid="{00000000-0009-0000-0000-000009000000}"/>
  <conditionalFormatting sqref="I96">
    <cfRule type="duplicateValues" dxfId="50" priority="2"/>
  </conditionalFormatting>
  <conditionalFormatting sqref="I137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1" bestFit="1" customWidth="1"/>
    <col min="2" max="2" width="17.5703125" style="141" customWidth="1"/>
    <col min="3" max="3" width="14" style="141" customWidth="1"/>
    <col min="4" max="16384" width="8.7109375" style="141"/>
  </cols>
  <sheetData>
    <row r="1" spans="1:3" ht="14.45">
      <c r="A1" s="138" t="s">
        <v>2067</v>
      </c>
      <c r="B1" s="139" t="s">
        <v>2068</v>
      </c>
      <c r="C1" s="140" t="s">
        <v>2069</v>
      </c>
    </row>
    <row r="2" spans="1:3">
      <c r="A2" s="142" t="s">
        <v>1892</v>
      </c>
      <c r="B2" s="143">
        <v>50</v>
      </c>
      <c r="C2" s="143">
        <f>Table83[[#This Row],[Output (Amps)]]*0.8</f>
        <v>40</v>
      </c>
    </row>
    <row r="3" spans="1:3">
      <c r="A3" s="142" t="s">
        <v>2070</v>
      </c>
      <c r="B3" s="143">
        <v>31.3</v>
      </c>
      <c r="C3" s="143">
        <f>Table83[[#This Row],[Output (Amps)]]*0.8</f>
        <v>25.040000000000003</v>
      </c>
    </row>
    <row r="4" spans="1:3">
      <c r="A4" s="142" t="s">
        <v>2071</v>
      </c>
      <c r="B4" s="143">
        <v>43.8</v>
      </c>
      <c r="C4" s="143">
        <f>Table83[[#This Row],[Output (Amps)]]*0.8</f>
        <v>35.04</v>
      </c>
    </row>
    <row r="5" spans="1:3">
      <c r="A5" s="142" t="s">
        <v>1923</v>
      </c>
      <c r="B5" s="143">
        <v>50</v>
      </c>
      <c r="C5" s="143">
        <f>Table83[[#This Row],[Output (Amps)]]*0.8</f>
        <v>40</v>
      </c>
    </row>
    <row r="6" spans="1:3">
      <c r="A6" s="142" t="s">
        <v>1597</v>
      </c>
      <c r="B6" s="143">
        <v>75</v>
      </c>
      <c r="C6" s="143">
        <f>Table83[[#This Row],[Output (Amps)]]*0.8</f>
        <v>60</v>
      </c>
    </row>
    <row r="7" spans="1:3">
      <c r="A7" s="142" t="s">
        <v>1819</v>
      </c>
      <c r="B7" s="143">
        <v>30</v>
      </c>
      <c r="C7" s="143">
        <f>Table83[[#This Row],[Output (Amps)]]*0.8</f>
        <v>24</v>
      </c>
    </row>
    <row r="8" spans="1:3">
      <c r="A8" s="142" t="s">
        <v>2072</v>
      </c>
      <c r="B8" s="143">
        <v>37.5</v>
      </c>
      <c r="C8" s="143">
        <f>Table83[[#This Row],[Output (Amps)]]*0.8</f>
        <v>30</v>
      </c>
    </row>
    <row r="9" spans="1:3">
      <c r="A9" s="142" t="s">
        <v>1587</v>
      </c>
      <c r="B9" s="143">
        <v>36.6</v>
      </c>
      <c r="C9" s="143">
        <f>Table83[[#This Row],[Output (Amps)]]*0.8</f>
        <v>29.28</v>
      </c>
    </row>
    <row r="10" spans="1:3">
      <c r="A10" s="142" t="s">
        <v>1641</v>
      </c>
      <c r="B10" s="143">
        <v>55</v>
      </c>
      <c r="C10" s="143">
        <f>Table83[[#This Row],[Output (Amps)]]*0.8</f>
        <v>44</v>
      </c>
    </row>
    <row r="11" spans="1:3">
      <c r="A11" s="142" t="s">
        <v>2073</v>
      </c>
      <c r="B11" s="143">
        <v>60</v>
      </c>
      <c r="C11" s="143">
        <f>Table83[[#This Row],[Output (Amps)]]*0.8</f>
        <v>48</v>
      </c>
    </row>
    <row r="12" spans="1:3">
      <c r="A12" s="142" t="s">
        <v>2074</v>
      </c>
      <c r="B12" s="143">
        <v>29.1</v>
      </c>
      <c r="C12" s="143">
        <f>Table83[[#This Row],[Output (Amps)]]*0.8</f>
        <v>23.28</v>
      </c>
    </row>
    <row r="13" spans="1:3">
      <c r="A13" s="142" t="s">
        <v>2075</v>
      </c>
      <c r="B13" s="143">
        <v>37.5</v>
      </c>
      <c r="C13" s="143">
        <f>Table83[[#This Row],[Output (Amps)]]*0.8</f>
        <v>30</v>
      </c>
    </row>
    <row r="14" spans="1:3">
      <c r="A14" s="142" t="s">
        <v>1615</v>
      </c>
      <c r="B14" s="143">
        <v>22</v>
      </c>
      <c r="C14" s="143">
        <f>Table83[[#This Row],[Output (Amps)]]*0.8</f>
        <v>17.600000000000001</v>
      </c>
    </row>
    <row r="15" spans="1:3">
      <c r="A15" s="142" t="s">
        <v>1630</v>
      </c>
      <c r="B15" s="143">
        <v>23</v>
      </c>
      <c r="C15" s="143">
        <f>Table83[[#This Row],[Output (Amps)]]*0.8</f>
        <v>18.400000000000002</v>
      </c>
    </row>
    <row r="16" spans="1:3">
      <c r="A16" s="142" t="s">
        <v>2076</v>
      </c>
      <c r="B16" s="143">
        <v>28</v>
      </c>
      <c r="C16" s="143">
        <f>Table83[[#This Row],[Output (Amps)]]*0.8</f>
        <v>22.400000000000002</v>
      </c>
    </row>
    <row r="17" spans="1:3">
      <c r="A17" s="142" t="s">
        <v>2077</v>
      </c>
      <c r="B17" s="143">
        <v>32</v>
      </c>
      <c r="C17" s="143">
        <f>Table83[[#This Row],[Output (Amps)]]*0.8</f>
        <v>25.6</v>
      </c>
    </row>
    <row r="18" spans="1:3">
      <c r="A18" s="142" t="s">
        <v>1851</v>
      </c>
      <c r="B18" s="143">
        <v>45</v>
      </c>
      <c r="C18" s="143">
        <f>Table83[[#This Row],[Output (Amps)]]*0.8</f>
        <v>36</v>
      </c>
    </row>
    <row r="19" spans="1:3">
      <c r="A19" s="142" t="s">
        <v>1656</v>
      </c>
      <c r="B19" s="143">
        <v>50</v>
      </c>
      <c r="C19" s="143">
        <f>Table83[[#This Row],[Output (Amps)]]*0.8</f>
        <v>40</v>
      </c>
    </row>
    <row r="20" spans="1:3">
      <c r="A20" s="142" t="s">
        <v>2078</v>
      </c>
      <c r="B20" s="143">
        <v>25</v>
      </c>
      <c r="C20" s="143">
        <f>Table83[[#This Row],[Output (Amps)]]*0.8</f>
        <v>20</v>
      </c>
    </row>
    <row r="21" spans="1:3">
      <c r="A21" s="142" t="s">
        <v>2079</v>
      </c>
      <c r="B21" s="143">
        <v>50</v>
      </c>
      <c r="C21" s="143">
        <f>Table83[[#This Row],[Output (Amps)]]*0.8</f>
        <v>40</v>
      </c>
    </row>
    <row r="22" spans="1:3">
      <c r="A22" s="144" t="s">
        <v>2080</v>
      </c>
      <c r="B22" s="143">
        <v>225</v>
      </c>
      <c r="C22" s="143">
        <f>Table83[[#This Row],[Output (Amps)]]*0.8</f>
        <v>180</v>
      </c>
    </row>
    <row r="23" spans="1:3">
      <c r="A23" s="144" t="s">
        <v>2081</v>
      </c>
      <c r="B23" s="143">
        <v>100</v>
      </c>
      <c r="C23" s="143">
        <f>Table83[[#This Row],[Output (Amps)]]*0.8</f>
        <v>80</v>
      </c>
    </row>
    <row r="24" spans="1:3">
      <c r="A24" s="144" t="s">
        <v>1684</v>
      </c>
      <c r="B24" s="274">
        <v>55</v>
      </c>
      <c r="C24" s="274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A8" sqref="A8:XFD8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3" customWidth="1"/>
    <col min="2" max="5" width="9.28515625" style="146" customWidth="1"/>
    <col min="6" max="6" width="9.5703125" style="146" customWidth="1"/>
    <col min="7" max="9" width="9.7109375" style="146" customWidth="1"/>
    <col min="10" max="10" width="9.28515625" style="146" customWidth="1"/>
    <col min="11" max="13" width="9.7109375" style="146" customWidth="1"/>
    <col min="14" max="15" width="13.7109375" style="146" customWidth="1"/>
    <col min="16" max="16" width="9.28515625" style="146" customWidth="1"/>
    <col min="17" max="16384" width="9.28515625" style="146"/>
  </cols>
  <sheetData>
    <row r="1" spans="1:16">
      <c r="A1" s="145">
        <v>1</v>
      </c>
      <c r="B1" s="145">
        <v>2</v>
      </c>
      <c r="C1" s="145">
        <v>3</v>
      </c>
      <c r="D1" s="145">
        <v>4</v>
      </c>
      <c r="E1" s="145">
        <v>5</v>
      </c>
      <c r="F1" s="145">
        <v>6</v>
      </c>
      <c r="G1" s="145">
        <v>7</v>
      </c>
      <c r="H1" s="145">
        <v>8</v>
      </c>
      <c r="I1" s="145">
        <v>9</v>
      </c>
      <c r="J1" s="145">
        <v>10</v>
      </c>
      <c r="K1" s="145">
        <v>11</v>
      </c>
      <c r="L1" s="145">
        <v>12</v>
      </c>
      <c r="M1" s="145">
        <v>13</v>
      </c>
      <c r="N1" s="145">
        <v>14</v>
      </c>
      <c r="O1" s="145">
        <v>15</v>
      </c>
      <c r="P1" s="145">
        <v>16</v>
      </c>
    </row>
    <row r="2" spans="1:16" ht="15.6">
      <c r="A2" s="147" t="s">
        <v>2082</v>
      </c>
      <c r="B2" s="385" t="s">
        <v>2083</v>
      </c>
      <c r="C2" s="386"/>
      <c r="D2" s="386"/>
      <c r="E2" s="387"/>
      <c r="F2" s="388" t="s">
        <v>2084</v>
      </c>
      <c r="G2" s="389"/>
      <c r="H2" s="389"/>
      <c r="I2" s="390"/>
      <c r="J2" s="391" t="s">
        <v>2085</v>
      </c>
      <c r="K2" s="392"/>
      <c r="L2" s="392"/>
      <c r="M2" s="393"/>
      <c r="N2" s="148"/>
      <c r="O2" s="148"/>
    </row>
    <row r="3" spans="1:16" s="155" customFormat="1" ht="15.6">
      <c r="A3" s="149" t="s">
        <v>2086</v>
      </c>
      <c r="B3" s="150" t="s">
        <v>2015</v>
      </c>
      <c r="C3" s="150" t="s">
        <v>2016</v>
      </c>
      <c r="D3" s="150" t="s">
        <v>2017</v>
      </c>
      <c r="E3" s="150" t="s">
        <v>2018</v>
      </c>
      <c r="F3" s="151" t="s">
        <v>2087</v>
      </c>
      <c r="G3" s="151" t="s">
        <v>2088</v>
      </c>
      <c r="H3" s="151" t="s">
        <v>2089</v>
      </c>
      <c r="I3" s="151" t="s">
        <v>2090</v>
      </c>
      <c r="J3" s="152" t="s">
        <v>2091</v>
      </c>
      <c r="K3" s="152" t="s">
        <v>2092</v>
      </c>
      <c r="L3" s="152" t="s">
        <v>2093</v>
      </c>
      <c r="M3" s="152" t="s">
        <v>2094</v>
      </c>
      <c r="N3" s="153" t="s">
        <v>2095</v>
      </c>
      <c r="O3" s="153" t="s">
        <v>2096</v>
      </c>
      <c r="P3" s="154" t="s">
        <v>2097</v>
      </c>
    </row>
    <row r="4" spans="1:16">
      <c r="A4" s="156" t="s">
        <v>2098</v>
      </c>
      <c r="B4" s="157">
        <v>208</v>
      </c>
      <c r="C4" s="157">
        <v>134</v>
      </c>
      <c r="D4" s="157">
        <v>100</v>
      </c>
      <c r="E4" s="157">
        <v>82</v>
      </c>
      <c r="F4" s="158">
        <f t="shared" ref="F4:F35" si="0">((B4*24)/54.5)*0.9</f>
        <v>82.436697247706434</v>
      </c>
      <c r="G4" s="158">
        <f t="shared" ref="G4:I19" si="1">((C4*24)/54.5)*0.9</f>
        <v>53.108256880733947</v>
      </c>
      <c r="H4" s="158">
        <f t="shared" si="1"/>
        <v>39.633027522935777</v>
      </c>
      <c r="I4" s="158">
        <f t="shared" si="1"/>
        <v>32.499082568807339</v>
      </c>
      <c r="J4" s="158">
        <f>(F4*54.5)/1000</f>
        <v>4.4928000000000008</v>
      </c>
      <c r="K4" s="158">
        <f t="shared" ref="K4:M19" si="2">(G4*54.5)/1000</f>
        <v>2.8944000000000001</v>
      </c>
      <c r="L4" s="158">
        <f t="shared" si="2"/>
        <v>2.16</v>
      </c>
      <c r="M4" s="158">
        <f t="shared" si="2"/>
        <v>1.7712000000000001</v>
      </c>
      <c r="N4" s="159">
        <v>200</v>
      </c>
      <c r="O4" s="159">
        <f>Table7[[#This Row],[Ah Rating]]/10</f>
        <v>20</v>
      </c>
      <c r="P4" s="160">
        <v>25</v>
      </c>
    </row>
    <row r="5" spans="1:16">
      <c r="A5" s="156" t="s">
        <v>1657</v>
      </c>
      <c r="B5" s="157">
        <v>312</v>
      </c>
      <c r="C5" s="157">
        <v>201</v>
      </c>
      <c r="D5" s="157">
        <v>151</v>
      </c>
      <c r="E5" s="157">
        <v>123</v>
      </c>
      <c r="F5" s="158">
        <f t="shared" si="0"/>
        <v>123.65504587155964</v>
      </c>
      <c r="G5" s="158">
        <f t="shared" si="1"/>
        <v>79.662385321100913</v>
      </c>
      <c r="H5" s="158">
        <f t="shared" si="1"/>
        <v>59.845871559633025</v>
      </c>
      <c r="I5" s="158">
        <f t="shared" si="1"/>
        <v>48.748623853211008</v>
      </c>
      <c r="J5" s="158">
        <f t="shared" ref="J5:M36" si="3">(F5*54.5)/1000</f>
        <v>6.7391999999999994</v>
      </c>
      <c r="K5" s="158">
        <f t="shared" si="2"/>
        <v>4.3415999999999997</v>
      </c>
      <c r="L5" s="158">
        <f t="shared" si="2"/>
        <v>3.2616000000000001</v>
      </c>
      <c r="M5" s="158">
        <f t="shared" si="2"/>
        <v>2.6567999999999996</v>
      </c>
      <c r="N5" s="159">
        <v>300</v>
      </c>
      <c r="O5" s="159">
        <f>Table7[[#This Row],[Ah Rating]]/10</f>
        <v>30</v>
      </c>
      <c r="P5" s="160">
        <v>25</v>
      </c>
    </row>
    <row r="6" spans="1:16">
      <c r="A6" s="156" t="s">
        <v>2099</v>
      </c>
      <c r="B6" s="157">
        <v>417</v>
      </c>
      <c r="C6" s="157">
        <v>268</v>
      </c>
      <c r="D6" s="157">
        <v>201</v>
      </c>
      <c r="E6" s="157">
        <v>164</v>
      </c>
      <c r="F6" s="158">
        <f t="shared" si="0"/>
        <v>165.2697247706422</v>
      </c>
      <c r="G6" s="158">
        <f t="shared" si="1"/>
        <v>106.21651376146789</v>
      </c>
      <c r="H6" s="158">
        <f t="shared" si="1"/>
        <v>79.662385321100913</v>
      </c>
      <c r="I6" s="158">
        <f t="shared" si="1"/>
        <v>64.998165137614677</v>
      </c>
      <c r="J6" s="158">
        <f t="shared" si="3"/>
        <v>9.007200000000001</v>
      </c>
      <c r="K6" s="158">
        <f t="shared" si="2"/>
        <v>5.7888000000000002</v>
      </c>
      <c r="L6" s="158">
        <f t="shared" si="2"/>
        <v>4.3415999999999997</v>
      </c>
      <c r="M6" s="158">
        <f t="shared" si="2"/>
        <v>3.5424000000000002</v>
      </c>
      <c r="N6" s="159">
        <v>400</v>
      </c>
      <c r="O6" s="159">
        <f>Table7[[#This Row],[Ah Rating]]/10</f>
        <v>40</v>
      </c>
      <c r="P6" s="160">
        <v>25</v>
      </c>
    </row>
    <row r="7" spans="1:16">
      <c r="A7" s="156" t="s">
        <v>1723</v>
      </c>
      <c r="B7" s="157">
        <v>487</v>
      </c>
      <c r="C7" s="157">
        <v>327</v>
      </c>
      <c r="D7" s="157">
        <v>248</v>
      </c>
      <c r="E7" s="157">
        <v>204</v>
      </c>
      <c r="F7" s="158">
        <f t="shared" si="0"/>
        <v>193.01284403669726</v>
      </c>
      <c r="G7" s="158">
        <f t="shared" si="1"/>
        <v>129.6</v>
      </c>
      <c r="H7" s="158">
        <f t="shared" si="1"/>
        <v>98.289908256880736</v>
      </c>
      <c r="I7" s="158">
        <f t="shared" si="1"/>
        <v>80.851376146788994</v>
      </c>
      <c r="J7" s="158">
        <f t="shared" si="3"/>
        <v>10.519200000000001</v>
      </c>
      <c r="K7" s="158">
        <f t="shared" si="2"/>
        <v>7.0632000000000001</v>
      </c>
      <c r="L7" s="158">
        <f t="shared" si="2"/>
        <v>5.3567999999999998</v>
      </c>
      <c r="M7" s="158">
        <f t="shared" si="2"/>
        <v>4.4064000000000005</v>
      </c>
      <c r="N7" s="159">
        <v>510</v>
      </c>
      <c r="O7" s="159">
        <f>Table7[[#This Row],[Ah Rating]]/10</f>
        <v>51</v>
      </c>
      <c r="P7" s="160">
        <v>25</v>
      </c>
    </row>
    <row r="8" spans="1:16">
      <c r="A8" s="156" t="s">
        <v>1626</v>
      </c>
      <c r="B8" s="157">
        <v>568</v>
      </c>
      <c r="C8" s="157">
        <v>381</v>
      </c>
      <c r="D8" s="157">
        <v>290</v>
      </c>
      <c r="E8" s="157">
        <v>238</v>
      </c>
      <c r="F8" s="158">
        <f t="shared" si="0"/>
        <v>225.11559633027525</v>
      </c>
      <c r="G8" s="158">
        <f t="shared" si="1"/>
        <v>151.00183486238532</v>
      </c>
      <c r="H8" s="158">
        <f t="shared" si="1"/>
        <v>114.93577981651376</v>
      </c>
      <c r="I8" s="158">
        <f t="shared" si="1"/>
        <v>94.326605504587164</v>
      </c>
      <c r="J8" s="158">
        <f t="shared" si="3"/>
        <v>12.268800000000001</v>
      </c>
      <c r="K8" s="158">
        <f t="shared" si="2"/>
        <v>8.2295999999999996</v>
      </c>
      <c r="L8" s="158">
        <f t="shared" si="2"/>
        <v>6.2640000000000002</v>
      </c>
      <c r="M8" s="158">
        <f t="shared" si="2"/>
        <v>5.1408000000000005</v>
      </c>
      <c r="N8" s="159">
        <v>595</v>
      </c>
      <c r="O8" s="159">
        <f>Table7[[#This Row],[Ah Rating]]/10</f>
        <v>59.5</v>
      </c>
      <c r="P8" s="160">
        <v>25</v>
      </c>
    </row>
    <row r="9" spans="1:16">
      <c r="A9" s="156" t="s">
        <v>1781</v>
      </c>
      <c r="B9" s="157">
        <v>812</v>
      </c>
      <c r="C9" s="157">
        <v>545</v>
      </c>
      <c r="D9" s="157">
        <v>414</v>
      </c>
      <c r="E9" s="157">
        <v>340</v>
      </c>
      <c r="F9" s="158">
        <f t="shared" si="0"/>
        <v>321.82018348623853</v>
      </c>
      <c r="G9" s="158">
        <f t="shared" si="1"/>
        <v>216</v>
      </c>
      <c r="H9" s="158">
        <f t="shared" si="1"/>
        <v>164.08073394495415</v>
      </c>
      <c r="I9" s="158">
        <f t="shared" si="1"/>
        <v>134.75229357798165</v>
      </c>
      <c r="J9" s="158">
        <f t="shared" si="3"/>
        <v>17.539200000000001</v>
      </c>
      <c r="K9" s="158">
        <f t="shared" si="2"/>
        <v>11.772</v>
      </c>
      <c r="L9" s="158">
        <f t="shared" si="2"/>
        <v>8.942400000000001</v>
      </c>
      <c r="M9" s="158">
        <f t="shared" si="2"/>
        <v>7.3440000000000003</v>
      </c>
      <c r="N9" s="159">
        <v>850</v>
      </c>
      <c r="O9" s="159">
        <f>Table7[[#This Row],[Ah Rating]]/10</f>
        <v>85</v>
      </c>
      <c r="P9" s="160">
        <v>25</v>
      </c>
    </row>
    <row r="10" spans="1:16">
      <c r="A10" s="156" t="s">
        <v>1599</v>
      </c>
      <c r="B10" s="157">
        <v>974</v>
      </c>
      <c r="C10" s="157">
        <v>654</v>
      </c>
      <c r="D10" s="157">
        <v>496</v>
      </c>
      <c r="E10" s="157">
        <v>408</v>
      </c>
      <c r="F10" s="158">
        <f t="shared" si="0"/>
        <v>386.02568807339452</v>
      </c>
      <c r="G10" s="158">
        <f t="shared" si="1"/>
        <v>259.2</v>
      </c>
      <c r="H10" s="158">
        <f t="shared" si="1"/>
        <v>196.57981651376147</v>
      </c>
      <c r="I10" s="158">
        <f t="shared" si="1"/>
        <v>161.70275229357799</v>
      </c>
      <c r="J10" s="158">
        <f t="shared" si="3"/>
        <v>21.038400000000003</v>
      </c>
      <c r="K10" s="158">
        <f t="shared" si="2"/>
        <v>14.1264</v>
      </c>
      <c r="L10" s="158">
        <f t="shared" si="2"/>
        <v>10.7136</v>
      </c>
      <c r="M10" s="158">
        <f t="shared" si="2"/>
        <v>8.8128000000000011</v>
      </c>
      <c r="N10" s="159">
        <v>1020</v>
      </c>
      <c r="O10" s="159">
        <f>Table7[[#This Row],[Ah Rating]]/10</f>
        <v>102</v>
      </c>
      <c r="P10" s="160">
        <v>25</v>
      </c>
    </row>
    <row r="11" spans="1:16">
      <c r="A11" s="156" t="s">
        <v>1805</v>
      </c>
      <c r="B11" s="157">
        <v>1055</v>
      </c>
      <c r="C11" s="157">
        <v>708</v>
      </c>
      <c r="D11" s="157">
        <v>538</v>
      </c>
      <c r="E11" s="157">
        <v>442</v>
      </c>
      <c r="F11" s="158">
        <f t="shared" si="0"/>
        <v>418.12844036697248</v>
      </c>
      <c r="G11" s="158">
        <f t="shared" si="1"/>
        <v>280.60183486238537</v>
      </c>
      <c r="H11" s="158">
        <f t="shared" si="1"/>
        <v>213.22568807339451</v>
      </c>
      <c r="I11" s="158">
        <f t="shared" si="1"/>
        <v>175.17798165137614</v>
      </c>
      <c r="J11" s="158">
        <f t="shared" si="3"/>
        <v>22.788</v>
      </c>
      <c r="K11" s="158">
        <f t="shared" si="2"/>
        <v>15.292800000000003</v>
      </c>
      <c r="L11" s="158">
        <f t="shared" si="2"/>
        <v>11.620800000000001</v>
      </c>
      <c r="M11" s="158">
        <f t="shared" si="2"/>
        <v>9.5471999999999984</v>
      </c>
      <c r="N11" s="159">
        <v>1105</v>
      </c>
      <c r="O11" s="159">
        <f>Table7[[#This Row],[Ah Rating]]/10</f>
        <v>110.5</v>
      </c>
      <c r="P11" s="160">
        <v>25</v>
      </c>
    </row>
    <row r="12" spans="1:16">
      <c r="A12" s="156" t="s">
        <v>1713</v>
      </c>
      <c r="B12" s="157">
        <v>1299</v>
      </c>
      <c r="C12" s="157">
        <v>871</v>
      </c>
      <c r="D12" s="157">
        <v>662</v>
      </c>
      <c r="E12" s="157">
        <v>544</v>
      </c>
      <c r="F12" s="158">
        <f t="shared" si="0"/>
        <v>514.83302752293582</v>
      </c>
      <c r="G12" s="158">
        <f t="shared" si="1"/>
        <v>345.20366972477063</v>
      </c>
      <c r="H12" s="158">
        <f t="shared" si="1"/>
        <v>262.37064220183487</v>
      </c>
      <c r="I12" s="158">
        <f t="shared" si="1"/>
        <v>215.60366972477067</v>
      </c>
      <c r="J12" s="158">
        <f t="shared" si="3"/>
        <v>28.058400000000002</v>
      </c>
      <c r="K12" s="158">
        <f t="shared" si="2"/>
        <v>18.813599999999997</v>
      </c>
      <c r="L12" s="158">
        <f t="shared" si="2"/>
        <v>14.299200000000001</v>
      </c>
      <c r="M12" s="158">
        <f t="shared" si="2"/>
        <v>11.750400000000001</v>
      </c>
      <c r="N12" s="159">
        <v>1360</v>
      </c>
      <c r="O12" s="159">
        <f>Table7[[#This Row],[Ah Rating]]/10</f>
        <v>136</v>
      </c>
      <c r="P12" s="160">
        <v>25</v>
      </c>
    </row>
    <row r="13" spans="1:16">
      <c r="A13" s="156" t="s">
        <v>2100</v>
      </c>
      <c r="B13" s="157">
        <v>947</v>
      </c>
      <c r="C13" s="157">
        <v>640</v>
      </c>
      <c r="D13" s="157">
        <v>485</v>
      </c>
      <c r="E13" s="157">
        <v>397</v>
      </c>
      <c r="F13" s="158">
        <f t="shared" si="0"/>
        <v>375.32477064220183</v>
      </c>
      <c r="G13" s="158">
        <f t="shared" si="1"/>
        <v>253.651376146789</v>
      </c>
      <c r="H13" s="158">
        <f t="shared" si="1"/>
        <v>192.22018348623854</v>
      </c>
      <c r="I13" s="158">
        <f t="shared" si="1"/>
        <v>157.34311926605506</v>
      </c>
      <c r="J13" s="158">
        <f t="shared" si="3"/>
        <v>20.455200000000001</v>
      </c>
      <c r="K13" s="158">
        <f t="shared" si="2"/>
        <v>13.824</v>
      </c>
      <c r="L13" s="158">
        <f t="shared" si="2"/>
        <v>10.476000000000001</v>
      </c>
      <c r="M13" s="158">
        <f t="shared" si="2"/>
        <v>8.5752000000000006</v>
      </c>
      <c r="N13" s="159">
        <v>1000</v>
      </c>
      <c r="O13" s="159">
        <f>Table7[[#This Row],[Ah Rating]]/10</f>
        <v>100</v>
      </c>
      <c r="P13" s="160">
        <v>25</v>
      </c>
    </row>
    <row r="14" spans="1:16">
      <c r="A14" s="156" t="s">
        <v>1602</v>
      </c>
      <c r="B14" s="157">
        <v>1136</v>
      </c>
      <c r="C14" s="157">
        <v>768</v>
      </c>
      <c r="D14" s="157">
        <v>582</v>
      </c>
      <c r="E14" s="157">
        <v>476</v>
      </c>
      <c r="F14" s="158">
        <f t="shared" si="0"/>
        <v>450.23119266055051</v>
      </c>
      <c r="G14" s="158">
        <f t="shared" si="1"/>
        <v>304.38165137614681</v>
      </c>
      <c r="H14" s="158">
        <f t="shared" si="1"/>
        <v>230.66422018348624</v>
      </c>
      <c r="I14" s="158">
        <f t="shared" si="1"/>
        <v>188.65321100917433</v>
      </c>
      <c r="J14" s="158">
        <f t="shared" si="3"/>
        <v>24.537600000000001</v>
      </c>
      <c r="K14" s="158">
        <f t="shared" si="2"/>
        <v>16.588799999999999</v>
      </c>
      <c r="L14" s="158">
        <f t="shared" si="2"/>
        <v>12.571200000000001</v>
      </c>
      <c r="M14" s="158">
        <f t="shared" si="2"/>
        <v>10.281600000000001</v>
      </c>
      <c r="N14" s="159">
        <v>1200</v>
      </c>
      <c r="O14" s="159">
        <f>Table7[[#This Row],[Ah Rating]]/10</f>
        <v>120</v>
      </c>
      <c r="P14" s="160">
        <v>25</v>
      </c>
    </row>
    <row r="15" spans="1:16">
      <c r="A15" s="156" t="s">
        <v>1605</v>
      </c>
      <c r="B15" s="157">
        <v>1231</v>
      </c>
      <c r="C15" s="157">
        <v>832</v>
      </c>
      <c r="D15" s="157">
        <v>631</v>
      </c>
      <c r="E15" s="157">
        <v>516</v>
      </c>
      <c r="F15" s="158">
        <f t="shared" si="0"/>
        <v>487.88256880733951</v>
      </c>
      <c r="G15" s="158">
        <f t="shared" si="1"/>
        <v>329.74678899082573</v>
      </c>
      <c r="H15" s="158">
        <f t="shared" si="1"/>
        <v>250.08440366972476</v>
      </c>
      <c r="I15" s="158">
        <f t="shared" si="1"/>
        <v>204.50642201834862</v>
      </c>
      <c r="J15" s="158">
        <f t="shared" si="3"/>
        <v>26.589600000000001</v>
      </c>
      <c r="K15" s="158">
        <f t="shared" si="2"/>
        <v>17.971200000000003</v>
      </c>
      <c r="L15" s="158">
        <f t="shared" si="2"/>
        <v>13.6296</v>
      </c>
      <c r="M15" s="158">
        <f t="shared" si="2"/>
        <v>11.1456</v>
      </c>
      <c r="N15" s="159">
        <v>1300</v>
      </c>
      <c r="O15" s="159">
        <f>Table7[[#This Row],[Ah Rating]]/10</f>
        <v>130</v>
      </c>
      <c r="P15" s="160">
        <v>25</v>
      </c>
    </row>
    <row r="16" spans="1:16">
      <c r="A16" s="156" t="s">
        <v>1661</v>
      </c>
      <c r="B16" s="157">
        <v>1514</v>
      </c>
      <c r="C16" s="157">
        <v>1024</v>
      </c>
      <c r="D16" s="157">
        <v>777</v>
      </c>
      <c r="E16" s="157">
        <v>635</v>
      </c>
      <c r="F16" s="158">
        <f t="shared" si="0"/>
        <v>600.04403669724775</v>
      </c>
      <c r="G16" s="158">
        <f t="shared" si="1"/>
        <v>405.84220183486241</v>
      </c>
      <c r="H16" s="158">
        <f t="shared" si="1"/>
        <v>307.94862385321102</v>
      </c>
      <c r="I16" s="158">
        <f t="shared" si="1"/>
        <v>251.6697247706422</v>
      </c>
      <c r="J16" s="158">
        <f t="shared" si="3"/>
        <v>32.702400000000004</v>
      </c>
      <c r="K16" s="158">
        <f t="shared" si="2"/>
        <v>22.118400000000001</v>
      </c>
      <c r="L16" s="158">
        <f t="shared" si="2"/>
        <v>16.783200000000001</v>
      </c>
      <c r="M16" s="158">
        <f t="shared" si="2"/>
        <v>13.715999999999999</v>
      </c>
      <c r="N16" s="159">
        <v>1600</v>
      </c>
      <c r="O16" s="159">
        <f>Table7[[#This Row],[Ah Rating]]/10</f>
        <v>160</v>
      </c>
      <c r="P16" s="160">
        <v>25</v>
      </c>
    </row>
    <row r="17" spans="1:22">
      <c r="A17" s="156" t="s">
        <v>1789</v>
      </c>
      <c r="B17" s="157">
        <v>1448</v>
      </c>
      <c r="C17" s="157">
        <v>969</v>
      </c>
      <c r="D17" s="157">
        <v>738</v>
      </c>
      <c r="E17" s="157">
        <v>607</v>
      </c>
      <c r="F17" s="158">
        <f t="shared" si="0"/>
        <v>573.88623853211004</v>
      </c>
      <c r="G17" s="158">
        <f t="shared" si="1"/>
        <v>384.04403669724769</v>
      </c>
      <c r="H17" s="158">
        <f t="shared" si="1"/>
        <v>292.49174311926606</v>
      </c>
      <c r="I17" s="158">
        <f t="shared" si="1"/>
        <v>240.57247706422021</v>
      </c>
      <c r="J17" s="158">
        <f t="shared" si="3"/>
        <v>31.276799999999994</v>
      </c>
      <c r="K17" s="158">
        <f t="shared" si="2"/>
        <v>20.930399999999999</v>
      </c>
      <c r="L17" s="158">
        <f t="shared" si="2"/>
        <v>15.940800000000001</v>
      </c>
      <c r="M17" s="158">
        <f t="shared" si="2"/>
        <v>13.1112</v>
      </c>
      <c r="N17" s="159">
        <v>1500</v>
      </c>
      <c r="O17" s="159">
        <f>Table7[[#This Row],[Ah Rating]]/10</f>
        <v>150</v>
      </c>
      <c r="P17" s="160">
        <v>25</v>
      </c>
    </row>
    <row r="18" spans="1:22">
      <c r="A18" s="156" t="s">
        <v>1782</v>
      </c>
      <c r="B18" s="157">
        <v>1568</v>
      </c>
      <c r="C18" s="157">
        <v>1050</v>
      </c>
      <c r="D18" s="157">
        <v>799</v>
      </c>
      <c r="E18" s="157">
        <v>658</v>
      </c>
      <c r="F18" s="158">
        <f t="shared" si="0"/>
        <v>621.44587155963302</v>
      </c>
      <c r="G18" s="158">
        <f t="shared" si="1"/>
        <v>416.14678899082571</v>
      </c>
      <c r="H18" s="158">
        <f t="shared" si="1"/>
        <v>316.66788990825688</v>
      </c>
      <c r="I18" s="158">
        <f t="shared" si="1"/>
        <v>260.78532110091743</v>
      </c>
      <c r="J18" s="158">
        <f t="shared" si="3"/>
        <v>33.8688</v>
      </c>
      <c r="K18" s="158">
        <f t="shared" si="2"/>
        <v>22.68</v>
      </c>
      <c r="L18" s="158">
        <f t="shared" si="2"/>
        <v>17.258400000000002</v>
      </c>
      <c r="M18" s="158">
        <f t="shared" si="2"/>
        <v>14.2128</v>
      </c>
      <c r="N18" s="159">
        <v>1625</v>
      </c>
      <c r="O18" s="159">
        <f>Table7[[#This Row],[Ah Rating]]/10</f>
        <v>162.5</v>
      </c>
      <c r="P18" s="160">
        <v>25</v>
      </c>
    </row>
    <row r="19" spans="1:22">
      <c r="A19" s="156" t="s">
        <v>1609</v>
      </c>
      <c r="B19" s="157">
        <v>1930</v>
      </c>
      <c r="C19" s="157">
        <v>1292</v>
      </c>
      <c r="D19" s="157">
        <v>984</v>
      </c>
      <c r="E19" s="157">
        <v>810</v>
      </c>
      <c r="F19" s="158">
        <f t="shared" si="0"/>
        <v>764.9174311926605</v>
      </c>
      <c r="G19" s="158">
        <f t="shared" si="1"/>
        <v>512.05871559633033</v>
      </c>
      <c r="H19" s="158">
        <f t="shared" si="1"/>
        <v>389.98899082568806</v>
      </c>
      <c r="I19" s="158">
        <f>((E19*24)/54.5)*0.9</f>
        <v>321.02752293577981</v>
      </c>
      <c r="J19" s="158">
        <f t="shared" si="3"/>
        <v>41.688000000000002</v>
      </c>
      <c r="K19" s="158">
        <f t="shared" si="2"/>
        <v>27.907200000000003</v>
      </c>
      <c r="L19" s="158">
        <f t="shared" si="2"/>
        <v>21.254399999999997</v>
      </c>
      <c r="M19" s="158">
        <f t="shared" si="2"/>
        <v>17.495999999999999</v>
      </c>
      <c r="N19" s="159">
        <v>2000</v>
      </c>
      <c r="O19" s="159">
        <f>Table7[[#This Row],[Ah Rating]]/10</f>
        <v>200</v>
      </c>
      <c r="P19" s="160">
        <v>25</v>
      </c>
      <c r="R19" s="146">
        <f>SUM(Table7[[#This Row],[1 hr2]]*0.98)</f>
        <v>749.61908256880724</v>
      </c>
      <c r="S19" s="146">
        <f>SUM(R19*0.98)</f>
        <v>734.62670091743109</v>
      </c>
      <c r="T19" s="146">
        <f t="shared" ref="T19:V19" si="4">SUM(S19*0.98)</f>
        <v>719.93416689908247</v>
      </c>
      <c r="U19" s="146">
        <f t="shared" si="4"/>
        <v>705.53548356110082</v>
      </c>
      <c r="V19" s="146">
        <f t="shared" si="4"/>
        <v>691.42477388987879</v>
      </c>
    </row>
    <row r="20" spans="1:22">
      <c r="A20" s="161" t="s">
        <v>1622</v>
      </c>
      <c r="B20" s="157">
        <v>195.7</v>
      </c>
      <c r="C20" s="157">
        <v>115</v>
      </c>
      <c r="D20" s="157">
        <v>82.5</v>
      </c>
      <c r="E20" s="157">
        <v>65</v>
      </c>
      <c r="F20" s="158">
        <f t="shared" si="0"/>
        <v>77.561834862385311</v>
      </c>
      <c r="G20" s="158">
        <f t="shared" ref="G20:I48" si="5">((C20*24)/54.5)*0.9</f>
        <v>45.577981651376149</v>
      </c>
      <c r="H20" s="158">
        <f t="shared" si="5"/>
        <v>32.697247706422019</v>
      </c>
      <c r="I20" s="158">
        <f t="shared" si="5"/>
        <v>25.761467889908257</v>
      </c>
      <c r="J20" s="158">
        <f t="shared" si="3"/>
        <v>4.2271200000000002</v>
      </c>
      <c r="K20" s="158">
        <f t="shared" si="3"/>
        <v>2.484</v>
      </c>
      <c r="L20" s="158">
        <f t="shared" si="3"/>
        <v>1.782</v>
      </c>
      <c r="M20" s="158">
        <f t="shared" si="3"/>
        <v>1.4039999999999999</v>
      </c>
      <c r="N20" s="159">
        <v>150</v>
      </c>
      <c r="O20" s="159">
        <f>Table7[[#This Row],[Ah Rating]]/10</f>
        <v>15</v>
      </c>
      <c r="P20" s="160">
        <v>20</v>
      </c>
    </row>
    <row r="21" spans="1:22">
      <c r="A21" s="161" t="s">
        <v>2101</v>
      </c>
      <c r="B21" s="157">
        <v>126.8</v>
      </c>
      <c r="C21" s="157">
        <v>71.099999999999994</v>
      </c>
      <c r="D21" s="157">
        <v>51.9</v>
      </c>
      <c r="E21" s="157">
        <v>41.5</v>
      </c>
      <c r="F21" s="158">
        <f t="shared" si="0"/>
        <v>50.25467889908257</v>
      </c>
      <c r="G21" s="158">
        <f t="shared" si="5"/>
        <v>28.179082568807335</v>
      </c>
      <c r="H21" s="158">
        <f t="shared" si="5"/>
        <v>20.56954128440367</v>
      </c>
      <c r="I21" s="158">
        <f t="shared" si="5"/>
        <v>16.447706422018349</v>
      </c>
      <c r="J21" s="158">
        <f t="shared" si="3"/>
        <v>2.73888</v>
      </c>
      <c r="K21" s="158">
        <f t="shared" si="3"/>
        <v>1.5357599999999998</v>
      </c>
      <c r="L21" s="158">
        <f t="shared" si="3"/>
        <v>1.12104</v>
      </c>
      <c r="M21" s="158">
        <f t="shared" si="3"/>
        <v>0.89640000000000009</v>
      </c>
      <c r="N21" s="159">
        <v>100</v>
      </c>
      <c r="O21" s="159">
        <f>Table7[[#This Row],[Ah Rating]]/10</f>
        <v>10</v>
      </c>
      <c r="P21" s="160">
        <v>20</v>
      </c>
    </row>
    <row r="22" spans="1:22">
      <c r="A22" s="161" t="s">
        <v>1771</v>
      </c>
      <c r="B22" s="157">
        <v>263.60000000000002</v>
      </c>
      <c r="C22" s="157">
        <v>154.6</v>
      </c>
      <c r="D22" s="157">
        <v>110.5</v>
      </c>
      <c r="E22" s="157">
        <v>86.3</v>
      </c>
      <c r="F22" s="158">
        <f t="shared" si="0"/>
        <v>104.47266055045873</v>
      </c>
      <c r="G22" s="158">
        <f t="shared" si="5"/>
        <v>61.27266055045871</v>
      </c>
      <c r="H22" s="158">
        <f t="shared" si="5"/>
        <v>43.794495412844036</v>
      </c>
      <c r="I22" s="158">
        <f t="shared" si="5"/>
        <v>34.203302752293574</v>
      </c>
      <c r="J22" s="158">
        <f t="shared" si="3"/>
        <v>5.6937600000000002</v>
      </c>
      <c r="K22" s="158">
        <f t="shared" si="3"/>
        <v>3.3393599999999997</v>
      </c>
      <c r="L22" s="158">
        <f t="shared" si="3"/>
        <v>2.3867999999999996</v>
      </c>
      <c r="M22" s="158">
        <f t="shared" si="3"/>
        <v>1.8640799999999997</v>
      </c>
      <c r="N22" s="159">
        <v>190</v>
      </c>
      <c r="O22" s="159">
        <f>Table7[[#This Row],[Ah Rating]]/10</f>
        <v>19</v>
      </c>
      <c r="P22" s="160">
        <v>20</v>
      </c>
    </row>
    <row r="23" spans="1:22">
      <c r="A23" s="161" t="s">
        <v>1698</v>
      </c>
      <c r="B23" s="157">
        <v>131</v>
      </c>
      <c r="C23" s="157">
        <v>79</v>
      </c>
      <c r="D23" s="157">
        <v>57</v>
      </c>
      <c r="E23" s="157">
        <v>45</v>
      </c>
      <c r="F23" s="158">
        <f t="shared" si="0"/>
        <v>51.919266055045874</v>
      </c>
      <c r="G23" s="158">
        <f t="shared" si="5"/>
        <v>31.310091743119269</v>
      </c>
      <c r="H23" s="158">
        <f t="shared" si="5"/>
        <v>22.590825688073394</v>
      </c>
      <c r="I23" s="158">
        <f t="shared" si="5"/>
        <v>17.834862385321099</v>
      </c>
      <c r="J23" s="158">
        <f t="shared" si="3"/>
        <v>2.8296000000000001</v>
      </c>
      <c r="K23" s="158">
        <f t="shared" si="3"/>
        <v>1.7064000000000001</v>
      </c>
      <c r="L23" s="158">
        <f t="shared" si="3"/>
        <v>1.2312000000000001</v>
      </c>
      <c r="M23" s="158">
        <f t="shared" si="3"/>
        <v>0.97199999999999986</v>
      </c>
      <c r="N23" s="159">
        <v>100</v>
      </c>
      <c r="O23" s="159">
        <f>Table7[[#This Row],[Ah Rating]]/10</f>
        <v>10</v>
      </c>
      <c r="P23" s="160">
        <v>20</v>
      </c>
    </row>
    <row r="24" spans="1:22">
      <c r="A24" s="161" t="s">
        <v>1739</v>
      </c>
      <c r="B24" s="157">
        <v>130</v>
      </c>
      <c r="C24" s="157">
        <v>78</v>
      </c>
      <c r="D24" s="157">
        <v>56</v>
      </c>
      <c r="E24" s="157">
        <v>45</v>
      </c>
      <c r="F24" s="158">
        <f t="shared" si="0"/>
        <v>51.522935779816514</v>
      </c>
      <c r="G24" s="158">
        <f t="shared" si="5"/>
        <v>30.913761467889909</v>
      </c>
      <c r="H24" s="158">
        <f t="shared" si="5"/>
        <v>22.194495412844038</v>
      </c>
      <c r="I24" s="158">
        <f t="shared" si="5"/>
        <v>17.834862385321099</v>
      </c>
      <c r="J24" s="158">
        <f t="shared" si="3"/>
        <v>2.8079999999999998</v>
      </c>
      <c r="K24" s="158">
        <f t="shared" si="3"/>
        <v>1.6847999999999999</v>
      </c>
      <c r="L24" s="158">
        <f t="shared" si="3"/>
        <v>1.2096000000000002</v>
      </c>
      <c r="M24" s="158">
        <f t="shared" si="3"/>
        <v>0.97199999999999986</v>
      </c>
      <c r="N24" s="159">
        <v>105</v>
      </c>
      <c r="O24" s="159">
        <f>Table7[[#This Row],[Ah Rating]]/10</f>
        <v>10.5</v>
      </c>
      <c r="P24" s="160">
        <v>20</v>
      </c>
    </row>
    <row r="25" spans="1:22">
      <c r="A25" s="161" t="s">
        <v>1937</v>
      </c>
      <c r="B25" s="157">
        <v>145</v>
      </c>
      <c r="C25" s="162">
        <v>88</v>
      </c>
      <c r="D25" s="157">
        <v>65</v>
      </c>
      <c r="E25" s="162">
        <v>52</v>
      </c>
      <c r="F25" s="158">
        <f t="shared" si="0"/>
        <v>57.467889908256879</v>
      </c>
      <c r="G25" s="158">
        <f t="shared" si="5"/>
        <v>34.877064220183492</v>
      </c>
      <c r="H25" s="158">
        <f t="shared" si="5"/>
        <v>25.761467889908257</v>
      </c>
      <c r="I25" s="158">
        <f t="shared" si="5"/>
        <v>20.609174311926608</v>
      </c>
      <c r="J25" s="158">
        <f t="shared" si="3"/>
        <v>3.1320000000000001</v>
      </c>
      <c r="K25" s="158">
        <f t="shared" si="3"/>
        <v>1.9008000000000005</v>
      </c>
      <c r="L25" s="158">
        <f t="shared" si="3"/>
        <v>1.4039999999999999</v>
      </c>
      <c r="M25" s="158">
        <f t="shared" si="3"/>
        <v>1.1232000000000002</v>
      </c>
      <c r="N25" s="159">
        <v>125</v>
      </c>
      <c r="O25" s="159">
        <f>Table7[[#This Row],[Ah Rating]]/10</f>
        <v>12.5</v>
      </c>
      <c r="P25" s="160">
        <v>20</v>
      </c>
    </row>
    <row r="26" spans="1:22">
      <c r="A26" s="161" t="s">
        <v>1882</v>
      </c>
      <c r="B26" s="157">
        <v>120</v>
      </c>
      <c r="C26" s="162">
        <v>70</v>
      </c>
      <c r="D26" s="157">
        <v>50</v>
      </c>
      <c r="E26" s="157">
        <v>39</v>
      </c>
      <c r="F26" s="158">
        <f t="shared" si="0"/>
        <v>47.559633027522942</v>
      </c>
      <c r="G26" s="158">
        <f t="shared" si="5"/>
        <v>27.743119266055047</v>
      </c>
      <c r="H26" s="158">
        <f t="shared" si="5"/>
        <v>19.816513761467888</v>
      </c>
      <c r="I26" s="158">
        <f t="shared" si="5"/>
        <v>15.456880733944955</v>
      </c>
      <c r="J26" s="158">
        <f t="shared" si="3"/>
        <v>2.5920000000000005</v>
      </c>
      <c r="K26" s="158">
        <f t="shared" si="3"/>
        <v>1.512</v>
      </c>
      <c r="L26" s="158">
        <f t="shared" si="3"/>
        <v>1.08</v>
      </c>
      <c r="M26" s="158">
        <f t="shared" si="3"/>
        <v>0.84239999999999993</v>
      </c>
      <c r="N26" s="159">
        <v>92</v>
      </c>
      <c r="O26" s="159">
        <f>Table7[[#This Row],[Ah Rating]]/10</f>
        <v>9.1999999999999993</v>
      </c>
      <c r="P26" s="160">
        <v>20</v>
      </c>
    </row>
    <row r="27" spans="1:22">
      <c r="A27" s="161" t="s">
        <v>2102</v>
      </c>
      <c r="B27" s="157">
        <v>632</v>
      </c>
      <c r="C27" s="157">
        <v>361</v>
      </c>
      <c r="D27" s="157">
        <v>269</v>
      </c>
      <c r="E27" s="162">
        <v>214</v>
      </c>
      <c r="F27" s="158">
        <f t="shared" si="0"/>
        <v>250.48073394495415</v>
      </c>
      <c r="G27" s="158">
        <f t="shared" si="5"/>
        <v>143.07522935779818</v>
      </c>
      <c r="H27" s="158">
        <f t="shared" si="5"/>
        <v>106.61284403669725</v>
      </c>
      <c r="I27" s="158">
        <f t="shared" si="5"/>
        <v>84.814678899082566</v>
      </c>
      <c r="J27" s="158">
        <f t="shared" si="3"/>
        <v>13.651200000000001</v>
      </c>
      <c r="K27" s="158">
        <f t="shared" si="3"/>
        <v>7.7976000000000001</v>
      </c>
      <c r="L27" s="158">
        <f t="shared" si="3"/>
        <v>5.8104000000000005</v>
      </c>
      <c r="M27" s="158">
        <f t="shared" si="3"/>
        <v>4.6223999999999998</v>
      </c>
      <c r="N27" s="159">
        <v>516</v>
      </c>
      <c r="O27" s="159">
        <f>Table7[[#This Row],[Ah Rating]]/10</f>
        <v>51.6</v>
      </c>
      <c r="P27" s="160">
        <v>20</v>
      </c>
    </row>
    <row r="28" spans="1:22">
      <c r="A28" s="161" t="s">
        <v>1756</v>
      </c>
      <c r="B28" s="157">
        <v>138</v>
      </c>
      <c r="C28" s="157">
        <v>81</v>
      </c>
      <c r="D28" s="157">
        <v>58</v>
      </c>
      <c r="E28" s="162">
        <v>45</v>
      </c>
      <c r="F28" s="158">
        <f t="shared" si="0"/>
        <v>54.693577981651373</v>
      </c>
      <c r="G28" s="158">
        <f t="shared" si="5"/>
        <v>32.102752293577986</v>
      </c>
      <c r="H28" s="158">
        <f t="shared" si="5"/>
        <v>22.987155963302751</v>
      </c>
      <c r="I28" s="158">
        <f t="shared" si="5"/>
        <v>17.834862385321099</v>
      </c>
      <c r="J28" s="158">
        <f t="shared" si="3"/>
        <v>2.9807999999999999</v>
      </c>
      <c r="K28" s="158">
        <f t="shared" si="3"/>
        <v>1.7496</v>
      </c>
      <c r="L28" s="158">
        <f t="shared" si="3"/>
        <v>1.2527999999999999</v>
      </c>
      <c r="M28" s="158">
        <f t="shared" si="3"/>
        <v>0.97199999999999986</v>
      </c>
      <c r="N28" s="159">
        <v>100</v>
      </c>
      <c r="O28" s="159">
        <f>Table7[[#This Row],[Ah Rating]]/10</f>
        <v>10</v>
      </c>
      <c r="P28" s="160">
        <v>20</v>
      </c>
    </row>
    <row r="29" spans="1:22">
      <c r="A29" s="161" t="s">
        <v>2103</v>
      </c>
      <c r="B29" s="157">
        <v>650.6</v>
      </c>
      <c r="C29" s="157">
        <v>452.8</v>
      </c>
      <c r="D29" s="157">
        <v>347.2</v>
      </c>
      <c r="E29" s="162">
        <v>282.5</v>
      </c>
      <c r="F29" s="158">
        <f t="shared" si="0"/>
        <v>257.85247706422018</v>
      </c>
      <c r="G29" s="158">
        <f t="shared" si="5"/>
        <v>179.45834862385323</v>
      </c>
      <c r="H29" s="158">
        <f t="shared" si="5"/>
        <v>137.60587155963302</v>
      </c>
      <c r="I29" s="158">
        <f t="shared" si="5"/>
        <v>111.96330275229357</v>
      </c>
      <c r="J29" s="158">
        <f t="shared" si="3"/>
        <v>14.052959999999999</v>
      </c>
      <c r="K29" s="158">
        <f t="shared" si="3"/>
        <v>9.7804800000000007</v>
      </c>
      <c r="L29" s="158">
        <f t="shared" si="3"/>
        <v>7.4995199999999995</v>
      </c>
      <c r="M29" s="158">
        <f t="shared" si="3"/>
        <v>6.1020000000000003</v>
      </c>
      <c r="N29" s="159">
        <v>680</v>
      </c>
      <c r="O29" s="159">
        <f>Table7[[#This Row],[Ah Rating]]/10</f>
        <v>68</v>
      </c>
      <c r="P29" s="160">
        <v>20</v>
      </c>
    </row>
    <row r="30" spans="1:22">
      <c r="A30" s="161" t="s">
        <v>2104</v>
      </c>
      <c r="B30" s="157">
        <v>459.2</v>
      </c>
      <c r="C30" s="157">
        <v>319.60000000000002</v>
      </c>
      <c r="D30" s="157">
        <v>245.1</v>
      </c>
      <c r="E30" s="162">
        <v>199.4</v>
      </c>
      <c r="F30" s="158">
        <f t="shared" si="0"/>
        <v>181.99486238532108</v>
      </c>
      <c r="G30" s="158">
        <f t="shared" si="5"/>
        <v>126.66715596330276</v>
      </c>
      <c r="H30" s="158">
        <f t="shared" si="5"/>
        <v>97.140550458715595</v>
      </c>
      <c r="I30" s="158">
        <f t="shared" si="5"/>
        <v>79.028256880733949</v>
      </c>
      <c r="J30" s="158">
        <f t="shared" si="3"/>
        <v>9.9187199999999986</v>
      </c>
      <c r="K30" s="158">
        <f t="shared" si="3"/>
        <v>6.9033600000000002</v>
      </c>
      <c r="L30" s="158">
        <f t="shared" si="3"/>
        <v>5.2941599999999998</v>
      </c>
      <c r="M30" s="158">
        <f t="shared" si="3"/>
        <v>4.3070399999999998</v>
      </c>
      <c r="N30" s="159">
        <v>480</v>
      </c>
      <c r="O30" s="159">
        <f>Table7[[#This Row],[Ah Rating]]/10</f>
        <v>48</v>
      </c>
      <c r="P30" s="160">
        <v>20</v>
      </c>
    </row>
    <row r="31" spans="1:22">
      <c r="A31" s="161" t="s">
        <v>2105</v>
      </c>
      <c r="B31" s="157">
        <v>177</v>
      </c>
      <c r="C31" s="157">
        <v>107</v>
      </c>
      <c r="D31" s="157">
        <v>79</v>
      </c>
      <c r="E31" s="162">
        <v>63</v>
      </c>
      <c r="F31" s="158">
        <f t="shared" si="0"/>
        <v>70.150458715596343</v>
      </c>
      <c r="G31" s="158">
        <f t="shared" si="5"/>
        <v>42.407339449541283</v>
      </c>
      <c r="H31" s="158">
        <f t="shared" si="5"/>
        <v>31.310091743119269</v>
      </c>
      <c r="I31" s="158">
        <f t="shared" si="5"/>
        <v>24.968807339449544</v>
      </c>
      <c r="J31" s="158">
        <f t="shared" si="3"/>
        <v>3.8232000000000008</v>
      </c>
      <c r="K31" s="158">
        <f t="shared" si="3"/>
        <v>2.3111999999999999</v>
      </c>
      <c r="L31" s="158">
        <f t="shared" si="3"/>
        <v>1.7064000000000001</v>
      </c>
      <c r="M31" s="158">
        <f t="shared" si="3"/>
        <v>1.3608000000000002</v>
      </c>
      <c r="N31" s="159">
        <v>150</v>
      </c>
      <c r="O31" s="159">
        <f>Table7[[#This Row],[Ah Rating]]/10</f>
        <v>15</v>
      </c>
      <c r="P31" s="160">
        <v>20</v>
      </c>
    </row>
    <row r="32" spans="1:22">
      <c r="A32" s="161" t="s">
        <v>1820</v>
      </c>
      <c r="B32" s="157">
        <v>1889</v>
      </c>
      <c r="C32" s="157">
        <v>1258</v>
      </c>
      <c r="D32" s="157">
        <v>938</v>
      </c>
      <c r="E32" s="162">
        <v>760</v>
      </c>
      <c r="F32" s="158">
        <f t="shared" si="0"/>
        <v>748.66788990825683</v>
      </c>
      <c r="G32" s="158">
        <f t="shared" si="5"/>
        <v>498.58348623853215</v>
      </c>
      <c r="H32" s="158">
        <f t="shared" si="5"/>
        <v>371.75779816513761</v>
      </c>
      <c r="I32" s="158">
        <f t="shared" si="5"/>
        <v>301.21100917431193</v>
      </c>
      <c r="J32" s="158">
        <f t="shared" si="3"/>
        <v>40.802399999999992</v>
      </c>
      <c r="K32" s="158">
        <f t="shared" si="3"/>
        <v>27.172800000000002</v>
      </c>
      <c r="L32" s="158">
        <f t="shared" si="3"/>
        <v>20.2608</v>
      </c>
      <c r="M32" s="158">
        <f t="shared" si="3"/>
        <v>16.416</v>
      </c>
      <c r="N32" s="159">
        <v>1870</v>
      </c>
      <c r="O32" s="159">
        <f>Table7[[#This Row],[Ah Rating]]/10</f>
        <v>187</v>
      </c>
      <c r="P32" s="160">
        <v>20</v>
      </c>
    </row>
    <row r="33" spans="1:16">
      <c r="A33" s="161" t="s">
        <v>2106</v>
      </c>
      <c r="B33" s="157">
        <v>202</v>
      </c>
      <c r="C33" s="157">
        <v>122</v>
      </c>
      <c r="D33" s="157">
        <v>89.4</v>
      </c>
      <c r="E33" s="162">
        <v>71.3</v>
      </c>
      <c r="F33" s="158">
        <f t="shared" si="0"/>
        <v>80.058715596330273</v>
      </c>
      <c r="G33" s="158">
        <f t="shared" si="5"/>
        <v>48.352293577981648</v>
      </c>
      <c r="H33" s="158">
        <f t="shared" si="5"/>
        <v>35.431926605504593</v>
      </c>
      <c r="I33" s="158">
        <f t="shared" si="5"/>
        <v>28.258348623853209</v>
      </c>
      <c r="J33" s="158">
        <f t="shared" si="3"/>
        <v>4.3632</v>
      </c>
      <c r="K33" s="158">
        <f t="shared" si="3"/>
        <v>2.6351999999999998</v>
      </c>
      <c r="L33" s="158">
        <f t="shared" si="3"/>
        <v>1.9310400000000003</v>
      </c>
      <c r="M33" s="158">
        <f t="shared" si="3"/>
        <v>1.5400799999999999</v>
      </c>
      <c r="N33" s="159">
        <v>170</v>
      </c>
      <c r="O33" s="159">
        <f>Table7[[#This Row],[Ah Rating]]/10</f>
        <v>17</v>
      </c>
      <c r="P33" s="160">
        <v>20</v>
      </c>
    </row>
    <row r="34" spans="1:16">
      <c r="A34" s="161" t="s">
        <v>2107</v>
      </c>
      <c r="B34" s="157">
        <v>2727</v>
      </c>
      <c r="C34" s="157">
        <v>1816</v>
      </c>
      <c r="D34" s="157">
        <v>1355</v>
      </c>
      <c r="E34" s="162">
        <v>1097</v>
      </c>
      <c r="F34" s="158">
        <f t="shared" si="0"/>
        <v>1080.7926605504588</v>
      </c>
      <c r="G34" s="158">
        <f t="shared" si="5"/>
        <v>719.73577981651374</v>
      </c>
      <c r="H34" s="158">
        <f t="shared" si="5"/>
        <v>537.02752293577976</v>
      </c>
      <c r="I34" s="158">
        <f t="shared" si="5"/>
        <v>434.77431192660549</v>
      </c>
      <c r="J34" s="158">
        <f t="shared" si="3"/>
        <v>58.903200000000005</v>
      </c>
      <c r="K34" s="158">
        <f t="shared" si="3"/>
        <v>39.2256</v>
      </c>
      <c r="L34" s="158">
        <f t="shared" si="3"/>
        <v>29.267999999999997</v>
      </c>
      <c r="M34" s="158">
        <f t="shared" si="3"/>
        <v>23.6952</v>
      </c>
      <c r="N34" s="159">
        <v>2700</v>
      </c>
      <c r="O34" s="159">
        <f>Table7[[#This Row],[Ah Rating]]/10</f>
        <v>270</v>
      </c>
      <c r="P34" s="160">
        <v>20</v>
      </c>
    </row>
    <row r="35" spans="1:16">
      <c r="A35" s="161" t="s">
        <v>2108</v>
      </c>
      <c r="B35" s="157">
        <v>210</v>
      </c>
      <c r="C35" s="157">
        <v>120</v>
      </c>
      <c r="D35" s="157">
        <v>90</v>
      </c>
      <c r="E35" s="162">
        <v>71</v>
      </c>
      <c r="F35" s="158">
        <f t="shared" si="0"/>
        <v>83.22935779816514</v>
      </c>
      <c r="G35" s="158">
        <f t="shared" si="5"/>
        <v>47.559633027522942</v>
      </c>
      <c r="H35" s="158">
        <f t="shared" si="5"/>
        <v>35.669724770642198</v>
      </c>
      <c r="I35" s="158">
        <f t="shared" si="5"/>
        <v>28.139449541284407</v>
      </c>
      <c r="J35" s="158">
        <f t="shared" si="3"/>
        <v>4.5359999999999996</v>
      </c>
      <c r="K35" s="158">
        <f t="shared" si="3"/>
        <v>2.5920000000000005</v>
      </c>
      <c r="L35" s="158">
        <f t="shared" si="3"/>
        <v>1.9439999999999997</v>
      </c>
      <c r="M35" s="158">
        <f t="shared" si="3"/>
        <v>1.5336000000000001</v>
      </c>
      <c r="N35" s="159">
        <v>165</v>
      </c>
      <c r="O35" s="159">
        <f>Table7[[#This Row],[Ah Rating]]/10</f>
        <v>16.5</v>
      </c>
      <c r="P35" s="160">
        <v>20</v>
      </c>
    </row>
    <row r="36" spans="1:16">
      <c r="A36" s="163" t="s">
        <v>1617</v>
      </c>
      <c r="B36" s="164">
        <v>121</v>
      </c>
      <c r="C36" s="164">
        <v>71</v>
      </c>
      <c r="D36" s="164">
        <v>50</v>
      </c>
      <c r="E36" s="165">
        <v>40</v>
      </c>
      <c r="F36" s="158">
        <f t="shared" ref="F36:F52" si="6">((B36*24)/54.5)*0.9</f>
        <v>47.955963302752295</v>
      </c>
      <c r="G36" s="158">
        <f t="shared" si="5"/>
        <v>28.139449541284407</v>
      </c>
      <c r="H36" s="158">
        <f t="shared" si="5"/>
        <v>19.816513761467888</v>
      </c>
      <c r="I36" s="158">
        <f t="shared" si="5"/>
        <v>15.853211009174313</v>
      </c>
      <c r="J36" s="166">
        <f t="shared" si="3"/>
        <v>2.6135999999999999</v>
      </c>
      <c r="K36" s="166">
        <f t="shared" si="3"/>
        <v>1.5336000000000001</v>
      </c>
      <c r="L36" s="166">
        <f t="shared" si="3"/>
        <v>1.08</v>
      </c>
      <c r="M36" s="166">
        <f t="shared" si="3"/>
        <v>0.86399999999999999</v>
      </c>
      <c r="N36" s="167">
        <v>92</v>
      </c>
      <c r="O36" s="167">
        <f>Table7[[#This Row],[Ah Rating]]/10</f>
        <v>9.1999999999999993</v>
      </c>
      <c r="P36" s="168">
        <v>20</v>
      </c>
    </row>
    <row r="37" spans="1:16">
      <c r="A37" s="163" t="s">
        <v>2109</v>
      </c>
      <c r="B37" s="164">
        <v>194</v>
      </c>
      <c r="C37" s="164">
        <v>112</v>
      </c>
      <c r="D37" s="164">
        <v>81.900000000000006</v>
      </c>
      <c r="E37" s="165">
        <v>65.599999999999994</v>
      </c>
      <c r="F37" s="158">
        <f t="shared" si="6"/>
        <v>76.888073394495422</v>
      </c>
      <c r="G37" s="158">
        <f t="shared" si="5"/>
        <v>44.388990825688076</v>
      </c>
      <c r="H37" s="158">
        <f t="shared" si="5"/>
        <v>32.459449541284407</v>
      </c>
      <c r="I37" s="158">
        <f t="shared" si="5"/>
        <v>25.999266055045869</v>
      </c>
      <c r="J37" s="166">
        <f t="shared" ref="J37:M42" si="7">(F37*54.5)/1000</f>
        <v>4.1904000000000003</v>
      </c>
      <c r="K37" s="166">
        <f t="shared" si="7"/>
        <v>2.4192000000000005</v>
      </c>
      <c r="L37" s="166">
        <f t="shared" si="7"/>
        <v>1.7690400000000002</v>
      </c>
      <c r="M37" s="166">
        <f t="shared" si="7"/>
        <v>1.4169599999999998</v>
      </c>
      <c r="N37" s="167">
        <v>160</v>
      </c>
      <c r="O37" s="169">
        <f>Table7[[#This Row],[Ah Rating]]/10</f>
        <v>16</v>
      </c>
      <c r="P37" s="170">
        <v>20</v>
      </c>
    </row>
    <row r="38" spans="1:16">
      <c r="A38" s="163" t="s">
        <v>2110</v>
      </c>
      <c r="B38" s="164">
        <v>890</v>
      </c>
      <c r="C38" s="164">
        <v>566</v>
      </c>
      <c r="D38" s="164">
        <v>426</v>
      </c>
      <c r="E38" s="165">
        <v>343</v>
      </c>
      <c r="F38" s="158">
        <f t="shared" si="6"/>
        <v>352.73394495412845</v>
      </c>
      <c r="G38" s="158">
        <f t="shared" si="5"/>
        <v>224.32293577981653</v>
      </c>
      <c r="H38" s="158">
        <f t="shared" si="5"/>
        <v>168.83669724770641</v>
      </c>
      <c r="I38" s="158">
        <f t="shared" si="5"/>
        <v>135.94128440366973</v>
      </c>
      <c r="J38" s="166">
        <f t="shared" si="7"/>
        <v>19.224</v>
      </c>
      <c r="K38" s="166">
        <f t="shared" si="7"/>
        <v>12.2256</v>
      </c>
      <c r="L38" s="166">
        <f t="shared" si="7"/>
        <v>9.2015999999999991</v>
      </c>
      <c r="M38" s="166">
        <f t="shared" si="7"/>
        <v>7.4088000000000003</v>
      </c>
      <c r="N38" s="167">
        <v>800</v>
      </c>
      <c r="O38" s="169">
        <f>Table7[[#This Row],[Ah Rating]]/10</f>
        <v>80</v>
      </c>
      <c r="P38" s="170">
        <v>20</v>
      </c>
    </row>
    <row r="39" spans="1:16">
      <c r="A39" s="163" t="s">
        <v>1643</v>
      </c>
      <c r="B39" s="164">
        <v>1112</v>
      </c>
      <c r="C39" s="164">
        <v>707</v>
      </c>
      <c r="D39" s="164">
        <v>532</v>
      </c>
      <c r="E39" s="165">
        <v>429</v>
      </c>
      <c r="F39" s="158">
        <f t="shared" si="6"/>
        <v>440.71926605504586</v>
      </c>
      <c r="G39" s="158">
        <f t="shared" si="5"/>
        <v>280.20550458715599</v>
      </c>
      <c r="H39" s="158">
        <f t="shared" si="5"/>
        <v>210.84770642201835</v>
      </c>
      <c r="I39" s="158">
        <f t="shared" si="5"/>
        <v>170.02568807339452</v>
      </c>
      <c r="J39" s="166">
        <f t="shared" si="7"/>
        <v>24.019200000000001</v>
      </c>
      <c r="K39" s="166">
        <f t="shared" si="7"/>
        <v>15.2712</v>
      </c>
      <c r="L39" s="166">
        <f t="shared" si="7"/>
        <v>11.491200000000001</v>
      </c>
      <c r="M39" s="166">
        <f t="shared" si="7"/>
        <v>9.2664000000000009</v>
      </c>
      <c r="N39" s="167">
        <v>1000</v>
      </c>
      <c r="O39" s="167">
        <f>Table7[[#This Row],[Ah Rating]]/10</f>
        <v>100</v>
      </c>
      <c r="P39" s="171">
        <v>20</v>
      </c>
    </row>
    <row r="40" spans="1:16">
      <c r="A40" s="163" t="s">
        <v>1649</v>
      </c>
      <c r="B40" s="164">
        <v>1372</v>
      </c>
      <c r="C40" s="164">
        <v>930</v>
      </c>
      <c r="D40" s="164">
        <v>708</v>
      </c>
      <c r="E40" s="165">
        <v>579</v>
      </c>
      <c r="F40" s="166">
        <f t="shared" si="6"/>
        <v>543.76513761467891</v>
      </c>
      <c r="G40" s="166">
        <f t="shared" si="5"/>
        <v>368.58715596330279</v>
      </c>
      <c r="H40" s="166">
        <f t="shared" si="5"/>
        <v>280.60183486238537</v>
      </c>
      <c r="I40" s="166">
        <f t="shared" si="5"/>
        <v>229.47522935779818</v>
      </c>
      <c r="J40" s="166">
        <f t="shared" si="7"/>
        <v>29.635200000000001</v>
      </c>
      <c r="K40" s="166">
        <f t="shared" si="7"/>
        <v>20.088000000000005</v>
      </c>
      <c r="L40" s="166">
        <f t="shared" si="7"/>
        <v>15.292800000000003</v>
      </c>
      <c r="M40" s="166">
        <f t="shared" si="7"/>
        <v>12.506400000000001</v>
      </c>
      <c r="N40" s="167">
        <v>1500</v>
      </c>
      <c r="O40" s="167">
        <f>Table7[[#This Row],[Ah Rating]]/10</f>
        <v>150</v>
      </c>
      <c r="P40" s="171">
        <v>20</v>
      </c>
    </row>
    <row r="41" spans="1:16">
      <c r="A41" s="163" t="s">
        <v>1921</v>
      </c>
      <c r="B41" s="164">
        <v>1830</v>
      </c>
      <c r="C41" s="164">
        <v>1239</v>
      </c>
      <c r="D41" s="164">
        <v>944</v>
      </c>
      <c r="E41" s="165">
        <v>773</v>
      </c>
      <c r="F41" s="166">
        <f t="shared" si="6"/>
        <v>725.28440366972484</v>
      </c>
      <c r="G41" s="166">
        <f t="shared" si="5"/>
        <v>491.05321100917433</v>
      </c>
      <c r="H41" s="166">
        <f t="shared" si="5"/>
        <v>374.13577981651378</v>
      </c>
      <c r="I41" s="166">
        <f t="shared" si="5"/>
        <v>306.36330275229358</v>
      </c>
      <c r="J41" s="166">
        <f t="shared" si="7"/>
        <v>39.528000000000006</v>
      </c>
      <c r="K41" s="166">
        <f t="shared" si="7"/>
        <v>26.762400000000003</v>
      </c>
      <c r="L41" s="166">
        <f t="shared" si="7"/>
        <v>20.390400000000003</v>
      </c>
      <c r="M41" s="166">
        <f t="shared" si="7"/>
        <v>16.6968</v>
      </c>
      <c r="N41" s="167">
        <v>2000</v>
      </c>
      <c r="O41" s="167">
        <f>Table7[[#This Row],[Ah Rating]]/10</f>
        <v>200</v>
      </c>
      <c r="P41" s="171">
        <v>20</v>
      </c>
    </row>
    <row r="42" spans="1:16">
      <c r="A42" s="163" t="s">
        <v>2111</v>
      </c>
      <c r="B42" s="164">
        <v>1183</v>
      </c>
      <c r="C42" s="164">
        <v>721</v>
      </c>
      <c r="D42" s="164">
        <v>526</v>
      </c>
      <c r="E42" s="165">
        <v>418</v>
      </c>
      <c r="F42" s="166">
        <f t="shared" si="6"/>
        <v>468.85871559633028</v>
      </c>
      <c r="G42" s="166">
        <f t="shared" si="5"/>
        <v>285.75412844036697</v>
      </c>
      <c r="H42" s="166">
        <f t="shared" si="5"/>
        <v>208.46972477064222</v>
      </c>
      <c r="I42" s="166">
        <f t="shared" si="5"/>
        <v>165.66605504587159</v>
      </c>
      <c r="J42" s="166">
        <f t="shared" si="7"/>
        <v>25.552799999999998</v>
      </c>
      <c r="K42" s="166">
        <f t="shared" si="7"/>
        <v>15.573600000000001</v>
      </c>
      <c r="L42" s="166">
        <f t="shared" si="7"/>
        <v>11.361600000000001</v>
      </c>
      <c r="M42" s="166">
        <f t="shared" si="7"/>
        <v>9.0288000000000004</v>
      </c>
      <c r="N42" s="167">
        <v>1000</v>
      </c>
      <c r="O42" s="167">
        <f>Table7[[#This Row],[Ah Rating]]/10</f>
        <v>100</v>
      </c>
      <c r="P42" s="171">
        <v>20</v>
      </c>
    </row>
    <row r="43" spans="1:16">
      <c r="A43" s="163" t="s">
        <v>1859</v>
      </c>
      <c r="B43" s="164">
        <v>1602</v>
      </c>
      <c r="C43" s="164">
        <v>1009</v>
      </c>
      <c r="D43" s="164">
        <v>736</v>
      </c>
      <c r="E43" s="165">
        <v>585</v>
      </c>
      <c r="F43" s="166">
        <f t="shared" si="6"/>
        <v>634.9211009174312</v>
      </c>
      <c r="G43" s="166">
        <f t="shared" si="5"/>
        <v>399.89724770642204</v>
      </c>
      <c r="H43" s="166">
        <f t="shared" si="5"/>
        <v>291.69908256880734</v>
      </c>
      <c r="I43" s="166">
        <f t="shared" si="5"/>
        <v>231.85321100917429</v>
      </c>
      <c r="J43" s="166">
        <f>(F43*54.5)/1000</f>
        <v>34.603199999999994</v>
      </c>
      <c r="K43" s="166">
        <f>(G43*54.5)/1000</f>
        <v>21.794400000000003</v>
      </c>
      <c r="L43" s="166">
        <f>(H43*54.5)/1000</f>
        <v>15.897600000000001</v>
      </c>
      <c r="M43" s="166">
        <f>(I43*54.5)/1000</f>
        <v>12.635999999999997</v>
      </c>
      <c r="N43" s="167">
        <v>14000</v>
      </c>
      <c r="O43" s="167">
        <f>Table7[[#This Row],[Ah Rating]]/10</f>
        <v>1400</v>
      </c>
      <c r="P43" s="171">
        <v>25</v>
      </c>
    </row>
    <row r="44" spans="1:16">
      <c r="A44" s="161" t="s">
        <v>1668</v>
      </c>
      <c r="B44" s="157">
        <v>2022.5</v>
      </c>
      <c r="C44" s="157">
        <v>1268.4000000000001</v>
      </c>
      <c r="D44" s="157">
        <v>933</v>
      </c>
      <c r="E44" s="162">
        <v>741.8</v>
      </c>
      <c r="F44" s="158">
        <f t="shared" si="6"/>
        <v>801.57798165137615</v>
      </c>
      <c r="G44" s="158">
        <f t="shared" si="5"/>
        <v>502.70532110091744</v>
      </c>
      <c r="H44" s="158">
        <f t="shared" si="5"/>
        <v>369.77614678899084</v>
      </c>
      <c r="I44" s="158">
        <f t="shared" si="5"/>
        <v>293.99779816513757</v>
      </c>
      <c r="J44" s="158">
        <f t="shared" ref="J44:M52" si="8">(F44*54.5)/1000</f>
        <v>43.686</v>
      </c>
      <c r="K44" s="158">
        <f t="shared" si="8"/>
        <v>27.397440000000003</v>
      </c>
      <c r="L44" s="158">
        <f t="shared" si="8"/>
        <v>20.152799999999999</v>
      </c>
      <c r="M44" s="158">
        <f t="shared" si="8"/>
        <v>16.022879999999997</v>
      </c>
      <c r="N44" s="159">
        <v>2000</v>
      </c>
      <c r="O44" s="159">
        <f>Table7[[#This Row],[Ah Rating]]/10</f>
        <v>200</v>
      </c>
      <c r="P44" s="172"/>
    </row>
    <row r="45" spans="1:16">
      <c r="A45" s="161" t="s">
        <v>2112</v>
      </c>
      <c r="B45" s="157">
        <v>1854</v>
      </c>
      <c r="C45" s="157">
        <v>1173</v>
      </c>
      <c r="D45" s="157">
        <v>853</v>
      </c>
      <c r="E45" s="162">
        <v>671</v>
      </c>
      <c r="F45" s="158">
        <f t="shared" si="6"/>
        <v>734.79633027522937</v>
      </c>
      <c r="G45" s="158">
        <f t="shared" si="5"/>
        <v>464.89541284403668</v>
      </c>
      <c r="H45" s="158">
        <f t="shared" si="5"/>
        <v>338.06972477064221</v>
      </c>
      <c r="I45" s="158">
        <f t="shared" si="5"/>
        <v>265.93761467889908</v>
      </c>
      <c r="J45" s="158">
        <f t="shared" si="8"/>
        <v>40.046399999999998</v>
      </c>
      <c r="K45" s="158">
        <f t="shared" si="8"/>
        <v>25.3368</v>
      </c>
      <c r="L45" s="158">
        <f t="shared" si="8"/>
        <v>18.424799999999998</v>
      </c>
      <c r="M45" s="158">
        <f t="shared" si="8"/>
        <v>14.493600000000001</v>
      </c>
      <c r="N45" s="159">
        <v>1600</v>
      </c>
      <c r="O45" s="159">
        <f>Table7[[#This Row],[Ah Rating]]/10</f>
        <v>160</v>
      </c>
      <c r="P45" s="172"/>
    </row>
    <row r="46" spans="1:16">
      <c r="A46" s="161" t="s">
        <v>1830</v>
      </c>
      <c r="B46" s="157">
        <v>3066.7</v>
      </c>
      <c r="C46" s="157">
        <v>1908.9</v>
      </c>
      <c r="D46" s="157">
        <v>1392.8</v>
      </c>
      <c r="E46" s="162">
        <v>1106.5999999999999</v>
      </c>
      <c r="F46" s="158">
        <f t="shared" si="6"/>
        <v>1215.4260550458714</v>
      </c>
      <c r="G46" s="158">
        <f t="shared" si="5"/>
        <v>756.55486238532126</v>
      </c>
      <c r="H46" s="158">
        <f t="shared" si="5"/>
        <v>552.0088073394495</v>
      </c>
      <c r="I46" s="158">
        <f t="shared" si="5"/>
        <v>438.57908256880734</v>
      </c>
      <c r="J46" s="158">
        <f t="shared" si="8"/>
        <v>66.240719999999982</v>
      </c>
      <c r="K46" s="158">
        <f t="shared" si="8"/>
        <v>41.232240000000004</v>
      </c>
      <c r="L46" s="158">
        <f t="shared" si="8"/>
        <v>30.084479999999999</v>
      </c>
      <c r="M46" s="158">
        <f t="shared" si="8"/>
        <v>23.902560000000001</v>
      </c>
      <c r="N46" s="159">
        <v>3000</v>
      </c>
      <c r="O46" s="159">
        <f>Table7[[#This Row],[Ah Rating]]/10</f>
        <v>300</v>
      </c>
      <c r="P46" s="172"/>
    </row>
    <row r="47" spans="1:16">
      <c r="A47" s="161" t="s">
        <v>2113</v>
      </c>
      <c r="B47" s="157">
        <v>1349</v>
      </c>
      <c r="C47" s="157">
        <v>865</v>
      </c>
      <c r="D47" s="157">
        <v>631</v>
      </c>
      <c r="E47" s="162">
        <v>502</v>
      </c>
      <c r="F47" s="158">
        <f t="shared" si="6"/>
        <v>534.64954128440365</v>
      </c>
      <c r="G47" s="158">
        <f t="shared" si="5"/>
        <v>342.82568807339453</v>
      </c>
      <c r="H47" s="158">
        <f t="shared" si="5"/>
        <v>250.08440366972476</v>
      </c>
      <c r="I47" s="158">
        <f t="shared" si="5"/>
        <v>198.95779816513763</v>
      </c>
      <c r="J47" s="158">
        <f t="shared" si="8"/>
        <v>29.138399999999997</v>
      </c>
      <c r="K47" s="158">
        <f t="shared" si="8"/>
        <v>18.684000000000005</v>
      </c>
      <c r="L47" s="158">
        <f t="shared" si="8"/>
        <v>13.6296</v>
      </c>
      <c r="M47" s="158">
        <f t="shared" si="8"/>
        <v>10.843200000000001</v>
      </c>
      <c r="N47" s="159">
        <v>1200</v>
      </c>
      <c r="O47" s="159">
        <f>Table7[[#This Row],[Ah Rating]]/10</f>
        <v>120</v>
      </c>
      <c r="P47" s="172"/>
    </row>
    <row r="48" spans="1:16">
      <c r="A48" s="161" t="s">
        <v>1889</v>
      </c>
      <c r="B48" s="157">
        <v>776</v>
      </c>
      <c r="C48" s="157">
        <v>472</v>
      </c>
      <c r="D48" s="157">
        <v>345</v>
      </c>
      <c r="E48" s="162">
        <v>274</v>
      </c>
      <c r="F48" s="158">
        <f t="shared" si="6"/>
        <v>307.55229357798169</v>
      </c>
      <c r="G48" s="158">
        <f t="shared" si="5"/>
        <v>187.06788990825689</v>
      </c>
      <c r="H48" s="158">
        <f t="shared" si="5"/>
        <v>136.73394495412845</v>
      </c>
      <c r="I48" s="158">
        <f t="shared" si="5"/>
        <v>108.59449541284404</v>
      </c>
      <c r="J48" s="158">
        <f t="shared" si="8"/>
        <v>16.761600000000001</v>
      </c>
      <c r="K48" s="158">
        <f t="shared" si="8"/>
        <v>10.195200000000002</v>
      </c>
      <c r="L48" s="158">
        <f t="shared" si="8"/>
        <v>7.452</v>
      </c>
      <c r="M48" s="158">
        <f t="shared" si="8"/>
        <v>5.9184000000000001</v>
      </c>
      <c r="N48" s="159">
        <v>652</v>
      </c>
      <c r="O48" s="159">
        <f>Table7[[#This Row],[Ah Rating]]/10</f>
        <v>65.2</v>
      </c>
      <c r="P48" s="172"/>
    </row>
    <row r="49" spans="1:16">
      <c r="A49" s="161" t="s">
        <v>2114</v>
      </c>
      <c r="B49" s="157">
        <v>1899</v>
      </c>
      <c r="C49" s="157">
        <v>1200</v>
      </c>
      <c r="D49" s="157">
        <v>893</v>
      </c>
      <c r="E49" s="162">
        <v>720</v>
      </c>
      <c r="F49" s="158">
        <f t="shared" si="6"/>
        <v>752.63119266055048</v>
      </c>
      <c r="G49" s="158">
        <f t="shared" ref="G49:I52" si="9">((C49*24)/54.5)*0.9</f>
        <v>475.59633027522932</v>
      </c>
      <c r="H49" s="158">
        <f t="shared" si="9"/>
        <v>353.9229357798165</v>
      </c>
      <c r="I49" s="158">
        <f t="shared" si="9"/>
        <v>285.35779816513758</v>
      </c>
      <c r="J49" s="158">
        <f t="shared" si="8"/>
        <v>41.0184</v>
      </c>
      <c r="K49" s="158">
        <f t="shared" si="8"/>
        <v>25.919999999999995</v>
      </c>
      <c r="L49" s="158">
        <f t="shared" si="8"/>
        <v>19.288799999999998</v>
      </c>
      <c r="M49" s="158">
        <f t="shared" si="8"/>
        <v>15.551999999999998</v>
      </c>
      <c r="N49" s="159">
        <v>1680</v>
      </c>
      <c r="O49" s="159">
        <f>Table7[[#This Row],[Ah Rating]]/10</f>
        <v>168</v>
      </c>
      <c r="P49" s="172"/>
    </row>
    <row r="50" spans="1:16">
      <c r="A50" s="161" t="s">
        <v>1590</v>
      </c>
      <c r="B50" s="157">
        <v>591</v>
      </c>
      <c r="C50" s="157">
        <v>355</v>
      </c>
      <c r="D50" s="157">
        <v>254</v>
      </c>
      <c r="E50" s="162">
        <v>203</v>
      </c>
      <c r="F50" s="158">
        <f t="shared" si="6"/>
        <v>234.23119266055048</v>
      </c>
      <c r="G50" s="158">
        <f t="shared" si="9"/>
        <v>140.69724770642202</v>
      </c>
      <c r="H50" s="158">
        <f t="shared" si="9"/>
        <v>100.66788990825688</v>
      </c>
      <c r="I50" s="158">
        <f t="shared" si="9"/>
        <v>80.455045871559633</v>
      </c>
      <c r="J50" s="158">
        <f t="shared" si="8"/>
        <v>12.765600000000001</v>
      </c>
      <c r="K50" s="158">
        <f t="shared" si="8"/>
        <v>7.6680000000000001</v>
      </c>
      <c r="L50" s="158">
        <f t="shared" si="8"/>
        <v>5.4863999999999997</v>
      </c>
      <c r="M50" s="158">
        <f t="shared" si="8"/>
        <v>4.3848000000000003</v>
      </c>
      <c r="N50" s="159">
        <v>489</v>
      </c>
      <c r="O50" s="159">
        <f>Table7[[#This Row],[Ah Rating]]/10</f>
        <v>48.9</v>
      </c>
      <c r="P50" s="172"/>
    </row>
    <row r="51" spans="1:16">
      <c r="A51" s="161" t="s">
        <v>2115</v>
      </c>
      <c r="B51" s="157">
        <v>197</v>
      </c>
      <c r="C51" s="157">
        <v>118</v>
      </c>
      <c r="D51" s="157">
        <v>84.8</v>
      </c>
      <c r="E51" s="162">
        <v>67.5</v>
      </c>
      <c r="F51" s="158">
        <f t="shared" si="6"/>
        <v>78.077064220183487</v>
      </c>
      <c r="G51" s="158">
        <f t="shared" si="9"/>
        <v>46.766972477064222</v>
      </c>
      <c r="H51" s="158">
        <f t="shared" si="9"/>
        <v>33.608807339449541</v>
      </c>
      <c r="I51" s="158">
        <f t="shared" si="9"/>
        <v>26.752293577981654</v>
      </c>
      <c r="J51" s="158">
        <f t="shared" si="8"/>
        <v>4.2551999999999994</v>
      </c>
      <c r="K51" s="158">
        <f t="shared" si="8"/>
        <v>2.5488000000000004</v>
      </c>
      <c r="L51" s="158">
        <f t="shared" si="8"/>
        <v>1.83168</v>
      </c>
      <c r="M51" s="158">
        <f t="shared" si="8"/>
        <v>1.4580000000000002</v>
      </c>
      <c r="N51" s="159">
        <v>163</v>
      </c>
      <c r="O51" s="159">
        <f>Table7[[#This Row],[Ah Rating]]/10</f>
        <v>16.3</v>
      </c>
      <c r="P51" s="172"/>
    </row>
    <row r="52" spans="1:16">
      <c r="A52" s="161" t="s">
        <v>2116</v>
      </c>
      <c r="B52" s="157">
        <v>394</v>
      </c>
      <c r="C52" s="157">
        <v>237</v>
      </c>
      <c r="D52" s="157">
        <v>170</v>
      </c>
      <c r="E52" s="162">
        <v>135</v>
      </c>
      <c r="F52" s="158">
        <f t="shared" si="6"/>
        <v>156.15412844036697</v>
      </c>
      <c r="G52" s="158">
        <f t="shared" si="9"/>
        <v>93.930275229357804</v>
      </c>
      <c r="H52" s="158">
        <f t="shared" si="9"/>
        <v>67.376146788990823</v>
      </c>
      <c r="I52" s="158">
        <f t="shared" si="9"/>
        <v>53.504587155963307</v>
      </c>
      <c r="J52" s="158">
        <f t="shared" si="8"/>
        <v>8.5103999999999989</v>
      </c>
      <c r="K52" s="158">
        <f t="shared" si="8"/>
        <v>5.1192000000000011</v>
      </c>
      <c r="L52" s="158">
        <f t="shared" si="8"/>
        <v>3.6720000000000002</v>
      </c>
      <c r="M52" s="158">
        <f t="shared" si="8"/>
        <v>2.9160000000000004</v>
      </c>
      <c r="N52" s="159">
        <v>260</v>
      </c>
      <c r="O52" s="159">
        <f>Table7[[#This Row],[Ah Rating]]/10</f>
        <v>26</v>
      </c>
      <c r="P52" s="172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P32" sqref="P32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3" customWidth="1"/>
    <col min="2" max="5" width="9.28515625" style="146" customWidth="1"/>
    <col min="6" max="6" width="9.5703125" style="146" customWidth="1"/>
    <col min="7" max="9" width="9.7109375" style="146" customWidth="1"/>
    <col min="10" max="10" width="9.28515625" style="146" customWidth="1"/>
    <col min="11" max="13" width="9.7109375" style="146" customWidth="1"/>
    <col min="14" max="15" width="13.7109375" style="146" customWidth="1"/>
    <col min="16" max="16" width="9.28515625" style="146" customWidth="1"/>
    <col min="17" max="16384" width="9.28515625" style="146"/>
  </cols>
  <sheetData>
    <row r="1" spans="1:16">
      <c r="A1" s="145">
        <v>1</v>
      </c>
      <c r="B1" s="145">
        <v>2</v>
      </c>
      <c r="C1" s="145">
        <v>3</v>
      </c>
      <c r="D1" s="145">
        <v>4</v>
      </c>
      <c r="E1" s="145">
        <v>5</v>
      </c>
      <c r="F1" s="145">
        <v>6</v>
      </c>
      <c r="G1" s="145">
        <v>7</v>
      </c>
      <c r="H1" s="145">
        <v>8</v>
      </c>
      <c r="I1" s="145">
        <v>9</v>
      </c>
      <c r="J1" s="145">
        <v>10</v>
      </c>
      <c r="K1" s="145">
        <v>11</v>
      </c>
      <c r="L1" s="145">
        <v>12</v>
      </c>
      <c r="M1" s="145">
        <v>13</v>
      </c>
      <c r="N1" s="145">
        <v>14</v>
      </c>
      <c r="O1" s="145">
        <v>15</v>
      </c>
      <c r="P1" s="145">
        <v>16</v>
      </c>
    </row>
    <row r="2" spans="1:16" ht="15.6">
      <c r="A2" s="147" t="s">
        <v>2082</v>
      </c>
      <c r="B2" s="385" t="s">
        <v>2083</v>
      </c>
      <c r="C2" s="386"/>
      <c r="D2" s="386"/>
      <c r="E2" s="387"/>
      <c r="F2" s="388" t="s">
        <v>2117</v>
      </c>
      <c r="G2" s="389"/>
      <c r="H2" s="389"/>
      <c r="I2" s="390"/>
      <c r="J2" s="391" t="s">
        <v>2118</v>
      </c>
      <c r="K2" s="392"/>
      <c r="L2" s="392"/>
      <c r="M2" s="393"/>
      <c r="N2" s="148"/>
      <c r="O2" s="148"/>
    </row>
    <row r="3" spans="1:16" s="155" customFormat="1" ht="15.6">
      <c r="A3" s="149" t="s">
        <v>2086</v>
      </c>
      <c r="B3" s="150" t="s">
        <v>2015</v>
      </c>
      <c r="C3" s="150" t="s">
        <v>2016</v>
      </c>
      <c r="D3" s="150" t="s">
        <v>2017</v>
      </c>
      <c r="E3" s="150" t="s">
        <v>2018</v>
      </c>
      <c r="F3" s="151" t="s">
        <v>2087</v>
      </c>
      <c r="G3" s="151" t="s">
        <v>2088</v>
      </c>
      <c r="H3" s="151" t="s">
        <v>2089</v>
      </c>
      <c r="I3" s="151" t="s">
        <v>2090</v>
      </c>
      <c r="J3" s="152" t="s">
        <v>2091</v>
      </c>
      <c r="K3" s="152" t="s">
        <v>2092</v>
      </c>
      <c r="L3" s="152" t="s">
        <v>2093</v>
      </c>
      <c r="M3" s="152" t="s">
        <v>2094</v>
      </c>
      <c r="N3" s="153" t="s">
        <v>2095</v>
      </c>
      <c r="O3" s="153" t="s">
        <v>2096</v>
      </c>
      <c r="P3" s="154" t="s">
        <v>2097</v>
      </c>
    </row>
    <row r="4" spans="1:16">
      <c r="A4" s="156" t="s">
        <v>2098</v>
      </c>
      <c r="B4" s="157">
        <v>208</v>
      </c>
      <c r="C4" s="157">
        <v>134</v>
      </c>
      <c r="D4" s="157">
        <v>100</v>
      </c>
      <c r="E4" s="157">
        <v>82</v>
      </c>
      <c r="F4" s="158">
        <f t="shared" ref="F4:I19" si="0">((B4*24)/54.5)*0.8</f>
        <v>73.27706422018349</v>
      </c>
      <c r="G4" s="158">
        <f t="shared" si="0"/>
        <v>47.207339449541287</v>
      </c>
      <c r="H4" s="158">
        <f t="shared" si="0"/>
        <v>35.22935779816514</v>
      </c>
      <c r="I4" s="158">
        <f t="shared" si="0"/>
        <v>28.888073394495411</v>
      </c>
      <c r="J4" s="158">
        <f>(F4*54.5)/1000</f>
        <v>3.9936000000000003</v>
      </c>
      <c r="K4" s="158">
        <f t="shared" ref="K4:M19" si="1">(G4*54.5)/1000</f>
        <v>2.5728</v>
      </c>
      <c r="L4" s="158">
        <f t="shared" si="1"/>
        <v>1.92</v>
      </c>
      <c r="M4" s="158">
        <f t="shared" si="1"/>
        <v>1.5743999999999998</v>
      </c>
      <c r="N4" s="159">
        <v>200</v>
      </c>
      <c r="O4" s="159" t="e">
        <f>[3]!Table7[[#This Row],[Ah Rating]]/10</f>
        <v>#REF!</v>
      </c>
      <c r="P4" s="160" t="e">
        <f>[3]!Table7[[#This Row],[Temp]]</f>
        <v>#REF!</v>
      </c>
    </row>
    <row r="5" spans="1:16">
      <c r="A5" s="156" t="s">
        <v>1657</v>
      </c>
      <c r="B5" s="157">
        <v>312</v>
      </c>
      <c r="C5" s="157">
        <v>201</v>
      </c>
      <c r="D5" s="157">
        <v>151</v>
      </c>
      <c r="E5" s="157">
        <v>123</v>
      </c>
      <c r="F5" s="158">
        <f t="shared" si="0"/>
        <v>109.91559633027524</v>
      </c>
      <c r="G5" s="158">
        <f t="shared" si="0"/>
        <v>70.811009174311934</v>
      </c>
      <c r="H5" s="158">
        <f t="shared" si="0"/>
        <v>53.196330275229357</v>
      </c>
      <c r="I5" s="158">
        <f t="shared" si="0"/>
        <v>43.332110091743118</v>
      </c>
      <c r="J5" s="158">
        <f t="shared" ref="J5:M36" si="2">(F5*54.5)/1000</f>
        <v>5.9904000000000002</v>
      </c>
      <c r="K5" s="158">
        <f t="shared" si="1"/>
        <v>3.8592000000000004</v>
      </c>
      <c r="L5" s="158">
        <f t="shared" si="1"/>
        <v>2.8992</v>
      </c>
      <c r="M5" s="158">
        <f t="shared" si="1"/>
        <v>2.3615999999999997</v>
      </c>
      <c r="N5" s="159">
        <v>300</v>
      </c>
      <c r="O5" s="159" t="e">
        <f>[3]!Table7[[#This Row],[Ah Rating]]/10</f>
        <v>#REF!</v>
      </c>
      <c r="P5" s="160" t="e">
        <f>[3]!Table7[[#This Row],[Temp]]</f>
        <v>#REF!</v>
      </c>
    </row>
    <row r="6" spans="1:16">
      <c r="A6" s="156" t="s">
        <v>2099</v>
      </c>
      <c r="B6" s="157">
        <v>417</v>
      </c>
      <c r="C6" s="157">
        <v>268</v>
      </c>
      <c r="D6" s="157">
        <v>201</v>
      </c>
      <c r="E6" s="157">
        <v>164</v>
      </c>
      <c r="F6" s="158">
        <f t="shared" si="0"/>
        <v>146.90642201834862</v>
      </c>
      <c r="G6" s="158">
        <f t="shared" si="0"/>
        <v>94.414678899082574</v>
      </c>
      <c r="H6" s="158">
        <f t="shared" si="0"/>
        <v>70.811009174311934</v>
      </c>
      <c r="I6" s="158">
        <f t="shared" si="0"/>
        <v>57.776146788990822</v>
      </c>
      <c r="J6" s="158">
        <f t="shared" si="2"/>
        <v>8.0063999999999993</v>
      </c>
      <c r="K6" s="158">
        <f t="shared" si="1"/>
        <v>5.1456</v>
      </c>
      <c r="L6" s="158">
        <f t="shared" si="1"/>
        <v>3.8592000000000004</v>
      </c>
      <c r="M6" s="158">
        <f t="shared" si="1"/>
        <v>3.1487999999999996</v>
      </c>
      <c r="N6" s="159">
        <v>400</v>
      </c>
      <c r="O6" s="159" t="e">
        <f>[3]!Table7[[#This Row],[Ah Rating]]/10</f>
        <v>#REF!</v>
      </c>
      <c r="P6" s="160" t="e">
        <f>[3]!Table7[[#This Row],[Temp]]</f>
        <v>#REF!</v>
      </c>
    </row>
    <row r="7" spans="1:16">
      <c r="A7" s="156" t="s">
        <v>1723</v>
      </c>
      <c r="B7" s="157">
        <v>487</v>
      </c>
      <c r="C7" s="157">
        <v>327</v>
      </c>
      <c r="D7" s="157">
        <v>248</v>
      </c>
      <c r="E7" s="157">
        <v>204</v>
      </c>
      <c r="F7" s="158">
        <f t="shared" si="0"/>
        <v>171.56697247706424</v>
      </c>
      <c r="G7" s="158">
        <f t="shared" si="0"/>
        <v>115.2</v>
      </c>
      <c r="H7" s="158">
        <f t="shared" si="0"/>
        <v>87.368807339449546</v>
      </c>
      <c r="I7" s="158">
        <f t="shared" si="0"/>
        <v>71.867889908256885</v>
      </c>
      <c r="J7" s="158">
        <f t="shared" si="2"/>
        <v>9.3504000000000023</v>
      </c>
      <c r="K7" s="158">
        <f t="shared" si="1"/>
        <v>6.2784000000000004</v>
      </c>
      <c r="L7" s="158">
        <f t="shared" si="1"/>
        <v>4.7616000000000005</v>
      </c>
      <c r="M7" s="158">
        <f t="shared" si="1"/>
        <v>3.9168000000000003</v>
      </c>
      <c r="N7" s="159">
        <v>510</v>
      </c>
      <c r="O7" s="159" t="e">
        <f>[3]!Table7[[#This Row],[Ah Rating]]/10</f>
        <v>#REF!</v>
      </c>
      <c r="P7" s="160" t="e">
        <f>[3]!Table7[[#This Row],[Temp]]</f>
        <v>#REF!</v>
      </c>
    </row>
    <row r="8" spans="1:16">
      <c r="A8" s="156" t="s">
        <v>1626</v>
      </c>
      <c r="B8" s="157">
        <v>568</v>
      </c>
      <c r="C8" s="157">
        <v>381</v>
      </c>
      <c r="D8" s="157">
        <v>290</v>
      </c>
      <c r="E8" s="157">
        <v>238</v>
      </c>
      <c r="F8" s="158">
        <f t="shared" si="0"/>
        <v>200.10275229357799</v>
      </c>
      <c r="G8" s="158">
        <f t="shared" si="0"/>
        <v>134.22385321100919</v>
      </c>
      <c r="H8" s="158">
        <f t="shared" si="0"/>
        <v>102.1651376146789</v>
      </c>
      <c r="I8" s="158">
        <f t="shared" si="0"/>
        <v>83.845871559633039</v>
      </c>
      <c r="J8" s="158">
        <f t="shared" si="2"/>
        <v>10.9056</v>
      </c>
      <c r="K8" s="158">
        <f t="shared" si="1"/>
        <v>7.3152000000000008</v>
      </c>
      <c r="L8" s="158">
        <f t="shared" si="1"/>
        <v>5.5679999999999996</v>
      </c>
      <c r="M8" s="158">
        <f t="shared" si="1"/>
        <v>4.5696000000000003</v>
      </c>
      <c r="N8" s="159">
        <v>595</v>
      </c>
      <c r="O8" s="159" t="e">
        <f>[3]!Table7[[#This Row],[Ah Rating]]/10</f>
        <v>#REF!</v>
      </c>
      <c r="P8" s="160" t="e">
        <f>[3]!Table7[[#This Row],[Temp]]</f>
        <v>#REF!</v>
      </c>
    </row>
    <row r="9" spans="1:16">
      <c r="A9" s="156" t="s">
        <v>1781</v>
      </c>
      <c r="B9" s="157">
        <v>812</v>
      </c>
      <c r="C9" s="157">
        <v>545</v>
      </c>
      <c r="D9" s="157">
        <v>414</v>
      </c>
      <c r="E9" s="157">
        <v>340</v>
      </c>
      <c r="F9" s="158">
        <f t="shared" si="0"/>
        <v>286.06238532110092</v>
      </c>
      <c r="G9" s="158">
        <f t="shared" si="0"/>
        <v>192</v>
      </c>
      <c r="H9" s="158">
        <f t="shared" si="0"/>
        <v>145.84954128440367</v>
      </c>
      <c r="I9" s="158">
        <f t="shared" si="0"/>
        <v>119.77981651376147</v>
      </c>
      <c r="J9" s="158">
        <f t="shared" si="2"/>
        <v>15.590399999999999</v>
      </c>
      <c r="K9" s="158">
        <f t="shared" si="1"/>
        <v>10.464</v>
      </c>
      <c r="L9" s="158">
        <f t="shared" si="1"/>
        <v>7.9488000000000003</v>
      </c>
      <c r="M9" s="158">
        <f t="shared" si="1"/>
        <v>6.5279999999999996</v>
      </c>
      <c r="N9" s="159">
        <v>850</v>
      </c>
      <c r="O9" s="159" t="e">
        <f>[3]!Table7[[#This Row],[Ah Rating]]/10</f>
        <v>#REF!</v>
      </c>
      <c r="P9" s="160" t="e">
        <f>[3]!Table7[[#This Row],[Temp]]</f>
        <v>#REF!</v>
      </c>
    </row>
    <row r="10" spans="1:16">
      <c r="A10" s="156" t="s">
        <v>1599</v>
      </c>
      <c r="B10" s="157">
        <v>974</v>
      </c>
      <c r="C10" s="157">
        <v>654</v>
      </c>
      <c r="D10" s="157">
        <v>496</v>
      </c>
      <c r="E10" s="157">
        <v>408</v>
      </c>
      <c r="F10" s="158">
        <f t="shared" si="0"/>
        <v>343.13394495412848</v>
      </c>
      <c r="G10" s="158">
        <f t="shared" si="0"/>
        <v>230.4</v>
      </c>
      <c r="H10" s="158">
        <f t="shared" si="0"/>
        <v>174.73761467889909</v>
      </c>
      <c r="I10" s="158">
        <f t="shared" si="0"/>
        <v>143.73577981651377</v>
      </c>
      <c r="J10" s="158">
        <f t="shared" si="2"/>
        <v>18.700800000000005</v>
      </c>
      <c r="K10" s="158">
        <f t="shared" si="1"/>
        <v>12.556800000000001</v>
      </c>
      <c r="L10" s="158">
        <f t="shared" si="1"/>
        <v>9.523200000000001</v>
      </c>
      <c r="M10" s="158">
        <f t="shared" si="1"/>
        <v>7.8336000000000006</v>
      </c>
      <c r="N10" s="159">
        <v>1020</v>
      </c>
      <c r="O10" s="159" t="e">
        <f>[3]!Table7[[#This Row],[Ah Rating]]/10</f>
        <v>#REF!</v>
      </c>
      <c r="P10" s="160" t="e">
        <f>[3]!Table7[[#This Row],[Temp]]</f>
        <v>#REF!</v>
      </c>
    </row>
    <row r="11" spans="1:16">
      <c r="A11" s="156" t="s">
        <v>1805</v>
      </c>
      <c r="B11" s="157">
        <v>1055</v>
      </c>
      <c r="C11" s="157">
        <v>708</v>
      </c>
      <c r="D11" s="157">
        <v>538</v>
      </c>
      <c r="E11" s="157">
        <v>442</v>
      </c>
      <c r="F11" s="158">
        <f t="shared" si="0"/>
        <v>371.66972477064223</v>
      </c>
      <c r="G11" s="158">
        <f t="shared" si="0"/>
        <v>249.4238532110092</v>
      </c>
      <c r="H11" s="158">
        <f t="shared" si="0"/>
        <v>189.53394495412846</v>
      </c>
      <c r="I11" s="158">
        <f t="shared" si="0"/>
        <v>155.71376146788992</v>
      </c>
      <c r="J11" s="158">
        <f t="shared" si="2"/>
        <v>20.256</v>
      </c>
      <c r="K11" s="158">
        <f t="shared" si="1"/>
        <v>13.593600000000002</v>
      </c>
      <c r="L11" s="158">
        <f t="shared" si="1"/>
        <v>10.329600000000001</v>
      </c>
      <c r="M11" s="158">
        <f t="shared" si="1"/>
        <v>8.4864000000000015</v>
      </c>
      <c r="N11" s="159">
        <v>1105</v>
      </c>
      <c r="O11" s="159" t="e">
        <f>[3]!Table7[[#This Row],[Ah Rating]]/10</f>
        <v>#REF!</v>
      </c>
      <c r="P11" s="160" t="e">
        <f>[3]!Table7[[#This Row],[Temp]]</f>
        <v>#REF!</v>
      </c>
    </row>
    <row r="12" spans="1:16">
      <c r="A12" s="156" t="s">
        <v>1713</v>
      </c>
      <c r="B12" s="157">
        <v>1299</v>
      </c>
      <c r="C12" s="157">
        <v>871</v>
      </c>
      <c r="D12" s="157">
        <v>662</v>
      </c>
      <c r="E12" s="157">
        <v>544</v>
      </c>
      <c r="F12" s="158">
        <f t="shared" si="0"/>
        <v>457.62935779816519</v>
      </c>
      <c r="G12" s="158">
        <f t="shared" si="0"/>
        <v>306.84770642201835</v>
      </c>
      <c r="H12" s="158">
        <f t="shared" si="0"/>
        <v>233.21834862385322</v>
      </c>
      <c r="I12" s="158">
        <f t="shared" si="0"/>
        <v>191.64770642201836</v>
      </c>
      <c r="J12" s="158">
        <f t="shared" si="2"/>
        <v>24.940800000000003</v>
      </c>
      <c r="K12" s="158">
        <f t="shared" si="1"/>
        <v>16.723200000000002</v>
      </c>
      <c r="L12" s="158">
        <f t="shared" si="1"/>
        <v>12.7104</v>
      </c>
      <c r="M12" s="158">
        <f t="shared" si="1"/>
        <v>10.444800000000001</v>
      </c>
      <c r="N12" s="159">
        <v>1360</v>
      </c>
      <c r="O12" s="159" t="e">
        <f>[3]!Table7[[#This Row],[Ah Rating]]/10</f>
        <v>#REF!</v>
      </c>
      <c r="P12" s="160" t="e">
        <f>[3]!Table7[[#This Row],[Temp]]</f>
        <v>#REF!</v>
      </c>
    </row>
    <row r="13" spans="1:16">
      <c r="A13" s="156" t="s">
        <v>2100</v>
      </c>
      <c r="B13" s="157">
        <v>947</v>
      </c>
      <c r="C13" s="157">
        <v>640</v>
      </c>
      <c r="D13" s="157">
        <v>485</v>
      </c>
      <c r="E13" s="157">
        <v>397</v>
      </c>
      <c r="F13" s="158">
        <f t="shared" si="0"/>
        <v>333.6220183486239</v>
      </c>
      <c r="G13" s="158">
        <f t="shared" si="0"/>
        <v>225.46788990825689</v>
      </c>
      <c r="H13" s="158">
        <f t="shared" si="0"/>
        <v>170.86238532110093</v>
      </c>
      <c r="I13" s="158">
        <f t="shared" si="0"/>
        <v>139.86055045871561</v>
      </c>
      <c r="J13" s="158">
        <f t="shared" si="2"/>
        <v>18.182400000000001</v>
      </c>
      <c r="K13" s="158">
        <f t="shared" si="1"/>
        <v>12.288</v>
      </c>
      <c r="L13" s="158">
        <f t="shared" si="1"/>
        <v>9.3119999999999994</v>
      </c>
      <c r="M13" s="158">
        <f t="shared" si="1"/>
        <v>7.6224000000000007</v>
      </c>
      <c r="N13" s="159">
        <v>1000</v>
      </c>
      <c r="O13" s="159" t="e">
        <f>[3]!Table7[[#This Row],[Ah Rating]]/10</f>
        <v>#REF!</v>
      </c>
      <c r="P13" s="160" t="e">
        <f>[3]!Table7[[#This Row],[Temp]]</f>
        <v>#REF!</v>
      </c>
    </row>
    <row r="14" spans="1:16">
      <c r="A14" s="156" t="s">
        <v>1602</v>
      </c>
      <c r="B14" s="157">
        <v>1136</v>
      </c>
      <c r="C14" s="157">
        <v>768</v>
      </c>
      <c r="D14" s="157">
        <v>582</v>
      </c>
      <c r="E14" s="157">
        <v>476</v>
      </c>
      <c r="F14" s="158">
        <f t="shared" si="0"/>
        <v>400.20550458715599</v>
      </c>
      <c r="G14" s="158">
        <f t="shared" si="0"/>
        <v>270.56146788990827</v>
      </c>
      <c r="H14" s="158">
        <f t="shared" si="0"/>
        <v>205.03486238532111</v>
      </c>
      <c r="I14" s="158">
        <f t="shared" si="0"/>
        <v>167.69174311926608</v>
      </c>
      <c r="J14" s="158">
        <f t="shared" si="2"/>
        <v>21.811199999999999</v>
      </c>
      <c r="K14" s="158">
        <f t="shared" si="1"/>
        <v>14.7456</v>
      </c>
      <c r="L14" s="158">
        <f t="shared" si="1"/>
        <v>11.1744</v>
      </c>
      <c r="M14" s="158">
        <f t="shared" si="1"/>
        <v>9.1392000000000007</v>
      </c>
      <c r="N14" s="159">
        <v>1200</v>
      </c>
      <c r="O14" s="159" t="e">
        <f>[3]!Table7[[#This Row],[Ah Rating]]/10</f>
        <v>#REF!</v>
      </c>
      <c r="P14" s="160" t="e">
        <f>[3]!Table7[[#This Row],[Temp]]</f>
        <v>#REF!</v>
      </c>
    </row>
    <row r="15" spans="1:16">
      <c r="A15" s="156" t="s">
        <v>1605</v>
      </c>
      <c r="B15" s="157">
        <v>1231</v>
      </c>
      <c r="C15" s="157">
        <v>832</v>
      </c>
      <c r="D15" s="157">
        <v>631</v>
      </c>
      <c r="E15" s="157">
        <v>516</v>
      </c>
      <c r="F15" s="158">
        <f t="shared" si="0"/>
        <v>433.67339449541288</v>
      </c>
      <c r="G15" s="158">
        <f t="shared" si="0"/>
        <v>293.10825688073396</v>
      </c>
      <c r="H15" s="158">
        <f t="shared" si="0"/>
        <v>222.29724770642201</v>
      </c>
      <c r="I15" s="158">
        <f t="shared" si="0"/>
        <v>181.78348623853211</v>
      </c>
      <c r="J15" s="158">
        <f t="shared" si="2"/>
        <v>23.635200000000001</v>
      </c>
      <c r="K15" s="158">
        <f t="shared" si="1"/>
        <v>15.974400000000001</v>
      </c>
      <c r="L15" s="158">
        <f t="shared" si="1"/>
        <v>12.1152</v>
      </c>
      <c r="M15" s="158">
        <f t="shared" si="1"/>
        <v>9.9071999999999996</v>
      </c>
      <c r="N15" s="159">
        <v>1300</v>
      </c>
      <c r="O15" s="159" t="e">
        <f>[3]!Table7[[#This Row],[Ah Rating]]/10</f>
        <v>#REF!</v>
      </c>
      <c r="P15" s="160" t="e">
        <f>[3]!Table7[[#This Row],[Temp]]</f>
        <v>#REF!</v>
      </c>
    </row>
    <row r="16" spans="1:16">
      <c r="A16" s="156" t="s">
        <v>1661</v>
      </c>
      <c r="B16" s="157">
        <v>1514</v>
      </c>
      <c r="C16" s="157">
        <v>1024</v>
      </c>
      <c r="D16" s="157">
        <v>777</v>
      </c>
      <c r="E16" s="157">
        <v>635</v>
      </c>
      <c r="F16" s="158">
        <f t="shared" si="0"/>
        <v>533.37247706422022</v>
      </c>
      <c r="G16" s="158">
        <f t="shared" si="0"/>
        <v>360.74862385321103</v>
      </c>
      <c r="H16" s="158">
        <f t="shared" si="0"/>
        <v>273.7321100917431</v>
      </c>
      <c r="I16" s="158">
        <f t="shared" si="0"/>
        <v>223.70642201834863</v>
      </c>
      <c r="J16" s="158">
        <f t="shared" si="2"/>
        <v>29.068800000000003</v>
      </c>
      <c r="K16" s="158">
        <f t="shared" si="1"/>
        <v>19.660800000000002</v>
      </c>
      <c r="L16" s="158">
        <f t="shared" si="1"/>
        <v>14.918399999999998</v>
      </c>
      <c r="M16" s="158">
        <f t="shared" si="1"/>
        <v>12.192</v>
      </c>
      <c r="N16" s="159">
        <v>1600</v>
      </c>
      <c r="O16" s="159" t="e">
        <f>[3]!Table7[[#This Row],[Ah Rating]]/10</f>
        <v>#REF!</v>
      </c>
      <c r="P16" s="160" t="e">
        <f>[3]!Table7[[#This Row],[Temp]]</f>
        <v>#REF!</v>
      </c>
    </row>
    <row r="17" spans="1:16">
      <c r="A17" s="156" t="s">
        <v>1789</v>
      </c>
      <c r="B17" s="157">
        <v>1448</v>
      </c>
      <c r="C17" s="157">
        <v>969</v>
      </c>
      <c r="D17" s="157">
        <v>738</v>
      </c>
      <c r="E17" s="157">
        <v>607</v>
      </c>
      <c r="F17" s="158">
        <f t="shared" si="0"/>
        <v>510.12110091743119</v>
      </c>
      <c r="G17" s="158">
        <f t="shared" si="0"/>
        <v>341.37247706422022</v>
      </c>
      <c r="H17" s="158">
        <f t="shared" si="0"/>
        <v>259.99266055045877</v>
      </c>
      <c r="I17" s="158">
        <f t="shared" si="0"/>
        <v>213.84220183486241</v>
      </c>
      <c r="J17" s="158">
        <f t="shared" si="2"/>
        <v>27.801599999999997</v>
      </c>
      <c r="K17" s="158">
        <f t="shared" si="1"/>
        <v>18.604800000000004</v>
      </c>
      <c r="L17" s="158">
        <f t="shared" si="1"/>
        <v>14.169600000000003</v>
      </c>
      <c r="M17" s="158">
        <f t="shared" si="1"/>
        <v>11.654400000000001</v>
      </c>
      <c r="N17" s="159">
        <v>1500</v>
      </c>
      <c r="O17" s="159" t="e">
        <f>[3]!Table7[[#This Row],[Ah Rating]]/10</f>
        <v>#REF!</v>
      </c>
      <c r="P17" s="160" t="e">
        <f>[3]!Table7[[#This Row],[Temp]]</f>
        <v>#REF!</v>
      </c>
    </row>
    <row r="18" spans="1:16">
      <c r="A18" s="156" t="s">
        <v>1782</v>
      </c>
      <c r="B18" s="157">
        <v>1568</v>
      </c>
      <c r="C18" s="157">
        <v>1050</v>
      </c>
      <c r="D18" s="157">
        <v>799</v>
      </c>
      <c r="E18" s="157">
        <v>658</v>
      </c>
      <c r="F18" s="158">
        <f t="shared" si="0"/>
        <v>552.39633027522939</v>
      </c>
      <c r="G18" s="158">
        <f t="shared" si="0"/>
        <v>369.90825688073397</v>
      </c>
      <c r="H18" s="158">
        <f t="shared" si="0"/>
        <v>281.48256880733942</v>
      </c>
      <c r="I18" s="158">
        <f t="shared" si="0"/>
        <v>231.80917431192663</v>
      </c>
      <c r="J18" s="158">
        <f t="shared" si="2"/>
        <v>30.105600000000003</v>
      </c>
      <c r="K18" s="158">
        <f t="shared" si="1"/>
        <v>20.16</v>
      </c>
      <c r="L18" s="158">
        <f t="shared" si="1"/>
        <v>15.340799999999998</v>
      </c>
      <c r="M18" s="158">
        <f t="shared" si="1"/>
        <v>12.633599999999999</v>
      </c>
      <c r="N18" s="159">
        <v>1625</v>
      </c>
      <c r="O18" s="159" t="e">
        <f>[3]!Table7[[#This Row],[Ah Rating]]/10</f>
        <v>#REF!</v>
      </c>
      <c r="P18" s="160" t="e">
        <f>[3]!Table7[[#This Row],[Temp]]</f>
        <v>#REF!</v>
      </c>
    </row>
    <row r="19" spans="1:16">
      <c r="A19" s="156" t="s">
        <v>1609</v>
      </c>
      <c r="B19" s="157">
        <v>1930</v>
      </c>
      <c r="C19" s="157">
        <v>1292</v>
      </c>
      <c r="D19" s="157">
        <v>984</v>
      </c>
      <c r="E19" s="157">
        <v>810</v>
      </c>
      <c r="F19" s="158">
        <f t="shared" si="0"/>
        <v>679.9266055045872</v>
      </c>
      <c r="G19" s="158">
        <f t="shared" si="0"/>
        <v>455.16330275229359</v>
      </c>
      <c r="H19" s="158">
        <f t="shared" si="0"/>
        <v>346.65688073394494</v>
      </c>
      <c r="I19" s="158">
        <f t="shared" si="0"/>
        <v>285.35779816513758</v>
      </c>
      <c r="J19" s="158">
        <f t="shared" si="2"/>
        <v>37.055999999999997</v>
      </c>
      <c r="K19" s="158">
        <f t="shared" si="1"/>
        <v>24.8064</v>
      </c>
      <c r="L19" s="158">
        <f t="shared" si="1"/>
        <v>18.892799999999998</v>
      </c>
      <c r="M19" s="158">
        <f t="shared" si="1"/>
        <v>15.551999999999998</v>
      </c>
      <c r="N19" s="159">
        <v>2000</v>
      </c>
      <c r="O19" s="159" t="e">
        <f>[3]!Table7[[#This Row],[Ah Rating]]/10</f>
        <v>#REF!</v>
      </c>
      <c r="P19" s="160" t="e">
        <f>[3]!Table7[[#This Row],[Temp]]</f>
        <v>#REF!</v>
      </c>
    </row>
    <row r="20" spans="1:16">
      <c r="A20" s="161" t="s">
        <v>1622</v>
      </c>
      <c r="B20" s="157">
        <v>195.7</v>
      </c>
      <c r="C20" s="157">
        <v>115</v>
      </c>
      <c r="D20" s="157">
        <v>82.5</v>
      </c>
      <c r="E20" s="157">
        <v>65</v>
      </c>
      <c r="F20" s="158">
        <f t="shared" ref="F20:I52" si="3">((B20*24)/54.5)*0.8</f>
        <v>68.94385321100917</v>
      </c>
      <c r="G20" s="158">
        <f t="shared" si="3"/>
        <v>40.513761467889907</v>
      </c>
      <c r="H20" s="158">
        <f t="shared" si="3"/>
        <v>29.064220183486238</v>
      </c>
      <c r="I20" s="158">
        <f t="shared" si="3"/>
        <v>22.899082568807341</v>
      </c>
      <c r="J20" s="158">
        <f t="shared" si="2"/>
        <v>3.7574399999999994</v>
      </c>
      <c r="K20" s="158">
        <f t="shared" si="2"/>
        <v>2.2080000000000002</v>
      </c>
      <c r="L20" s="158">
        <f t="shared" si="2"/>
        <v>1.5840000000000001</v>
      </c>
      <c r="M20" s="158">
        <f t="shared" si="2"/>
        <v>1.248</v>
      </c>
      <c r="N20" s="159">
        <v>150</v>
      </c>
      <c r="O20" s="159" t="e">
        <f>[3]!Table7[[#This Row],[Ah Rating]]/10</f>
        <v>#REF!</v>
      </c>
      <c r="P20" s="160" t="e">
        <f>[3]!Table7[[#This Row],[Temp]]</f>
        <v>#REF!</v>
      </c>
    </row>
    <row r="21" spans="1:16">
      <c r="A21" s="161" t="s">
        <v>2101</v>
      </c>
      <c r="B21" s="157">
        <v>126.8</v>
      </c>
      <c r="C21" s="157">
        <v>71.099999999999994</v>
      </c>
      <c r="D21" s="157">
        <v>51.9</v>
      </c>
      <c r="E21" s="157">
        <v>41.5</v>
      </c>
      <c r="F21" s="158">
        <f t="shared" si="3"/>
        <v>44.670825688073393</v>
      </c>
      <c r="G21" s="158">
        <f t="shared" si="3"/>
        <v>25.048073394495411</v>
      </c>
      <c r="H21" s="158">
        <f t="shared" si="3"/>
        <v>18.284036697247707</v>
      </c>
      <c r="I21" s="158">
        <f t="shared" si="3"/>
        <v>14.620183486238531</v>
      </c>
      <c r="J21" s="158">
        <f t="shared" si="2"/>
        <v>2.4345599999999998</v>
      </c>
      <c r="K21" s="158">
        <f t="shared" si="2"/>
        <v>1.3651199999999999</v>
      </c>
      <c r="L21" s="158">
        <f t="shared" si="2"/>
        <v>0.99648000000000003</v>
      </c>
      <c r="M21" s="158">
        <f t="shared" si="2"/>
        <v>0.79679999999999995</v>
      </c>
      <c r="N21" s="159">
        <v>100</v>
      </c>
      <c r="O21" s="159" t="e">
        <f>[3]!Table7[[#This Row],[Ah Rating]]/10</f>
        <v>#REF!</v>
      </c>
      <c r="P21" s="160" t="e">
        <f>[3]!Table7[[#This Row],[Temp]]</f>
        <v>#REF!</v>
      </c>
    </row>
    <row r="22" spans="1:16">
      <c r="A22" s="161" t="s">
        <v>1771</v>
      </c>
      <c r="B22" s="157">
        <v>263.60000000000002</v>
      </c>
      <c r="C22" s="157">
        <v>154.6</v>
      </c>
      <c r="D22" s="157">
        <v>110.5</v>
      </c>
      <c r="E22" s="157">
        <v>86.3</v>
      </c>
      <c r="F22" s="158">
        <f t="shared" si="3"/>
        <v>92.864587155963306</v>
      </c>
      <c r="G22" s="158">
        <f t="shared" si="3"/>
        <v>54.464587155963301</v>
      </c>
      <c r="H22" s="158">
        <f t="shared" si="3"/>
        <v>38.928440366972481</v>
      </c>
      <c r="I22" s="158">
        <f t="shared" si="3"/>
        <v>30.402935779816513</v>
      </c>
      <c r="J22" s="158">
        <f t="shared" si="2"/>
        <v>5.0611199999999998</v>
      </c>
      <c r="K22" s="158">
        <f t="shared" si="2"/>
        <v>2.9683199999999998</v>
      </c>
      <c r="L22" s="158">
        <f t="shared" si="2"/>
        <v>2.1216000000000004</v>
      </c>
      <c r="M22" s="158">
        <f t="shared" si="2"/>
        <v>1.65696</v>
      </c>
      <c r="N22" s="159">
        <v>190</v>
      </c>
      <c r="O22" s="159" t="e">
        <f>[3]!Table7[[#This Row],[Ah Rating]]/10</f>
        <v>#REF!</v>
      </c>
      <c r="P22" s="160" t="e">
        <f>[3]!Table7[[#This Row],[Temp]]</f>
        <v>#REF!</v>
      </c>
    </row>
    <row r="23" spans="1:16">
      <c r="A23" s="161" t="s">
        <v>1698</v>
      </c>
      <c r="B23" s="157">
        <v>131</v>
      </c>
      <c r="C23" s="157">
        <v>79</v>
      </c>
      <c r="D23" s="157">
        <v>57</v>
      </c>
      <c r="E23" s="157">
        <v>45</v>
      </c>
      <c r="F23" s="158">
        <f t="shared" si="3"/>
        <v>46.150458715596329</v>
      </c>
      <c r="G23" s="158">
        <f t="shared" si="3"/>
        <v>27.83119266055046</v>
      </c>
      <c r="H23" s="158">
        <f t="shared" si="3"/>
        <v>20.08073394495413</v>
      </c>
      <c r="I23" s="158">
        <f t="shared" si="3"/>
        <v>15.853211009174311</v>
      </c>
      <c r="J23" s="158">
        <f t="shared" si="2"/>
        <v>2.5151999999999997</v>
      </c>
      <c r="K23" s="158">
        <f t="shared" si="2"/>
        <v>1.5168000000000001</v>
      </c>
      <c r="L23" s="158">
        <f t="shared" si="2"/>
        <v>1.0944</v>
      </c>
      <c r="M23" s="158">
        <f t="shared" si="2"/>
        <v>0.86399999999999999</v>
      </c>
      <c r="N23" s="159">
        <v>100</v>
      </c>
      <c r="O23" s="159" t="e">
        <f>[3]!Table7[[#This Row],[Ah Rating]]/10</f>
        <v>#REF!</v>
      </c>
      <c r="P23" s="160" t="e">
        <f>[3]!Table7[[#This Row],[Temp]]</f>
        <v>#REF!</v>
      </c>
    </row>
    <row r="24" spans="1:16">
      <c r="A24" s="161" t="s">
        <v>1739</v>
      </c>
      <c r="B24" s="157">
        <v>130</v>
      </c>
      <c r="C24" s="157">
        <v>78</v>
      </c>
      <c r="D24" s="157">
        <v>56</v>
      </c>
      <c r="E24" s="157">
        <v>45</v>
      </c>
      <c r="F24" s="158">
        <f t="shared" si="3"/>
        <v>45.798165137614681</v>
      </c>
      <c r="G24" s="158">
        <f t="shared" si="3"/>
        <v>27.478899082568809</v>
      </c>
      <c r="H24" s="158">
        <f t="shared" si="3"/>
        <v>19.728440366972478</v>
      </c>
      <c r="I24" s="158">
        <f t="shared" si="3"/>
        <v>15.853211009174311</v>
      </c>
      <c r="J24" s="158">
        <f t="shared" si="2"/>
        <v>2.496</v>
      </c>
      <c r="K24" s="158">
        <f t="shared" si="2"/>
        <v>1.4976</v>
      </c>
      <c r="L24" s="158">
        <f t="shared" si="2"/>
        <v>1.0752000000000002</v>
      </c>
      <c r="M24" s="158">
        <f t="shared" si="2"/>
        <v>0.86399999999999999</v>
      </c>
      <c r="N24" s="159">
        <v>105</v>
      </c>
      <c r="O24" s="159" t="e">
        <f>[3]!Table7[[#This Row],[Ah Rating]]/10</f>
        <v>#REF!</v>
      </c>
      <c r="P24" s="160" t="e">
        <f>[3]!Table7[[#This Row],[Temp]]</f>
        <v>#REF!</v>
      </c>
    </row>
    <row r="25" spans="1:16">
      <c r="A25" s="161" t="s">
        <v>1937</v>
      </c>
      <c r="B25" s="157">
        <v>145</v>
      </c>
      <c r="C25" s="157">
        <v>88</v>
      </c>
      <c r="D25" s="157">
        <v>65</v>
      </c>
      <c r="E25" s="157">
        <v>52</v>
      </c>
      <c r="F25" s="158">
        <f t="shared" si="3"/>
        <v>51.082568807339449</v>
      </c>
      <c r="G25" s="158">
        <f t="shared" si="3"/>
        <v>31.001834862385323</v>
      </c>
      <c r="H25" s="158">
        <f t="shared" si="3"/>
        <v>22.899082568807341</v>
      </c>
      <c r="I25" s="158">
        <f t="shared" si="3"/>
        <v>18.319266055045873</v>
      </c>
      <c r="J25" s="158">
        <f t="shared" si="2"/>
        <v>2.7839999999999998</v>
      </c>
      <c r="K25" s="158">
        <f t="shared" si="2"/>
        <v>1.6896000000000002</v>
      </c>
      <c r="L25" s="158">
        <f t="shared" si="2"/>
        <v>1.248</v>
      </c>
      <c r="M25" s="158">
        <f t="shared" si="2"/>
        <v>0.99840000000000007</v>
      </c>
      <c r="N25" s="159">
        <v>125</v>
      </c>
      <c r="O25" s="159" t="e">
        <f>[3]!Table7[[#This Row],[Ah Rating]]/10</f>
        <v>#REF!</v>
      </c>
      <c r="P25" s="160" t="e">
        <f>[3]!Table7[[#This Row],[Temp]]</f>
        <v>#REF!</v>
      </c>
    </row>
    <row r="26" spans="1:16">
      <c r="A26" s="161" t="s">
        <v>1882</v>
      </c>
      <c r="B26" s="157">
        <v>120</v>
      </c>
      <c r="C26" s="157">
        <v>70</v>
      </c>
      <c r="D26" s="157">
        <v>50</v>
      </c>
      <c r="E26" s="157">
        <v>39</v>
      </c>
      <c r="F26" s="158">
        <f t="shared" si="3"/>
        <v>42.275229357798167</v>
      </c>
      <c r="G26" s="158">
        <f t="shared" si="3"/>
        <v>24.660550458715598</v>
      </c>
      <c r="H26" s="158">
        <f t="shared" si="3"/>
        <v>17.61467889908257</v>
      </c>
      <c r="I26" s="158">
        <f t="shared" si="3"/>
        <v>13.739449541284404</v>
      </c>
      <c r="J26" s="158">
        <f t="shared" si="2"/>
        <v>2.3039999999999998</v>
      </c>
      <c r="K26" s="158">
        <f t="shared" si="2"/>
        <v>1.3440000000000001</v>
      </c>
      <c r="L26" s="158">
        <f t="shared" si="2"/>
        <v>0.96</v>
      </c>
      <c r="M26" s="158">
        <f t="shared" si="2"/>
        <v>0.74880000000000002</v>
      </c>
      <c r="N26" s="159">
        <v>92</v>
      </c>
      <c r="O26" s="159" t="e">
        <f>[3]!Table7[[#This Row],[Ah Rating]]/10</f>
        <v>#REF!</v>
      </c>
      <c r="P26" s="160" t="e">
        <f>[3]!Table7[[#This Row],[Temp]]</f>
        <v>#REF!</v>
      </c>
    </row>
    <row r="27" spans="1:16">
      <c r="A27" s="161" t="s">
        <v>2102</v>
      </c>
      <c r="B27" s="157">
        <v>632</v>
      </c>
      <c r="C27" s="157">
        <v>361</v>
      </c>
      <c r="D27" s="157">
        <v>269</v>
      </c>
      <c r="E27" s="157">
        <v>214</v>
      </c>
      <c r="F27" s="158">
        <f t="shared" si="3"/>
        <v>222.64954128440368</v>
      </c>
      <c r="G27" s="158">
        <f t="shared" si="3"/>
        <v>127.17798165137616</v>
      </c>
      <c r="H27" s="158">
        <f t="shared" si="3"/>
        <v>94.766972477064229</v>
      </c>
      <c r="I27" s="158">
        <f t="shared" si="3"/>
        <v>75.390825688073392</v>
      </c>
      <c r="J27" s="158">
        <f t="shared" si="2"/>
        <v>12.134400000000001</v>
      </c>
      <c r="K27" s="158">
        <f t="shared" si="2"/>
        <v>6.9312000000000005</v>
      </c>
      <c r="L27" s="158">
        <f t="shared" si="2"/>
        <v>5.1648000000000005</v>
      </c>
      <c r="M27" s="158">
        <f t="shared" si="2"/>
        <v>4.1088000000000005</v>
      </c>
      <c r="N27" s="159">
        <v>516</v>
      </c>
      <c r="O27" s="159" t="e">
        <f>[3]!Table7[[#This Row],[Ah Rating]]/10</f>
        <v>#REF!</v>
      </c>
      <c r="P27" s="160" t="e">
        <f>[3]!Table7[[#This Row],[Temp]]</f>
        <v>#REF!</v>
      </c>
    </row>
    <row r="28" spans="1:16">
      <c r="A28" s="161" t="s">
        <v>1756</v>
      </c>
      <c r="B28" s="157">
        <v>138</v>
      </c>
      <c r="C28" s="157">
        <v>81</v>
      </c>
      <c r="D28" s="157">
        <v>58</v>
      </c>
      <c r="E28" s="157">
        <v>45</v>
      </c>
      <c r="F28" s="158">
        <f t="shared" si="3"/>
        <v>48.616513761467893</v>
      </c>
      <c r="G28" s="158">
        <f t="shared" si="3"/>
        <v>28.535779816513767</v>
      </c>
      <c r="H28" s="158">
        <f t="shared" si="3"/>
        <v>20.433027522935781</v>
      </c>
      <c r="I28" s="158">
        <f t="shared" si="3"/>
        <v>15.853211009174311</v>
      </c>
      <c r="J28" s="158">
        <f t="shared" si="2"/>
        <v>2.6496000000000004</v>
      </c>
      <c r="K28" s="158">
        <f t="shared" si="2"/>
        <v>1.5552000000000004</v>
      </c>
      <c r="L28" s="158">
        <f t="shared" si="2"/>
        <v>1.1136000000000001</v>
      </c>
      <c r="M28" s="158">
        <f t="shared" si="2"/>
        <v>0.86399999999999999</v>
      </c>
      <c r="N28" s="159">
        <v>100</v>
      </c>
      <c r="O28" s="159" t="e">
        <f>[3]!Table7[[#This Row],[Ah Rating]]/10</f>
        <v>#REF!</v>
      </c>
      <c r="P28" s="160" t="e">
        <f>[3]!Table7[[#This Row],[Temp]]</f>
        <v>#REF!</v>
      </c>
    </row>
    <row r="29" spans="1:16">
      <c r="A29" s="161" t="s">
        <v>2103</v>
      </c>
      <c r="B29" s="157">
        <v>650.6</v>
      </c>
      <c r="C29" s="157">
        <v>452.8</v>
      </c>
      <c r="D29" s="157">
        <v>347.2</v>
      </c>
      <c r="E29" s="157">
        <v>282.5</v>
      </c>
      <c r="F29" s="158">
        <f t="shared" si="3"/>
        <v>229.20220183486242</v>
      </c>
      <c r="G29" s="158">
        <f t="shared" si="3"/>
        <v>159.51853211009177</v>
      </c>
      <c r="H29" s="158">
        <f t="shared" si="3"/>
        <v>122.31633027522935</v>
      </c>
      <c r="I29" s="158">
        <f t="shared" si="3"/>
        <v>99.522935779816521</v>
      </c>
      <c r="J29" s="158">
        <f t="shared" si="2"/>
        <v>12.491520000000003</v>
      </c>
      <c r="K29" s="158">
        <f t="shared" si="2"/>
        <v>8.6937600000000028</v>
      </c>
      <c r="L29" s="158">
        <f t="shared" si="2"/>
        <v>6.6662400000000002</v>
      </c>
      <c r="M29" s="158">
        <f t="shared" si="2"/>
        <v>5.4240000000000004</v>
      </c>
      <c r="N29" s="159">
        <v>680</v>
      </c>
      <c r="O29" s="159" t="e">
        <f>[3]!Table7[[#This Row],[Ah Rating]]/10</f>
        <v>#REF!</v>
      </c>
      <c r="P29" s="160" t="e">
        <f>[3]!Table7[[#This Row],[Temp]]</f>
        <v>#REF!</v>
      </c>
    </row>
    <row r="30" spans="1:16">
      <c r="A30" s="161" t="s">
        <v>2104</v>
      </c>
      <c r="B30" s="157">
        <v>459.2</v>
      </c>
      <c r="C30" s="157">
        <v>319.60000000000002</v>
      </c>
      <c r="D30" s="157">
        <v>245.1</v>
      </c>
      <c r="E30" s="157">
        <v>199.4</v>
      </c>
      <c r="F30" s="158">
        <f t="shared" si="3"/>
        <v>161.7732110091743</v>
      </c>
      <c r="G30" s="158">
        <f t="shared" si="3"/>
        <v>112.5930275229358</v>
      </c>
      <c r="H30" s="158">
        <f t="shared" si="3"/>
        <v>86.347155963302754</v>
      </c>
      <c r="I30" s="158">
        <f t="shared" si="3"/>
        <v>70.247339449541286</v>
      </c>
      <c r="J30" s="158">
        <f t="shared" si="2"/>
        <v>8.8166399999999996</v>
      </c>
      <c r="K30" s="158">
        <f t="shared" si="2"/>
        <v>6.1363200000000004</v>
      </c>
      <c r="L30" s="158">
        <f t="shared" si="2"/>
        <v>4.7059199999999999</v>
      </c>
      <c r="M30" s="158">
        <f t="shared" si="2"/>
        <v>3.8284799999999999</v>
      </c>
      <c r="N30" s="159">
        <v>480</v>
      </c>
      <c r="O30" s="159" t="e">
        <f>[3]!Table7[[#This Row],[Ah Rating]]/10</f>
        <v>#REF!</v>
      </c>
      <c r="P30" s="160" t="e">
        <f>[3]!Table7[[#This Row],[Temp]]</f>
        <v>#REF!</v>
      </c>
    </row>
    <row r="31" spans="1:16">
      <c r="A31" s="161" t="s">
        <v>2105</v>
      </c>
      <c r="B31" s="157">
        <v>177</v>
      </c>
      <c r="C31" s="157">
        <v>107</v>
      </c>
      <c r="D31" s="157">
        <v>79</v>
      </c>
      <c r="E31" s="157">
        <v>63</v>
      </c>
      <c r="F31" s="158">
        <f t="shared" si="3"/>
        <v>62.355963302752301</v>
      </c>
      <c r="G31" s="158">
        <f t="shared" si="3"/>
        <v>37.695412844036696</v>
      </c>
      <c r="H31" s="158">
        <f t="shared" si="3"/>
        <v>27.83119266055046</v>
      </c>
      <c r="I31" s="158">
        <f t="shared" si="3"/>
        <v>22.194495412844038</v>
      </c>
      <c r="J31" s="158">
        <f t="shared" si="2"/>
        <v>3.3984000000000005</v>
      </c>
      <c r="K31" s="158">
        <f t="shared" si="2"/>
        <v>2.0544000000000002</v>
      </c>
      <c r="L31" s="158">
        <f t="shared" si="2"/>
        <v>1.5168000000000001</v>
      </c>
      <c r="M31" s="158">
        <f t="shared" si="2"/>
        <v>1.2096000000000002</v>
      </c>
      <c r="N31" s="159">
        <v>150</v>
      </c>
      <c r="O31" s="159" t="e">
        <f>[3]!Table7[[#This Row],[Ah Rating]]/10</f>
        <v>#REF!</v>
      </c>
      <c r="P31" s="160" t="e">
        <f>[3]!Table7[[#This Row],[Temp]]</f>
        <v>#REF!</v>
      </c>
    </row>
    <row r="32" spans="1:16">
      <c r="A32" s="161" t="s">
        <v>1820</v>
      </c>
      <c r="B32" s="157">
        <v>1889</v>
      </c>
      <c r="C32" s="157">
        <v>1258</v>
      </c>
      <c r="D32" s="157">
        <v>938</v>
      </c>
      <c r="E32" s="157">
        <v>760</v>
      </c>
      <c r="F32" s="158">
        <f t="shared" si="3"/>
        <v>665.48256880733948</v>
      </c>
      <c r="G32" s="158">
        <f t="shared" si="3"/>
        <v>443.18532110091746</v>
      </c>
      <c r="H32" s="158">
        <f t="shared" si="3"/>
        <v>330.45137614678902</v>
      </c>
      <c r="I32" s="158">
        <f t="shared" si="3"/>
        <v>267.74311926605509</v>
      </c>
      <c r="J32" s="158">
        <f t="shared" si="2"/>
        <v>36.268800000000006</v>
      </c>
      <c r="K32" s="158">
        <f t="shared" si="2"/>
        <v>24.153600000000001</v>
      </c>
      <c r="L32" s="158">
        <f t="shared" si="2"/>
        <v>18.009600000000002</v>
      </c>
      <c r="M32" s="158">
        <f t="shared" si="2"/>
        <v>14.592000000000002</v>
      </c>
      <c r="N32" s="159">
        <v>1870</v>
      </c>
      <c r="O32" s="159" t="e">
        <f>[3]!Table7[[#This Row],[Ah Rating]]/10</f>
        <v>#REF!</v>
      </c>
      <c r="P32" s="160" t="e">
        <f>[3]!Table7[[#This Row],[Temp]]</f>
        <v>#REF!</v>
      </c>
    </row>
    <row r="33" spans="1:16">
      <c r="A33" s="161" t="s">
        <v>2106</v>
      </c>
      <c r="B33" s="157">
        <v>202</v>
      </c>
      <c r="C33" s="157">
        <v>122</v>
      </c>
      <c r="D33" s="157">
        <v>89.4</v>
      </c>
      <c r="E33" s="157">
        <v>71.3</v>
      </c>
      <c r="F33" s="158">
        <f t="shared" si="3"/>
        <v>71.163302752293575</v>
      </c>
      <c r="G33" s="158">
        <f t="shared" si="3"/>
        <v>42.97981651376147</v>
      </c>
      <c r="H33" s="158">
        <f t="shared" si="3"/>
        <v>31.49504587155964</v>
      </c>
      <c r="I33" s="158">
        <f t="shared" si="3"/>
        <v>25.118532110091742</v>
      </c>
      <c r="J33" s="158">
        <f t="shared" si="2"/>
        <v>3.8783999999999996</v>
      </c>
      <c r="K33" s="158">
        <f t="shared" si="2"/>
        <v>2.3424</v>
      </c>
      <c r="L33" s="158">
        <f t="shared" si="2"/>
        <v>1.7164800000000004</v>
      </c>
      <c r="M33" s="158">
        <f t="shared" si="2"/>
        <v>1.36896</v>
      </c>
      <c r="N33" s="159">
        <v>170</v>
      </c>
      <c r="O33" s="159" t="e">
        <f>[3]!Table7[[#This Row],[Ah Rating]]/10</f>
        <v>#REF!</v>
      </c>
      <c r="P33" s="160" t="e">
        <f>[3]!Table7[[#This Row],[Temp]]</f>
        <v>#REF!</v>
      </c>
    </row>
    <row r="34" spans="1:16">
      <c r="A34" s="161" t="s">
        <v>2107</v>
      </c>
      <c r="B34" s="157">
        <v>2727</v>
      </c>
      <c r="C34" s="157">
        <v>1816</v>
      </c>
      <c r="D34" s="157">
        <v>1355</v>
      </c>
      <c r="E34" s="157">
        <v>1097</v>
      </c>
      <c r="F34" s="158">
        <f t="shared" si="3"/>
        <v>960.70458715596328</v>
      </c>
      <c r="G34" s="158">
        <f t="shared" si="3"/>
        <v>639.76513761467891</v>
      </c>
      <c r="H34" s="158">
        <f t="shared" si="3"/>
        <v>477.35779816513764</v>
      </c>
      <c r="I34" s="158">
        <f t="shared" si="3"/>
        <v>386.4660550458716</v>
      </c>
      <c r="J34" s="158">
        <f t="shared" si="2"/>
        <v>52.358400000000003</v>
      </c>
      <c r="K34" s="158">
        <f t="shared" si="2"/>
        <v>34.867199999999997</v>
      </c>
      <c r="L34" s="158">
        <f t="shared" si="2"/>
        <v>26.015999999999998</v>
      </c>
      <c r="M34" s="158">
        <f t="shared" si="2"/>
        <v>21.0624</v>
      </c>
      <c r="N34" s="159">
        <v>2700</v>
      </c>
      <c r="O34" s="159" t="e">
        <f>[3]!Table7[[#This Row],[Ah Rating]]/10</f>
        <v>#REF!</v>
      </c>
      <c r="P34" s="160" t="e">
        <f>[3]!Table7[[#This Row],[Temp]]</f>
        <v>#REF!</v>
      </c>
    </row>
    <row r="35" spans="1:16">
      <c r="A35" s="161" t="s">
        <v>2108</v>
      </c>
      <c r="B35" s="157">
        <v>210</v>
      </c>
      <c r="C35" s="157">
        <v>120</v>
      </c>
      <c r="D35" s="157">
        <v>90</v>
      </c>
      <c r="E35" s="157">
        <v>71</v>
      </c>
      <c r="F35" s="158">
        <f t="shared" si="3"/>
        <v>73.9816513761468</v>
      </c>
      <c r="G35" s="158">
        <f t="shared" si="3"/>
        <v>42.275229357798167</v>
      </c>
      <c r="H35" s="158">
        <f t="shared" si="3"/>
        <v>31.706422018348622</v>
      </c>
      <c r="I35" s="158">
        <f t="shared" si="3"/>
        <v>25.012844036697249</v>
      </c>
      <c r="J35" s="158">
        <f t="shared" si="2"/>
        <v>4.032</v>
      </c>
      <c r="K35" s="158">
        <f t="shared" si="2"/>
        <v>2.3039999999999998</v>
      </c>
      <c r="L35" s="158">
        <f t="shared" si="2"/>
        <v>1.728</v>
      </c>
      <c r="M35" s="158">
        <f t="shared" si="2"/>
        <v>1.3632</v>
      </c>
      <c r="N35" s="159">
        <v>165</v>
      </c>
      <c r="O35" s="159" t="e">
        <f>[3]!Table7[[#This Row],[Ah Rating]]/10</f>
        <v>#REF!</v>
      </c>
      <c r="P35" s="160" t="e">
        <f>[3]!Table7[[#This Row],[Temp]]</f>
        <v>#REF!</v>
      </c>
    </row>
    <row r="36" spans="1:16">
      <c r="A36" s="163" t="s">
        <v>1617</v>
      </c>
      <c r="B36" s="157">
        <v>121</v>
      </c>
      <c r="C36" s="157">
        <v>71</v>
      </c>
      <c r="D36" s="157">
        <v>50</v>
      </c>
      <c r="E36" s="157">
        <v>40</v>
      </c>
      <c r="F36" s="158">
        <f t="shared" si="3"/>
        <v>42.627522935779815</v>
      </c>
      <c r="G36" s="158">
        <f t="shared" si="3"/>
        <v>25.012844036697249</v>
      </c>
      <c r="H36" s="158">
        <f t="shared" si="3"/>
        <v>17.61467889908257</v>
      </c>
      <c r="I36" s="158">
        <f t="shared" si="3"/>
        <v>14.091743119266056</v>
      </c>
      <c r="J36" s="166">
        <f t="shared" si="2"/>
        <v>2.3231999999999999</v>
      </c>
      <c r="K36" s="166">
        <f t="shared" si="2"/>
        <v>1.3632</v>
      </c>
      <c r="L36" s="166">
        <f t="shared" si="2"/>
        <v>0.96</v>
      </c>
      <c r="M36" s="166">
        <f t="shared" si="2"/>
        <v>0.76800000000000002</v>
      </c>
      <c r="N36" s="159">
        <v>92</v>
      </c>
      <c r="O36" s="159" t="e">
        <f>[3]!Table7[[#This Row],[Ah Rating]]/10</f>
        <v>#REF!</v>
      </c>
      <c r="P36" s="160" t="e">
        <f>[3]!Table7[[#This Row],[Temp]]</f>
        <v>#REF!</v>
      </c>
    </row>
    <row r="37" spans="1:16">
      <c r="A37" s="163" t="s">
        <v>2109</v>
      </c>
      <c r="B37" s="157">
        <v>194</v>
      </c>
      <c r="C37" s="157">
        <v>112</v>
      </c>
      <c r="D37" s="157">
        <v>81.900000000000006</v>
      </c>
      <c r="E37" s="157">
        <v>65.599999999999994</v>
      </c>
      <c r="F37" s="158">
        <f t="shared" si="3"/>
        <v>68.344954128440378</v>
      </c>
      <c r="G37" s="158">
        <f t="shared" si="3"/>
        <v>39.456880733944956</v>
      </c>
      <c r="H37" s="158">
        <f t="shared" si="3"/>
        <v>28.852844036697253</v>
      </c>
      <c r="I37" s="158">
        <f t="shared" si="3"/>
        <v>23.11045871559633</v>
      </c>
      <c r="J37" s="166">
        <f t="shared" ref="J37:M52" si="4">(F37*54.5)/1000</f>
        <v>3.7248000000000006</v>
      </c>
      <c r="K37" s="166">
        <f t="shared" si="4"/>
        <v>2.1504000000000003</v>
      </c>
      <c r="L37" s="166">
        <f t="shared" si="4"/>
        <v>1.5724800000000003</v>
      </c>
      <c r="M37" s="166">
        <f t="shared" si="4"/>
        <v>1.25952</v>
      </c>
      <c r="N37" s="159">
        <v>160</v>
      </c>
      <c r="O37" s="159" t="e">
        <f>[3]!Table7[[#This Row],[Ah Rating]]/10</f>
        <v>#REF!</v>
      </c>
      <c r="P37" s="160" t="e">
        <f>[3]!Table7[[#This Row],[Temp]]</f>
        <v>#REF!</v>
      </c>
    </row>
    <row r="38" spans="1:16">
      <c r="A38" s="163" t="s">
        <v>2110</v>
      </c>
      <c r="B38" s="157">
        <v>890</v>
      </c>
      <c r="C38" s="157">
        <v>566</v>
      </c>
      <c r="D38" s="157">
        <v>426</v>
      </c>
      <c r="E38" s="157">
        <v>343</v>
      </c>
      <c r="F38" s="158">
        <f t="shared" si="3"/>
        <v>313.54128440366975</v>
      </c>
      <c r="G38" s="158">
        <f t="shared" si="3"/>
        <v>199.39816513761468</v>
      </c>
      <c r="H38" s="158">
        <f t="shared" si="3"/>
        <v>150.07706422018347</v>
      </c>
      <c r="I38" s="158">
        <f t="shared" si="3"/>
        <v>120.83669724770641</v>
      </c>
      <c r="J38" s="166">
        <f t="shared" si="4"/>
        <v>17.088000000000001</v>
      </c>
      <c r="K38" s="166">
        <f t="shared" si="4"/>
        <v>10.8672</v>
      </c>
      <c r="L38" s="166">
        <f t="shared" si="4"/>
        <v>8.179199999999998</v>
      </c>
      <c r="M38" s="166">
        <f t="shared" si="4"/>
        <v>6.5855999999999995</v>
      </c>
      <c r="N38" s="159">
        <v>800</v>
      </c>
      <c r="O38" s="159" t="e">
        <f>[3]!Table7[[#This Row],[Ah Rating]]/10</f>
        <v>#REF!</v>
      </c>
      <c r="P38" s="160" t="e">
        <f>[3]!Table7[[#This Row],[Temp]]</f>
        <v>#REF!</v>
      </c>
    </row>
    <row r="39" spans="1:16">
      <c r="A39" s="163" t="s">
        <v>1643</v>
      </c>
      <c r="B39" s="176">
        <v>1112</v>
      </c>
      <c r="C39" s="176">
        <v>707</v>
      </c>
      <c r="D39" s="176">
        <v>532</v>
      </c>
      <c r="E39" s="177">
        <v>429</v>
      </c>
      <c r="F39" s="158">
        <f t="shared" si="3"/>
        <v>391.75045871559632</v>
      </c>
      <c r="G39" s="158">
        <f t="shared" si="3"/>
        <v>249.07155963302753</v>
      </c>
      <c r="H39" s="158">
        <f t="shared" si="3"/>
        <v>187.42018348623856</v>
      </c>
      <c r="I39" s="158">
        <f t="shared" si="3"/>
        <v>151.13394495412845</v>
      </c>
      <c r="J39" s="166">
        <f t="shared" si="4"/>
        <v>21.3504</v>
      </c>
      <c r="K39" s="166">
        <f t="shared" si="4"/>
        <v>13.574400000000001</v>
      </c>
      <c r="L39" s="166">
        <f t="shared" si="4"/>
        <v>10.214400000000001</v>
      </c>
      <c r="M39" s="166">
        <f t="shared" si="4"/>
        <v>8.2368000000000006</v>
      </c>
      <c r="N39" s="159">
        <v>1000</v>
      </c>
      <c r="O39" s="159" t="e">
        <f>[3]!Table7[[#This Row],[Ah Rating]]/10</f>
        <v>#REF!</v>
      </c>
      <c r="P39" s="160" t="e">
        <f>[3]!Table7[[#This Row],[Temp]]</f>
        <v>#REF!</v>
      </c>
    </row>
    <row r="40" spans="1:16">
      <c r="A40" s="163" t="s">
        <v>1649</v>
      </c>
      <c r="B40" s="176">
        <v>1372</v>
      </c>
      <c r="C40" s="176">
        <v>930</v>
      </c>
      <c r="D40" s="176">
        <v>708</v>
      </c>
      <c r="E40" s="177">
        <v>579</v>
      </c>
      <c r="F40" s="158">
        <f t="shared" si="3"/>
        <v>483.34678899082564</v>
      </c>
      <c r="G40" s="158">
        <f t="shared" si="3"/>
        <v>327.63302752293583</v>
      </c>
      <c r="H40" s="158">
        <f t="shared" si="3"/>
        <v>249.4238532110092</v>
      </c>
      <c r="I40" s="158">
        <f t="shared" si="3"/>
        <v>203.97798165137615</v>
      </c>
      <c r="J40" s="166">
        <f t="shared" si="4"/>
        <v>26.342399999999998</v>
      </c>
      <c r="K40" s="166">
        <f t="shared" si="4"/>
        <v>17.856000000000005</v>
      </c>
      <c r="L40" s="166">
        <f t="shared" si="4"/>
        <v>13.593600000000002</v>
      </c>
      <c r="M40" s="166">
        <f t="shared" si="4"/>
        <v>11.116800000000001</v>
      </c>
      <c r="N40" s="159">
        <v>1500</v>
      </c>
      <c r="O40" s="159" t="e">
        <f>[3]!Table7[[#This Row],[Ah Rating]]/10</f>
        <v>#REF!</v>
      </c>
      <c r="P40" s="160" t="e">
        <f>[3]!Table7[[#This Row],[Temp]]</f>
        <v>#REF!</v>
      </c>
    </row>
    <row r="41" spans="1:16">
      <c r="A41" s="163" t="s">
        <v>1921</v>
      </c>
      <c r="B41" s="176">
        <v>1830</v>
      </c>
      <c r="C41" s="176">
        <v>1239</v>
      </c>
      <c r="D41" s="176">
        <v>944</v>
      </c>
      <c r="E41" s="177">
        <v>773</v>
      </c>
      <c r="F41" s="158">
        <f t="shared" si="3"/>
        <v>644.6972477064221</v>
      </c>
      <c r="G41" s="158">
        <f t="shared" si="3"/>
        <v>436.49174311926612</v>
      </c>
      <c r="H41" s="158">
        <f t="shared" si="3"/>
        <v>332.56513761467892</v>
      </c>
      <c r="I41" s="158">
        <f t="shared" si="3"/>
        <v>272.32293577981653</v>
      </c>
      <c r="J41" s="166">
        <f t="shared" si="4"/>
        <v>35.13600000000001</v>
      </c>
      <c r="K41" s="166">
        <f t="shared" si="4"/>
        <v>23.788800000000002</v>
      </c>
      <c r="L41" s="166">
        <f t="shared" si="4"/>
        <v>18.1248</v>
      </c>
      <c r="M41" s="166">
        <f t="shared" si="4"/>
        <v>14.8416</v>
      </c>
      <c r="N41" s="159">
        <v>2000</v>
      </c>
      <c r="O41" s="159" t="e">
        <f>[3]!Table7[[#This Row],[Ah Rating]]/10</f>
        <v>#REF!</v>
      </c>
      <c r="P41" s="160" t="e">
        <f>[3]!Table7[[#This Row],[Temp]]</f>
        <v>#REF!</v>
      </c>
    </row>
    <row r="42" spans="1:16">
      <c r="A42" s="163" t="s">
        <v>2111</v>
      </c>
      <c r="B42" s="164">
        <v>1183</v>
      </c>
      <c r="C42" s="164">
        <v>721</v>
      </c>
      <c r="D42" s="164">
        <v>526</v>
      </c>
      <c r="E42" s="177">
        <v>418</v>
      </c>
      <c r="F42" s="158">
        <f t="shared" si="3"/>
        <v>416.76330275229361</v>
      </c>
      <c r="G42" s="158">
        <f t="shared" si="3"/>
        <v>254.00366972477065</v>
      </c>
      <c r="H42" s="158">
        <f t="shared" si="3"/>
        <v>185.30642201834863</v>
      </c>
      <c r="I42" s="158">
        <f t="shared" si="3"/>
        <v>147.25871559633029</v>
      </c>
      <c r="J42" s="166">
        <f t="shared" si="4"/>
        <v>22.713600000000003</v>
      </c>
      <c r="K42" s="166">
        <f t="shared" si="4"/>
        <v>13.843200000000001</v>
      </c>
      <c r="L42" s="166">
        <f t="shared" si="4"/>
        <v>10.099200000000002</v>
      </c>
      <c r="M42" s="166">
        <f t="shared" si="4"/>
        <v>8.0256000000000007</v>
      </c>
      <c r="N42" s="167">
        <v>1000</v>
      </c>
      <c r="O42" s="167" t="e">
        <f>[3]!Table7[[#This Row],[Ah Rating]]/10</f>
        <v>#REF!</v>
      </c>
      <c r="P42" s="171">
        <v>20</v>
      </c>
    </row>
    <row r="43" spans="1:16">
      <c r="A43" s="161" t="s">
        <v>1859</v>
      </c>
      <c r="B43" s="157">
        <v>1602</v>
      </c>
      <c r="C43" s="157">
        <v>1009</v>
      </c>
      <c r="D43" s="157">
        <v>736</v>
      </c>
      <c r="E43" s="170">
        <v>585</v>
      </c>
      <c r="F43" s="158">
        <f t="shared" si="3"/>
        <v>564.37431192660551</v>
      </c>
      <c r="G43" s="158">
        <f t="shared" si="3"/>
        <v>355.4642201834863</v>
      </c>
      <c r="H43" s="158">
        <f t="shared" si="3"/>
        <v>259.28807339449543</v>
      </c>
      <c r="I43" s="158">
        <f t="shared" si="3"/>
        <v>206.09174311926606</v>
      </c>
      <c r="J43" s="158">
        <f t="shared" si="4"/>
        <v>30.758400000000002</v>
      </c>
      <c r="K43" s="158">
        <f t="shared" si="4"/>
        <v>19.372800000000002</v>
      </c>
      <c r="L43" s="158">
        <f t="shared" si="4"/>
        <v>14.131200000000002</v>
      </c>
      <c r="M43" s="158">
        <f t="shared" si="4"/>
        <v>11.231999999999999</v>
      </c>
      <c r="N43" s="159">
        <v>14000</v>
      </c>
      <c r="O43" s="159" t="e">
        <f>[3]!Table7[[#This Row],[Ah Rating]]/10</f>
        <v>#REF!</v>
      </c>
      <c r="P43" s="172" t="e">
        <f>[3]!Table7[[#This Row],[Temp]]</f>
        <v>#REF!</v>
      </c>
    </row>
    <row r="44" spans="1:16">
      <c r="A44" s="161" t="s">
        <v>1668</v>
      </c>
      <c r="B44" s="157">
        <v>2022.5</v>
      </c>
      <c r="C44" s="157">
        <v>1268.4000000000001</v>
      </c>
      <c r="D44" s="157">
        <v>933</v>
      </c>
      <c r="E44" s="170">
        <v>741.8</v>
      </c>
      <c r="F44" s="158">
        <f t="shared" si="3"/>
        <v>712.51376146788994</v>
      </c>
      <c r="G44" s="158">
        <f t="shared" si="3"/>
        <v>446.84917431192662</v>
      </c>
      <c r="H44" s="158">
        <f t="shared" si="3"/>
        <v>328.68990825688076</v>
      </c>
      <c r="I44" s="158">
        <f t="shared" si="3"/>
        <v>261.33137614678895</v>
      </c>
      <c r="J44" s="158">
        <f t="shared" si="4"/>
        <v>38.832000000000001</v>
      </c>
      <c r="K44" s="158">
        <f t="shared" si="4"/>
        <v>24.353279999999998</v>
      </c>
      <c r="L44" s="158">
        <f t="shared" si="4"/>
        <v>17.913600000000002</v>
      </c>
      <c r="M44" s="158">
        <f t="shared" si="4"/>
        <v>14.242559999999997</v>
      </c>
      <c r="N44" s="159">
        <v>2000</v>
      </c>
      <c r="O44" s="159" t="e">
        <f>[3]!Table7[[#This Row],[Ah Rating]]/10</f>
        <v>#REF!</v>
      </c>
      <c r="P44" s="172" t="e">
        <f>[3]!Table7[[#This Row],[Temp]]</f>
        <v>#REF!</v>
      </c>
    </row>
    <row r="45" spans="1:16">
      <c r="A45" s="161" t="s">
        <v>2112</v>
      </c>
      <c r="B45" s="157">
        <v>1854</v>
      </c>
      <c r="C45" s="157">
        <v>1173</v>
      </c>
      <c r="D45" s="157">
        <v>853</v>
      </c>
      <c r="E45" s="170">
        <v>671</v>
      </c>
      <c r="F45" s="158">
        <f t="shared" si="3"/>
        <v>653.15229357798171</v>
      </c>
      <c r="G45" s="158">
        <f t="shared" si="3"/>
        <v>413.24036697247703</v>
      </c>
      <c r="H45" s="158">
        <f t="shared" si="3"/>
        <v>300.50642201834864</v>
      </c>
      <c r="I45" s="158">
        <f t="shared" si="3"/>
        <v>236.38899082568807</v>
      </c>
      <c r="J45" s="158">
        <f t="shared" si="4"/>
        <v>35.596800000000002</v>
      </c>
      <c r="K45" s="158">
        <f t="shared" si="4"/>
        <v>22.521599999999999</v>
      </c>
      <c r="L45" s="158">
        <f t="shared" si="4"/>
        <v>16.377600000000001</v>
      </c>
      <c r="M45" s="158">
        <f t="shared" si="4"/>
        <v>12.883199999999999</v>
      </c>
      <c r="N45" s="159">
        <v>1600</v>
      </c>
      <c r="O45" s="159" t="e">
        <f>[3]!Table7[[#This Row],[Ah Rating]]/10</f>
        <v>#REF!</v>
      </c>
      <c r="P45" s="172" t="e">
        <f>[3]!Table7[[#This Row],[Temp]]</f>
        <v>#REF!</v>
      </c>
    </row>
    <row r="46" spans="1:16">
      <c r="A46" s="161" t="s">
        <v>1830</v>
      </c>
      <c r="B46" s="157">
        <v>3066.7</v>
      </c>
      <c r="C46" s="157">
        <v>1908.9</v>
      </c>
      <c r="D46" s="157">
        <v>1392.8</v>
      </c>
      <c r="E46" s="170">
        <v>1106.5999999999999</v>
      </c>
      <c r="F46" s="158">
        <f t="shared" si="3"/>
        <v>1080.37871559633</v>
      </c>
      <c r="G46" s="158">
        <f t="shared" si="3"/>
        <v>672.4932110091745</v>
      </c>
      <c r="H46" s="158">
        <f t="shared" si="3"/>
        <v>490.67449541284395</v>
      </c>
      <c r="I46" s="158">
        <f t="shared" si="3"/>
        <v>389.84807339449543</v>
      </c>
      <c r="J46" s="158">
        <f t="shared" si="4"/>
        <v>58.880639999999985</v>
      </c>
      <c r="K46" s="158">
        <f t="shared" si="4"/>
        <v>36.650880000000015</v>
      </c>
      <c r="L46" s="158">
        <f t="shared" si="4"/>
        <v>26.741759999999996</v>
      </c>
      <c r="M46" s="158">
        <f t="shared" si="4"/>
        <v>21.24672</v>
      </c>
      <c r="N46" s="159">
        <v>3000</v>
      </c>
      <c r="O46" s="159" t="e">
        <f>[3]!Table7[[#This Row],[Ah Rating]]/10</f>
        <v>#REF!</v>
      </c>
      <c r="P46" s="172" t="e">
        <f>[3]!Table7[[#This Row],[Temp]]</f>
        <v>#REF!</v>
      </c>
    </row>
    <row r="47" spans="1:16">
      <c r="A47" s="161" t="s">
        <v>2113</v>
      </c>
      <c r="B47" s="157">
        <v>1349</v>
      </c>
      <c r="C47" s="157">
        <v>865</v>
      </c>
      <c r="D47" s="157">
        <v>631</v>
      </c>
      <c r="E47" s="170">
        <v>502</v>
      </c>
      <c r="F47" s="158">
        <f t="shared" si="3"/>
        <v>475.24403669724774</v>
      </c>
      <c r="G47" s="158">
        <f t="shared" si="3"/>
        <v>304.73394495412845</v>
      </c>
      <c r="H47" s="158">
        <f t="shared" si="3"/>
        <v>222.29724770642201</v>
      </c>
      <c r="I47" s="158">
        <f t="shared" si="3"/>
        <v>176.85137614678899</v>
      </c>
      <c r="J47" s="158">
        <f t="shared" si="4"/>
        <v>25.900800000000004</v>
      </c>
      <c r="K47" s="158">
        <f t="shared" si="4"/>
        <v>16.608000000000001</v>
      </c>
      <c r="L47" s="158">
        <f t="shared" si="4"/>
        <v>12.1152</v>
      </c>
      <c r="M47" s="158">
        <f t="shared" si="4"/>
        <v>9.638399999999999</v>
      </c>
      <c r="N47" s="159">
        <v>1200</v>
      </c>
      <c r="O47" s="159" t="e">
        <f>[3]!Table7[[#This Row],[Ah Rating]]/10</f>
        <v>#REF!</v>
      </c>
      <c r="P47" s="172" t="e">
        <f>[3]!Table7[[#This Row],[Temp]]</f>
        <v>#REF!</v>
      </c>
    </row>
    <row r="48" spans="1:16">
      <c r="A48" s="161" t="s">
        <v>1889</v>
      </c>
      <c r="B48" s="157">
        <v>776</v>
      </c>
      <c r="C48" s="157">
        <v>472</v>
      </c>
      <c r="D48" s="157">
        <v>345</v>
      </c>
      <c r="E48" s="170">
        <v>274</v>
      </c>
      <c r="F48" s="158">
        <f t="shared" si="3"/>
        <v>273.37981651376151</v>
      </c>
      <c r="G48" s="158">
        <f t="shared" si="3"/>
        <v>166.28256880733946</v>
      </c>
      <c r="H48" s="158">
        <f t="shared" si="3"/>
        <v>121.54128440366972</v>
      </c>
      <c r="I48" s="158">
        <f t="shared" si="3"/>
        <v>96.528440366972475</v>
      </c>
      <c r="J48" s="158">
        <f t="shared" si="4"/>
        <v>14.899200000000002</v>
      </c>
      <c r="K48" s="158">
        <f t="shared" si="4"/>
        <v>9.0624000000000002</v>
      </c>
      <c r="L48" s="158">
        <f t="shared" si="4"/>
        <v>6.6239999999999997</v>
      </c>
      <c r="M48" s="158">
        <f t="shared" si="4"/>
        <v>5.2608000000000006</v>
      </c>
      <c r="N48" s="159">
        <v>652</v>
      </c>
      <c r="O48" s="159" t="e">
        <f>[3]!Table7[[#This Row],[Ah Rating]]/10</f>
        <v>#REF!</v>
      </c>
      <c r="P48" s="172" t="e">
        <f>[3]!Table7[[#This Row],[Temp]]</f>
        <v>#REF!</v>
      </c>
    </row>
    <row r="49" spans="1:16">
      <c r="A49" s="161" t="s">
        <v>2114</v>
      </c>
      <c r="B49" s="157">
        <v>1899</v>
      </c>
      <c r="C49" s="157">
        <v>1200</v>
      </c>
      <c r="D49" s="157">
        <v>893</v>
      </c>
      <c r="E49" s="170">
        <v>720</v>
      </c>
      <c r="F49" s="158">
        <f t="shared" si="3"/>
        <v>669.005504587156</v>
      </c>
      <c r="G49" s="158">
        <f t="shared" si="3"/>
        <v>422.75229357798162</v>
      </c>
      <c r="H49" s="158">
        <f t="shared" si="3"/>
        <v>314.59816513761467</v>
      </c>
      <c r="I49" s="158">
        <f t="shared" si="3"/>
        <v>253.65137614678898</v>
      </c>
      <c r="J49" s="158">
        <f t="shared" si="4"/>
        <v>36.460800000000006</v>
      </c>
      <c r="K49" s="158">
        <f t="shared" si="4"/>
        <v>23.04</v>
      </c>
      <c r="L49" s="158">
        <f t="shared" si="4"/>
        <v>17.145599999999998</v>
      </c>
      <c r="M49" s="158">
        <f t="shared" si="4"/>
        <v>13.824</v>
      </c>
      <c r="N49" s="159">
        <v>1680</v>
      </c>
      <c r="O49" s="159" t="e">
        <f>[3]!Table7[[#This Row],[Ah Rating]]/10</f>
        <v>#REF!</v>
      </c>
      <c r="P49" s="172" t="e">
        <f>[3]!Table7[[#This Row],[Temp]]</f>
        <v>#REF!</v>
      </c>
    </row>
    <row r="50" spans="1:16">
      <c r="A50" s="161" t="s">
        <v>1590</v>
      </c>
      <c r="B50" s="157">
        <v>591</v>
      </c>
      <c r="C50" s="157">
        <v>355</v>
      </c>
      <c r="D50" s="157">
        <v>254</v>
      </c>
      <c r="E50" s="170">
        <v>203</v>
      </c>
      <c r="F50" s="158">
        <f t="shared" si="3"/>
        <v>208.20550458715599</v>
      </c>
      <c r="G50" s="158">
        <f t="shared" si="3"/>
        <v>125.06422018348624</v>
      </c>
      <c r="H50" s="158">
        <f t="shared" si="3"/>
        <v>89.482568807339462</v>
      </c>
      <c r="I50" s="158">
        <f t="shared" si="3"/>
        <v>71.51559633027523</v>
      </c>
      <c r="J50" s="158">
        <f t="shared" si="4"/>
        <v>11.347200000000001</v>
      </c>
      <c r="K50" s="158">
        <f t="shared" si="4"/>
        <v>6.8159999999999998</v>
      </c>
      <c r="L50" s="158">
        <f t="shared" si="4"/>
        <v>4.8768000000000011</v>
      </c>
      <c r="M50" s="158">
        <f t="shared" si="4"/>
        <v>3.8975999999999997</v>
      </c>
      <c r="N50" s="159">
        <v>489</v>
      </c>
      <c r="O50" s="159" t="e">
        <f>[3]!Table7[[#This Row],[Ah Rating]]/10</f>
        <v>#REF!</v>
      </c>
      <c r="P50" s="172" t="e">
        <f>[3]!Table7[[#This Row],[Temp]]</f>
        <v>#REF!</v>
      </c>
    </row>
    <row r="51" spans="1:16">
      <c r="A51" s="161" t="s">
        <v>2115</v>
      </c>
      <c r="B51" s="157">
        <v>197</v>
      </c>
      <c r="C51" s="157">
        <v>118</v>
      </c>
      <c r="D51" s="157">
        <v>84.8</v>
      </c>
      <c r="E51" s="170">
        <v>67.5</v>
      </c>
      <c r="F51" s="158">
        <f t="shared" si="3"/>
        <v>69.401834862385314</v>
      </c>
      <c r="G51" s="158">
        <f t="shared" si="3"/>
        <v>41.570642201834865</v>
      </c>
      <c r="H51" s="158">
        <f t="shared" si="3"/>
        <v>29.874495412844034</v>
      </c>
      <c r="I51" s="158">
        <f t="shared" si="3"/>
        <v>23.779816513761471</v>
      </c>
      <c r="J51" s="158">
        <f t="shared" si="4"/>
        <v>3.7823999999999995</v>
      </c>
      <c r="K51" s="158">
        <f t="shared" si="4"/>
        <v>2.2656000000000001</v>
      </c>
      <c r="L51" s="158">
        <f t="shared" si="4"/>
        <v>1.6281599999999998</v>
      </c>
      <c r="M51" s="158">
        <f t="shared" si="4"/>
        <v>1.2960000000000003</v>
      </c>
      <c r="N51" s="159">
        <v>163</v>
      </c>
      <c r="O51" s="159" t="e">
        <f>[3]!Table7[[#This Row],[Ah Rating]]/10</f>
        <v>#REF!</v>
      </c>
      <c r="P51" s="172" t="e">
        <f>[3]!Table7[[#This Row],[Temp]]</f>
        <v>#REF!</v>
      </c>
    </row>
    <row r="52" spans="1:16">
      <c r="A52" s="161" t="s">
        <v>2116</v>
      </c>
      <c r="B52" s="157">
        <v>394</v>
      </c>
      <c r="C52" s="157">
        <v>237</v>
      </c>
      <c r="D52" s="157">
        <v>170</v>
      </c>
      <c r="E52" s="170">
        <v>135</v>
      </c>
      <c r="F52" s="158">
        <f t="shared" si="3"/>
        <v>138.80366972477063</v>
      </c>
      <c r="G52" s="158">
        <f t="shared" si="3"/>
        <v>83.493577981651384</v>
      </c>
      <c r="H52" s="158">
        <f t="shared" si="3"/>
        <v>59.889908256880737</v>
      </c>
      <c r="I52" s="158">
        <f t="shared" si="3"/>
        <v>47.559633027522942</v>
      </c>
      <c r="J52" s="158">
        <f t="shared" si="4"/>
        <v>7.5647999999999991</v>
      </c>
      <c r="K52" s="158">
        <f t="shared" si="4"/>
        <v>4.5504000000000007</v>
      </c>
      <c r="L52" s="158">
        <f t="shared" si="4"/>
        <v>3.2639999999999998</v>
      </c>
      <c r="M52" s="158">
        <f t="shared" si="4"/>
        <v>2.5920000000000005</v>
      </c>
      <c r="N52" s="159">
        <v>260</v>
      </c>
      <c r="O52" s="159" t="e">
        <f>[3]!Table7[[#This Row],[Ah Rating]]/10</f>
        <v>#REF!</v>
      </c>
      <c r="P52" s="172" t="e">
        <f>[3]!Table7[[#This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B6"/>
  <sheetViews>
    <sheetView workbookViewId="0">
      <selection activeCell="E6" sqref="E6"/>
    </sheetView>
  </sheetViews>
  <sheetFormatPr defaultRowHeight="13.15"/>
  <sheetData>
    <row r="4" spans="1:2">
      <c r="A4" t="s">
        <v>2119</v>
      </c>
      <c r="B4">
        <v>1200</v>
      </c>
    </row>
    <row r="5" spans="1:2">
      <c r="A5" t="s">
        <v>2120</v>
      </c>
      <c r="B5">
        <v>1500</v>
      </c>
    </row>
    <row r="6" spans="1:2">
      <c r="A6" t="s">
        <v>2121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2122</v>
      </c>
      <c r="C1" t="s">
        <v>2123</v>
      </c>
      <c r="D1" s="52" t="s">
        <v>2124</v>
      </c>
      <c r="E1" s="52" t="s">
        <v>2125</v>
      </c>
      <c r="F1" s="52" t="s">
        <v>2126</v>
      </c>
    </row>
    <row r="2" spans="1:6">
      <c r="A2" t="s">
        <v>1961</v>
      </c>
      <c r="B2" s="77">
        <v>7.4</v>
      </c>
      <c r="C2">
        <v>4</v>
      </c>
      <c r="D2">
        <f>SUM(B2*C2)</f>
        <v>29.6</v>
      </c>
      <c r="E2" s="394">
        <f>SUM(D2:D6)</f>
        <v>121.80000000000001</v>
      </c>
      <c r="F2" s="394">
        <f>SUM(E2/100)*75</f>
        <v>91.350000000000009</v>
      </c>
    </row>
    <row r="3" spans="1:6">
      <c r="A3" s="52" t="s">
        <v>1961</v>
      </c>
      <c r="B3" s="77">
        <v>13.4</v>
      </c>
      <c r="C3">
        <v>3</v>
      </c>
      <c r="D3">
        <f t="shared" ref="D3:D13" si="0">SUM(B3*C3)</f>
        <v>40.200000000000003</v>
      </c>
      <c r="E3" s="394"/>
      <c r="F3" s="394"/>
    </row>
    <row r="4" spans="1:6">
      <c r="A4" s="52" t="s">
        <v>2127</v>
      </c>
      <c r="B4">
        <v>7.4</v>
      </c>
      <c r="C4">
        <v>2</v>
      </c>
      <c r="D4">
        <f t="shared" si="0"/>
        <v>14.8</v>
      </c>
      <c r="E4" s="394"/>
      <c r="F4" s="394"/>
    </row>
    <row r="5" spans="1:6">
      <c r="A5" s="52" t="s">
        <v>1963</v>
      </c>
      <c r="B5">
        <v>7.5</v>
      </c>
      <c r="C5">
        <v>2</v>
      </c>
      <c r="D5">
        <f t="shared" si="0"/>
        <v>15</v>
      </c>
      <c r="E5" s="394"/>
      <c r="F5" s="394"/>
    </row>
    <row r="6" spans="1:6">
      <c r="A6" s="52" t="s">
        <v>1118</v>
      </c>
      <c r="B6">
        <v>7.4</v>
      </c>
      <c r="C6">
        <v>3</v>
      </c>
      <c r="D6">
        <f t="shared" si="0"/>
        <v>22.200000000000003</v>
      </c>
      <c r="E6" s="394"/>
      <c r="F6" s="394"/>
    </row>
    <row r="7" spans="1:6">
      <c r="A7" s="52" t="s">
        <v>846</v>
      </c>
      <c r="B7">
        <v>18</v>
      </c>
      <c r="C7">
        <v>2</v>
      </c>
      <c r="D7">
        <f t="shared" si="0"/>
        <v>36</v>
      </c>
      <c r="E7" s="394">
        <f>SUM(D7:D8)</f>
        <v>96</v>
      </c>
      <c r="F7" s="394">
        <f>SUM(E7/100)*75</f>
        <v>72</v>
      </c>
    </row>
    <row r="8" spans="1:6">
      <c r="A8" s="52" t="s">
        <v>2128</v>
      </c>
      <c r="B8">
        <v>30</v>
      </c>
      <c r="C8">
        <v>2</v>
      </c>
      <c r="D8">
        <f t="shared" si="0"/>
        <v>60</v>
      </c>
      <c r="E8" s="394"/>
      <c r="F8" s="394"/>
    </row>
    <row r="9" spans="1:6">
      <c r="A9" s="52" t="s">
        <v>1313</v>
      </c>
      <c r="B9">
        <v>35</v>
      </c>
      <c r="C9">
        <v>1</v>
      </c>
      <c r="D9">
        <f t="shared" si="0"/>
        <v>35</v>
      </c>
      <c r="E9" s="394">
        <f>SUM(D9:D11)</f>
        <v>155</v>
      </c>
      <c r="F9" s="394">
        <f>SUM(E9/100)*75</f>
        <v>116.25</v>
      </c>
    </row>
    <row r="10" spans="1:6">
      <c r="A10" s="52" t="s">
        <v>1313</v>
      </c>
      <c r="B10">
        <v>30</v>
      </c>
      <c r="C10">
        <v>1</v>
      </c>
      <c r="D10">
        <f t="shared" si="0"/>
        <v>30</v>
      </c>
      <c r="E10" s="394"/>
      <c r="F10" s="394"/>
    </row>
    <row r="11" spans="1:6">
      <c r="A11" s="52" t="s">
        <v>1316</v>
      </c>
      <c r="B11">
        <v>10</v>
      </c>
      <c r="C11">
        <v>9</v>
      </c>
      <c r="D11">
        <f t="shared" si="0"/>
        <v>90</v>
      </c>
      <c r="E11" s="394"/>
      <c r="F11" s="394"/>
    </row>
    <row r="12" spans="1:6">
      <c r="A12" s="52" t="s">
        <v>1014</v>
      </c>
      <c r="B12">
        <v>40</v>
      </c>
      <c r="C12">
        <v>2</v>
      </c>
      <c r="D12">
        <f t="shared" si="0"/>
        <v>80</v>
      </c>
      <c r="E12" s="394">
        <f>SUM(D12:D13)</f>
        <v>110</v>
      </c>
      <c r="F12" s="394">
        <f>SUM(E12/100)*75</f>
        <v>82.5</v>
      </c>
    </row>
    <row r="13" spans="1:6">
      <c r="A13" s="52" t="s">
        <v>2129</v>
      </c>
      <c r="B13">
        <v>30</v>
      </c>
      <c r="C13">
        <v>1</v>
      </c>
      <c r="D13">
        <f t="shared" si="0"/>
        <v>30</v>
      </c>
      <c r="E13" s="394"/>
      <c r="F13" s="394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FE4F5-F063-4400-ADE3-751387CD8AD5}"/>
</file>

<file path=customXml/itemProps2.xml><?xml version="1.0" encoding="utf-8"?>
<ds:datastoreItem xmlns:ds="http://schemas.openxmlformats.org/officeDocument/2006/customXml" ds:itemID="{F54C52EE-9969-49F4-B363-0B671CD258AE}"/>
</file>

<file path=customXml/itemProps3.xml><?xml version="1.0" encoding="utf-8"?>
<ds:datastoreItem xmlns:ds="http://schemas.openxmlformats.org/officeDocument/2006/customXml" ds:itemID="{E81F7512-B4AA-4F54-934D-27FF34955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2024-03-12T08:02:11Z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13a6c602-f4d9-4a85-945a-3bf88079b51a</vt:lpwstr>
  </property>
  <property fmtid="{D5CDD505-2E9C-101B-9397-08002B2CF9AE}" pid="10" name="MSIP_Label_0359f705-2ba0-454b-9cfc-6ce5bcaac040_ContentBits">
    <vt:lpwstr>2</vt:lpwstr>
  </property>
</Properties>
</file>