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1" documentId="8_{00A5FAE5-C798-4F25-A898-8326EA2C7896}" xr6:coauthVersionLast="47" xr6:coauthVersionMax="47" xr10:uidLastSave="{3F0A38B3-1CC1-42B0-B0F4-E0824C87CE6C}"/>
  <bookViews>
    <workbookView minimized="1" xWindow="26124" yWindow="3732" windowWidth="17280" windowHeight="8880" firstSheet="6" activeTab="6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Site check - Dual" sheetId="14" r:id="rId5"/>
    <sheet name="All" sheetId="9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5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4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" i="9" l="1"/>
  <c r="AN9" i="9"/>
  <c r="AN23" i="9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10" i="9"/>
  <c r="AN11" i="9"/>
  <c r="G2" i="6"/>
  <c r="AI221" i="9" l="1"/>
  <c r="AH221" i="9"/>
  <c r="AI172" i="9"/>
  <c r="AH172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I76" i="9" l="1"/>
  <c r="AH76" i="9"/>
  <c r="AP77" i="9"/>
  <c r="B77" i="5"/>
  <c r="C77" i="5"/>
  <c r="AX87" i="7" l="1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C39" i="5" l="1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14" i="14"/>
  <c r="D22" i="14" s="1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C255" i="10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7" i="6"/>
  <c r="G77" i="6" s="1"/>
  <c r="AV78" i="6"/>
  <c r="G78" i="6" s="1"/>
  <c r="AV173" i="6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G42" i="6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G41" i="6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H77" i="6" l="1"/>
  <c r="R77" i="5"/>
  <c r="AA77" i="9" s="1"/>
  <c r="R39" i="5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A39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E471" i="7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E447" i="7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BC250" i="7" s="1"/>
  <c r="E250" i="7"/>
  <c r="BB250" i="7" s="1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BC150" i="7" s="1"/>
  <c r="E150" i="7"/>
  <c r="BB150" i="7" s="1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E109" i="7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BC92" i="7" s="1"/>
  <c r="E92" i="7"/>
  <c r="BB92" i="7" s="1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BC73" i="7" s="1"/>
  <c r="E73" i="7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E30" i="7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E28" i="7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AK76" i="9" l="1"/>
  <c r="AL76" i="9" s="1"/>
  <c r="BB28" i="7"/>
  <c r="BC28" i="7"/>
  <c r="BB184" i="7"/>
  <c r="AB77" i="9"/>
  <c r="AF77" i="9"/>
  <c r="AC77" i="9"/>
  <c r="BC109" i="7"/>
  <c r="AK172" i="9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AE77" i="9" l="1"/>
  <c r="G77" i="5" s="1"/>
  <c r="H77" i="5"/>
  <c r="AG77" i="9"/>
  <c r="I77" i="5" s="1"/>
  <c r="J77" i="5"/>
  <c r="AD77" i="9"/>
  <c r="E77" i="5" s="1"/>
  <c r="F77" i="5"/>
  <c r="F173" i="5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C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I6" i="8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E7" i="8" l="1"/>
  <c r="J54" i="5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K185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tc={E20022F0-85A2-47FF-8FFF-4E872759FBF6}</author>
    <author>tc={2B9D746C-4AF9-4178-B288-7DAFFE59C797}</author>
    <author>tc={EAC96642-6471-4529-B087-731946B27B4D}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tc={6D908517-FF86-4611-A06A-2C94FB89B879}</author>
    <author>tc={18651EEE-19D0-4489-A6C0-A5F0E1480D5D}</author>
    <author>tc={AC641F5E-4A92-44F6-9008-D3C8D84D317A}</author>
    <author>tc={4B9C97E2-540A-418B-8AE6-1EF249874183}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3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4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5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</t>
      </text>
    </comment>
    <comment ref="R22" authorId="16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T22" authorId="17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18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9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</t>
      </text>
    </comment>
    <comment ref="L23" authorId="20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1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2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</t>
      </text>
    </comment>
    <comment ref="R23" authorId="23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T23" authorId="24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5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6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</t>
      </text>
    </comment>
    <comment ref="J25" authorId="27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8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9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0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6" authorId="31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2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3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4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5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6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7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8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</t>
      </text>
    </comment>
    <comment ref="N30" authorId="39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0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</t>
      </text>
    </comment>
    <comment ref="R30" authorId="41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</t>
      </text>
    </comment>
    <comment ref="T30" authorId="42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</t>
      </text>
    </comment>
    <comment ref="V30" authorId="43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4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</t>
      </text>
    </comment>
    <comment ref="L31" authorId="45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</t>
      </text>
    </comment>
    <comment ref="N31" authorId="46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7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8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</t>
      </text>
    </comment>
    <comment ref="T31" authorId="49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</t>
      </text>
    </comment>
    <comment ref="V31" authorId="50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</t>
      </text>
    </comment>
    <comment ref="J32" authorId="51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2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3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4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55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6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57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39" authorId="58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39" authorId="59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0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R39" authorId="61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T39" authorId="62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39" authorId="63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39" authorId="64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5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6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39" authorId="67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39" authorId="68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39" authorId="69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39" authorId="70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1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2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40" authorId="73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40" authorId="74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5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6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7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78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79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0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1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2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3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40" authorId="84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40" authorId="85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6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7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8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8" authorId="89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90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1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2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3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4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5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96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7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98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99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0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1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2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3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4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5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06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07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08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09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0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1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2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3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4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5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6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7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18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19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20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1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2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3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4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2" authorId="125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6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27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28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29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30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1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2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3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4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5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36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37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38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39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40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1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2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3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4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5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46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47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48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49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50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1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2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3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4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5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70" authorId="156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70" authorId="157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70" authorId="158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2" authorId="159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</t>
      </text>
    </comment>
    <comment ref="N72" authorId="160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61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</t>
      </text>
    </comment>
    <comment ref="R72" authorId="162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</t>
      </text>
    </comment>
    <comment ref="T72" authorId="163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64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</t>
      </text>
    </comment>
    <comment ref="N73" authorId="165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</t>
      </text>
    </comment>
    <comment ref="P73" authorId="166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</t>
      </text>
    </comment>
    <comment ref="R73" authorId="167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</t>
      </text>
    </comment>
    <comment ref="T73" authorId="168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</t>
      </text>
    </comment>
    <comment ref="J74" authorId="169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70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71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7" authorId="172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73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74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75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76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77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78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4" authorId="179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80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</t>
      </text>
    </comment>
    <comment ref="L102" authorId="181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</t>
      </text>
    </comment>
    <comment ref="N102" authorId="182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83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84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85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86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87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88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</t>
      </text>
    </comment>
    <comment ref="L103" authorId="189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90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</t>
      </text>
    </comment>
    <comment ref="P103" authorId="191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92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93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94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95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96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197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198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199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200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J114" authorId="201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5" authorId="202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6" authorId="203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04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05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</t>
      </text>
    </comment>
    <comment ref="L117" authorId="206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07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</t>
      </text>
    </comment>
    <comment ref="P117" authorId="208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09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10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</t>
      </text>
    </comment>
    <comment ref="L118" authorId="211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12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</t>
      </text>
    </comment>
    <comment ref="P118" authorId="213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14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</t>
      </text>
    </comment>
    <comment ref="J119" authorId="215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16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</t>
      </text>
    </comment>
    <comment ref="N119" authorId="217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18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</t>
      </text>
    </comment>
    <comment ref="R119" authorId="219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20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21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</t>
      </text>
    </comment>
    <comment ref="X119" authorId="222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</t>
      </text>
    </comment>
    <comment ref="Y119" authorId="223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</t>
      </text>
    </comment>
    <comment ref="AA119" authorId="224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0" authorId="225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26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N120" authorId="227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28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</t>
      </text>
    </comment>
    <comment ref="R120" authorId="229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</t>
      </text>
    </comment>
    <comment ref="T120" authorId="230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V120" authorId="231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</t>
      </text>
    </comment>
    <comment ref="X120" authorId="232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Y120" authorId="233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</t>
      </text>
    </comment>
    <comment ref="AA120" authorId="234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1" authorId="235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36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37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38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39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1" authorId="240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41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42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43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44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45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40" authorId="246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</t>
      </text>
    </comment>
    <comment ref="L140" authorId="247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N143" authorId="248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S143" authorId="249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50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Z143" authorId="251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3" authorId="252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3" authorId="253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54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55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56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4" authorId="257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58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144" authorId="259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</t>
      </text>
    </comment>
    <comment ref="V144" authorId="260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</t>
      </text>
    </comment>
    <comment ref="Z144" authorId="261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4" authorId="262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</t>
      </text>
    </comment>
    <comment ref="AJ144" authorId="263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64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65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5" authorId="266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67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68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8" authorId="269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70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71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72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73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L155" authorId="274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</t>
      </text>
    </comment>
    <comment ref="P155" authorId="275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</t>
      </text>
    </comment>
    <comment ref="R155" authorId="276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</t>
      </text>
    </comment>
    <comment ref="T155" authorId="277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</t>
      </text>
    </comment>
    <comment ref="V155" authorId="278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X155" authorId="279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80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81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</t>
      </text>
    </comment>
    <comment ref="J159" authorId="282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</t>
      </text>
    </comment>
    <comment ref="L159" authorId="283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</t>
      </text>
    </comment>
    <comment ref="R159" authorId="284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</t>
      </text>
    </comment>
    <comment ref="T159" authorId="285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</t>
      </text>
    </comment>
    <comment ref="V159" authorId="286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87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288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</t>
      </text>
    </comment>
    <comment ref="AB159" authorId="289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</t>
      </text>
    </comment>
    <comment ref="AD159" authorId="290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91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92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</t>
      </text>
    </comment>
    <comment ref="AJ159" authorId="293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294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95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96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97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98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</t>
      </text>
    </comment>
    <comment ref="J160" authorId="299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</t>
      </text>
    </comment>
    <comment ref="L160" authorId="300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</t>
      </text>
    </comment>
    <comment ref="R160" authorId="301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</t>
      </text>
    </comment>
    <comment ref="T160" authorId="302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303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304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305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306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60" authorId="307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308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09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</t>
      </text>
    </comment>
    <comment ref="AJ160" authorId="310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11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12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13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14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15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</t>
      </text>
    </comment>
    <comment ref="J162" authorId="316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317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18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19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</t>
      </text>
    </comment>
    <comment ref="L172" authorId="320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</t>
      </text>
    </comment>
    <comment ref="N172" authorId="321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</t>
      </text>
    </comment>
    <comment ref="Q172" authorId="322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23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</t>
      </text>
    </comment>
    <comment ref="L173" authorId="324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</t>
      </text>
    </comment>
    <comment ref="N173" authorId="325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</t>
      </text>
    </comment>
    <comment ref="Q173" authorId="326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27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</t>
      </text>
    </comment>
    <comment ref="J179" authorId="328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</t>
      </text>
    </comment>
    <comment ref="L179" authorId="329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30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</t>
      </text>
    </comment>
    <comment ref="L184" authorId="331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4" authorId="332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</t>
      </text>
    </comment>
    <comment ref="J185" authorId="333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34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35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36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7" authorId="337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38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39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40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41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42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7" authorId="343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44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45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N204" authorId="346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P204" authorId="347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R204" authorId="348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4" authorId="349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N206" authorId="350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51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52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53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9" authorId="354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</t>
      </text>
    </comment>
    <comment ref="L219" authorId="355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56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P219" authorId="357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19" authorId="358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</t>
      </text>
    </comment>
    <comment ref="T219" authorId="359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V219" authorId="360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</t>
      </text>
    </comment>
    <comment ref="X219" authorId="361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362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19" authorId="363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64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</t>
      </text>
    </comment>
    <comment ref="L220" authorId="365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N220" authorId="366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</t>
      </text>
    </comment>
    <comment ref="P220" authorId="367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20" authorId="368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</t>
      </text>
    </comment>
    <comment ref="T220" authorId="369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</t>
      </text>
    </comment>
    <comment ref="V220" authorId="370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</t>
      </text>
    </comment>
    <comment ref="X220" authorId="371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20" authorId="372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20" authorId="373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74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75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76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77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78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79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80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81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82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83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84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385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386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L235" authorId="387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</t>
      </text>
    </comment>
    <comment ref="J236" authorId="388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389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</t>
      </text>
    </comment>
    <comment ref="J238" authorId="390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391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</t>
      </text>
    </comment>
    <comment ref="L240" authorId="392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393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40" authorId="394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0" authorId="395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396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397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</t>
      </text>
    </comment>
    <comment ref="Z240" authorId="398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0" authorId="399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400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</t>
      </text>
    </comment>
    <comment ref="L241" authorId="401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402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P241" authorId="403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1" authorId="404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T241" authorId="405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406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407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</t>
      </text>
    </comment>
    <comment ref="AB241" authorId="408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09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10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11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12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9" authorId="413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50" authorId="414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2" authorId="415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2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3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4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T87" authorId="25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</t>
      </text>
    </comment>
    <comment ref="V87" authorId="26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</t>
      </text>
    </comment>
    <comment ref="X87" authorId="27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</t>
      </text>
    </comment>
    <comment ref="Z87" authorId="28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</t>
      </text>
    </comment>
    <comment ref="AB87" authorId="29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</t>
      </text>
    </comment>
    <comment ref="AD87" authorId="30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1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</t>
      </text>
    </comment>
    <comment ref="AH87" authorId="32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</t>
      </text>
    </comment>
    <comment ref="S94" authorId="33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4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</t>
      </text>
    </comment>
    <comment ref="T116" authorId="35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</t>
      </text>
    </comment>
    <comment ref="V116" authorId="36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7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</t>
      </text>
    </comment>
    <comment ref="Z116" authorId="38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</t>
      </text>
    </comment>
    <comment ref="Q117" authorId="39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0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1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2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</t>
      </text>
    </comment>
    <comment ref="T143" authorId="43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</t>
      </text>
    </comment>
    <comment ref="V143" authorId="44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5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6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</t>
      </text>
    </comment>
    <comment ref="AB143" authorId="47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</t>
      </text>
    </comment>
    <comment ref="AD143" authorId="48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</t>
      </text>
    </comment>
    <comment ref="W148" authorId="49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0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</t>
      </text>
    </comment>
    <comment ref="T156" authorId="51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R170" authorId="52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3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4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5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6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7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8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59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0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1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2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3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4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</t>
      </text>
    </comment>
    <comment ref="V195" authorId="65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6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7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68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U200" authorId="69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70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</t>
      </text>
    </comment>
    <comment ref="T217" authorId="71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V217" authorId="72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3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4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5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</t>
      </text>
    </comment>
    <comment ref="T255" authorId="76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</t>
      </text>
    </comment>
    <comment ref="X255" authorId="77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</t>
      </text>
    </comment>
    <comment ref="Z255" authorId="78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9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0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81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2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3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</t>
      </text>
    </comment>
    <comment ref="T267" authorId="84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</t>
      </text>
    </comment>
    <comment ref="V267" authorId="85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86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87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</t>
      </text>
    </comment>
    <comment ref="AB267" authorId="88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9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0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1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92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</t>
      </text>
    </comment>
    <comment ref="AL267" authorId="93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</t>
      </text>
    </comment>
    <comment ref="R268" authorId="94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</t>
      </text>
    </comment>
    <comment ref="V268" authorId="95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</t>
      </text>
    </comment>
    <comment ref="X268" authorId="96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</t>
      </text>
    </comment>
    <comment ref="Z268" authorId="97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</t>
      </text>
    </comment>
    <comment ref="AB268" authorId="98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9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R275" authorId="100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1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2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</t>
      </text>
    </comment>
    <comment ref="X275" authorId="103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</t>
      </text>
    </comment>
    <comment ref="Z275" authorId="104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05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06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</t>
      </text>
    </comment>
    <comment ref="AF275" authorId="107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08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9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0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11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2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13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14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15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16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</t>
      </text>
    </comment>
    <comment ref="T302" authorId="117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</t>
      </text>
    </comment>
    <comment ref="V302" authorId="118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</t>
      </text>
    </comment>
    <comment ref="X302" authorId="119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0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1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22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23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24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25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26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7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8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</t>
      </text>
    </comment>
    <comment ref="V310" authorId="129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0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</t>
      </text>
    </comment>
    <comment ref="Z310" authorId="131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B310" authorId="132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</t>
      </text>
    </comment>
    <comment ref="AD310" authorId="133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</t>
      </text>
    </comment>
    <comment ref="AF310" authorId="134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35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36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</t>
      </text>
    </comment>
    <comment ref="AI310" authorId="137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38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</t>
      </text>
    </comment>
    <comment ref="R320" authorId="139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40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41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42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43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44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45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46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47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48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49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50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51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52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</t>
      </text>
    </comment>
    <comment ref="R369" authorId="153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54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55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</t>
      </text>
    </comment>
    <comment ref="R378" authorId="156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57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</t>
      </text>
    </comment>
    <comment ref="T381" authorId="158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</t>
      </text>
    </comment>
    <comment ref="R383" authorId="159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</t>
      </text>
    </comment>
    <comment ref="T383" authorId="160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61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</t>
      </text>
    </comment>
    <comment ref="R393" authorId="162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63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V393" authorId="164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X393" authorId="165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Z393" authorId="166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67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Q397" authorId="168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69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T405" authorId="170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</t>
      </text>
    </comment>
    <comment ref="R412" authorId="171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</t>
      </text>
    </comment>
    <comment ref="T412" authorId="172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73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74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75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R425" authorId="176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77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78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79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V439" authorId="180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X439" authorId="181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Z439" authorId="182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AB439" authorId="183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R440" authorId="184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185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V440" authorId="186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R441" authorId="187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</t>
      </text>
    </comment>
    <comment ref="T441" authorId="188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X441" authorId="189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90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91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Q442" authorId="192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193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94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95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</t>
      </text>
    </comment>
    <comment ref="U465" authorId="196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97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198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99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00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01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02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03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04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05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06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2kW allocation reduced due to live reading of 0.6kW</t>
      </text>
    </comment>
    <comment ref="X469" authorId="207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</t>
      </text>
    </comment>
    <comment ref="R470" authorId="208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S470" authorId="209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10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<sst xmlns="http://schemas.openxmlformats.org/spreadsheetml/2006/main" count="6261" uniqueCount="1630">
  <si>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</si>
  <si>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</si>
  <si>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</si>
  <si>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</si>
  <si>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</si>
  <si>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</si>
  <si>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</si>
  <si>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</si>
  <si>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</si>
  <si>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</si>
  <si>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</si>
  <si>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</si>
  <si>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</si>
  <si>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</si>
  <si>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</si>
  <si>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</si>
  <si>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</si>
  <si>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</si>
  <si>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</si>
  <si>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</si>
  <si>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</si>
  <si>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</si>
  <si>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</si>
  <si>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</si>
  <si>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</si>
  <si>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</si>
  <si>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</si>
  <si>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</si>
  <si>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</si>
  <si>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</si>
  <si>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</si>
  <si>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</si>
  <si>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</si>
  <si>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</si>
  <si>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</si>
  <si>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</si>
  <si>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</si>
  <si>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</si>
  <si>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</si>
  <si>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</si>
  <si>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</si>
  <si>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</si>
  <si>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</si>
  <si>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</si>
  <si>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</si>
  <si>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</si>
  <si>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</si>
  <si>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</si>
  <si>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</si>
  <si>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</si>
  <si>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</si>
  <si>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</si>
  <si>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</si>
  <si>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</si>
  <si>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</si>
  <si>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</si>
  <si>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</si>
  <si>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</si>
  <si>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</si>
  <si>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</si>
  <si>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</si>
  <si>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</si>
  <si>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</si>
  <si>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</si>
  <si>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</si>
  <si>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</si>
  <si>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</si>
  <si>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</si>
  <si>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</si>
  <si>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</si>
  <si>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</si>
  <si>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</si>
  <si>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</si>
  <si>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</si>
  <si>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</si>
  <si>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</si>
  <si>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</si>
  <si>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</si>
  <si>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</si>
  <si>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</si>
  <si>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</si>
  <si>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</si>
  <si>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</si>
  <si>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</si>
  <si>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</si>
  <si>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</si>
  <si>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</si>
  <si>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</si>
  <si>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</si>
  <si>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</si>
  <si>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</si>
  <si>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</si>
  <si>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</si>
  <si>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</si>
  <si>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</si>
  <si>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</si>
  <si>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</si>
  <si>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</si>
  <si>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</si>
  <si>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</si>
  <si>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</si>
  <si>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</si>
  <si>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</si>
  <si>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</si>
  <si>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</si>
  <si>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</si>
  <si>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</si>
  <si>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</si>
  <si>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</si>
  <si>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</si>
  <si>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</si>
  <si>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</si>
  <si>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</si>
  <si>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</si>
  <si>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</si>
  <si>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</si>
  <si>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</si>
  <si>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</si>
  <si>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</si>
  <si>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</si>
  <si>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</si>
  <si>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</si>
  <si>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</si>
  <si>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</si>
  <si>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</si>
  <si>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</si>
  <si>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</si>
  <si>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</si>
  <si>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</si>
  <si>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</si>
  <si>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</si>
  <si>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</si>
  <si>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</si>
  <si>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</si>
  <si>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</si>
  <si>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</si>
  <si>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</si>
  <si>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</si>
  <si>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</si>
  <si>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</si>
  <si>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</si>
  <si>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</si>
  <si>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</si>
  <si>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</si>
  <si>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</si>
  <si>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</si>
  <si>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</si>
  <si>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</si>
  <si>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</si>
  <si>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</si>
  <si>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</si>
  <si>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</si>
  <si>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</si>
  <si>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</si>
  <si>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</si>
  <si>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</si>
  <si>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</si>
  <si>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</si>
  <si>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</si>
  <si>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</si>
  <si>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</si>
  <si>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</si>
  <si>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</si>
  <si>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</si>
  <si>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</si>
  <si>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</si>
  <si>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</si>
  <si>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</si>
  <si>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</si>
  <si>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</si>
  <si>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</si>
  <si>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</si>
  <si>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</si>
  <si>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</si>
  <si>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</si>
  <si>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</si>
  <si>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</si>
  <si>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</si>
  <si>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</si>
  <si>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</si>
  <si>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</si>
  <si>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</si>
  <si>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</si>
  <si>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</si>
  <si>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</si>
  <si>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</si>
  <si>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</si>
  <si>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</si>
  <si>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</si>
  <si>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</si>
  <si>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</si>
  <si>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</si>
  <si>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</si>
  <si>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</si>
  <si>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</si>
  <si>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</si>
  <si>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</si>
  <si>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</si>
  <si>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</si>
  <si>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</si>
  <si>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</si>
  <si>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</si>
  <si>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</si>
  <si>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</si>
  <si>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</si>
  <si>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</si>
  <si>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</si>
  <si>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</si>
  <si>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</si>
  <si>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</si>
  <si>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</si>
  <si>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</si>
  <si>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</si>
  <si>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</si>
  <si>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</si>
  <si>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</si>
  <si>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</si>
  <si>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</si>
  <si>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</si>
  <si>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</si>
  <si>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</si>
  <si>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</si>
  <si>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</si>
  <si>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</si>
  <si>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</si>
  <si>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</si>
  <si>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</si>
  <si>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</si>
  <si>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</si>
  <si>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</si>
  <si>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</si>
  <si>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</si>
  <si>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</si>
  <si>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</si>
  <si>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</si>
  <si>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</si>
  <si>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</si>
  <si>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</si>
  <si>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</si>
  <si>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</si>
  <si>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</si>
  <si>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</si>
  <si>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</si>
  <si>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</si>
  <si>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</si>
  <si>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</si>
  <si>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</si>
  <si>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</si>
  <si>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</si>
  <si>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</si>
  <si>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</si>
  <si>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</si>
  <si>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</si>
  <si>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</si>
  <si>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</si>
  <si>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</si>
  <si>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</si>
  <si>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</si>
  <si>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</si>
  <si>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</si>
  <si>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</si>
  <si>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</si>
  <si>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</si>
  <si>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</si>
  <si>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</si>
  <si>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</si>
  <si>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</si>
  <si>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</si>
  <si>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</si>
  <si>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</si>
  <si>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</si>
  <si>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</si>
  <si>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</si>
  <si>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</si>
  <si>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</si>
  <si>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BHMN05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</si>
  <si>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</si>
  <si>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</si>
  <si>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</si>
  <si>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</si>
  <si>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</si>
  <si>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</si>
  <si>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</si>
  <si>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</si>
  <si>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</si>
  <si>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</si>
  <si>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</si>
  <si>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</si>
  <si>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</si>
  <si>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</si>
  <si>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</si>
  <si>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</si>
  <si>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</si>
  <si>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</si>
  <si>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</si>
  <si>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</si>
  <si>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</si>
  <si>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</si>
  <si>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</si>
  <si>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</si>
  <si>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</si>
  <si>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</si>
  <si>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</si>
  <si>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</si>
  <si>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</si>
  <si>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</si>
  <si>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</si>
  <si>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</si>
  <si>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</si>
  <si>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</si>
  <si>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</si>
  <si>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</si>
  <si>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</si>
  <si>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</si>
  <si>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</si>
  <si>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</si>
  <si>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</si>
  <si>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</si>
  <si>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</si>
  <si>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</si>
  <si>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</si>
  <si>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</si>
  <si>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</si>
  <si>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</si>
  <si>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</si>
  <si>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</si>
  <si>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</si>
  <si>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</si>
  <si>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</si>
  <si>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</si>
  <si>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</si>
  <si>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</si>
  <si>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</si>
  <si>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</si>
  <si>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</si>
  <si>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</si>
  <si>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</si>
  <si>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</si>
  <si>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</si>
  <si>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</si>
  <si>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</si>
  <si>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</si>
  <si>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</si>
  <si>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</si>
  <si>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</si>
  <si>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</si>
  <si>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</si>
  <si>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</si>
  <si>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</si>
  <si>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</si>
  <si>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</si>
  <si>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</si>
  <si>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</si>
  <si>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</si>
  <si>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</si>
  <si>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</si>
  <si>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</si>
  <si>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</si>
  <si>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</si>
  <si>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</si>
  <si>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</si>
  <si>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</si>
  <si>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</si>
  <si>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</si>
  <si>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</si>
  <si>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</si>
  <si>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</si>
  <si>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</si>
  <si>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</si>
  <si>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</si>
  <si>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</si>
  <si>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</si>
  <si>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</si>
  <si>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</si>
  <si>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</si>
  <si>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</si>
  <si>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</si>
  <si>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</si>
  <si>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</si>
  <si>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</si>
  <si>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</si>
  <si>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</si>
  <si>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</si>
  <si>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</si>
  <si>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</si>
  <si>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</si>
  <si>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</si>
  <si>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</si>
  <si>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</si>
  <si>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</si>
  <si>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</si>
  <si>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</si>
  <si>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</si>
  <si>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</si>
  <si>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</si>
  <si>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</si>
  <si>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</si>
  <si>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</si>
  <si>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</si>
  <si>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</si>
  <si>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</si>
  <si>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</si>
  <si>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</si>
  <si>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</si>
  <si>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</si>
  <si>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</si>
  <si>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</si>
  <si>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</si>
  <si>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</si>
  <si>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</si>
  <si>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</si>
  <si>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</si>
  <si>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</si>
  <si>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</si>
  <si>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</si>
  <si>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</si>
  <si>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</si>
  <si>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</si>
  <si>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</si>
  <si>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</si>
  <si>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</si>
  <si>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</si>
  <si>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</si>
  <si>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</si>
  <si>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</si>
  <si>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</si>
  <si>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</si>
  <si>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</si>
  <si>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</si>
  <si>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</si>
  <si>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</si>
  <si>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</si>
  <si>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</si>
  <si>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</si>
  <si>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</si>
  <si>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</si>
  <si>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</si>
  <si>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</si>
  <si>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</si>
  <si>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</si>
  <si>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</si>
  <si>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</si>
  <si>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</si>
  <si>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</si>
  <si>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</si>
  <si>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</si>
  <si>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</si>
  <si>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</si>
  <si>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</si>
  <si>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</si>
  <si>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</si>
  <si>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</si>
  <si>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</si>
  <si>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</si>
  <si>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</si>
  <si>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</si>
  <si>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</si>
  <si>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</si>
  <si>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</si>
  <si>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</si>
  <si>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</si>
  <si>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</si>
  <si>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</si>
  <si>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</si>
  <si>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</si>
  <si>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</si>
  <si>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</si>
  <si>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</si>
  <si>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</si>
  <si>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</si>
  <si>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</si>
  <si>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</si>
  <si>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</si>
  <si>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</si>
  <si>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</si>
  <si>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</si>
  <si>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</si>
  <si>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</si>
  <si>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</si>
  <si>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</si>
  <si>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</si>
  <si>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</si>
  <si>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</si>
  <si>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</si>
  <si>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</si>
  <si>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</si>
  <si>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</si>
  <si>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</si>
  <si>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</si>
  <si>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</si>
  <si>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</si>
  <si>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</si>
  <si>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</si>
  <si>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</si>
  <si>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</si>
  <si>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</si>
  <si>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</si>
  <si>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</si>
  <si>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</si>
  <si>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</si>
  <si>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</si>
  <si>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</si>
  <si>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</si>
  <si>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</si>
  <si>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</si>
  <si>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</si>
  <si>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</si>
  <si>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</si>
  <si>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</si>
  <si>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</si>
  <si>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</si>
  <si>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</si>
  <si>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</si>
  <si>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</si>
  <si>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</si>
  <si>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</si>
  <si>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</si>
  <si>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</si>
  <si>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</si>
  <si>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</si>
  <si>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</si>
  <si>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</si>
  <si>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</si>
  <si>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</si>
  <si>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</si>
  <si>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</si>
  <si>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</si>
  <si>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</si>
  <si>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</si>
  <si>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</si>
  <si>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</si>
  <si>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</si>
  <si>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</si>
  <si>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</si>
  <si>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</si>
  <si>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</si>
  <si>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</si>
  <si>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</si>
  <si>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</si>
  <si>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</si>
  <si>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</si>
  <si>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</si>
  <si>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</si>
  <si>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</si>
  <si>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</si>
  <si>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</si>
  <si>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</si>
  <si>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</si>
  <si>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</si>
  <si>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</si>
  <si>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</si>
  <si>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</si>
  <si>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</si>
  <si>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</si>
  <si>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</si>
  <si>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</si>
  <si>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</si>
  <si>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</si>
  <si>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</si>
  <si>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</si>
  <si>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</si>
  <si>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</si>
  <si>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</si>
  <si>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</si>
  <si>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</si>
  <si>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</si>
  <si>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</si>
  <si>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</si>
  <si>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</si>
  <si>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</si>
  <si>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</si>
  <si>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</si>
  <si>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</si>
  <si>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</si>
  <si>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</si>
  <si>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</si>
  <si>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</si>
  <si>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</si>
  <si>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</si>
  <si>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</si>
  <si>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</si>
  <si>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</si>
  <si>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</si>
  <si>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</si>
  <si>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</si>
  <si>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</si>
  <si>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</si>
  <si>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</si>
  <si>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</si>
  <si>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</si>
  <si>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</si>
  <si>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</si>
  <si>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</si>
  <si>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IGW,BA5 IGW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</si>
  <si>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</si>
  <si>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</si>
  <si>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</si>
  <si>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</si>
  <si>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</si>
  <si>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</si>
  <si>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</si>
  <si>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</si>
  <si>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</si>
  <si>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</si>
  <si>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</si>
  <si>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</si>
  <si>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</si>
  <si>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</si>
  <si>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</si>
  <si>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</si>
  <si>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</si>
  <si>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</si>
  <si>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</si>
  <si>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</si>
  <si>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</si>
  <si>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</si>
  <si>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</si>
  <si>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</si>
  <si>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</si>
  <si>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</si>
  <si>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</si>
  <si>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</si>
  <si>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</si>
  <si>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</si>
  <si>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</si>
  <si>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</si>
  <si>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</si>
  <si>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</si>
  <si>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</si>
  <si>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</si>
  <si>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</si>
  <si>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</si>
  <si>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</si>
  <si>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</si>
  <si>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</si>
  <si>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</si>
  <si>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</si>
  <si>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</si>
  <si>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</si>
  <si>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</si>
  <si>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</si>
  <si>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</si>
  <si>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</si>
  <si>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</si>
  <si>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</si>
  <si>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</si>
  <si>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</si>
  <si>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</si>
  <si>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</si>
  <si>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</si>
  <si>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</si>
  <si>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</si>
  <si>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</si>
  <si>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</si>
  <si>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</si>
  <si>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</si>
  <si>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</si>
  <si>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</si>
  <si>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</si>
  <si>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</si>
  <si>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</si>
  <si>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</si>
  <si>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</si>
  <si>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</si>
  <si>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</si>
  <si>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</si>
  <si>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</si>
  <si>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</si>
  <si>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</si>
  <si>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</si>
  <si>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</si>
  <si>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</si>
  <si>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</si>
  <si>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</si>
  <si>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</si>
  <si>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</si>
  <si>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</si>
  <si>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</si>
  <si>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</si>
  <si>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</si>
  <si>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</si>
  <si>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</si>
  <si>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</si>
  <si>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</si>
  <si>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</si>
  <si>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</si>
  <si>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</si>
  <si>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</si>
  <si>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</si>
  <si>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</si>
  <si>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</si>
  <si>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</si>
  <si>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</si>
  <si>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</si>
  <si>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</si>
  <si>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</si>
  <si>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</si>
  <si>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</si>
  <si>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</si>
  <si>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</si>
  <si>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</si>
  <si>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</si>
  <si>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</si>
  <si>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</si>
  <si>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</si>
  <si>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</si>
  <si>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</si>
  <si>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</si>
  <si>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</si>
  <si>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</si>
  <si>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</si>
  <si>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</si>
  <si>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</si>
  <si>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</si>
  <si>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</si>
  <si>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</si>
  <si>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</si>
  <si>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</si>
  <si>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</si>
  <si>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</si>
  <si>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</si>
  <si>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</si>
  <si>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</si>
  <si>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</si>
  <si>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</si>
  <si>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</si>
  <si>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</si>
  <si>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</si>
  <si>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</si>
  <si>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</si>
  <si>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</si>
  <si>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</si>
  <si>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</si>
  <si>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</si>
  <si>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</si>
  <si>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</si>
  <si>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</si>
  <si>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</si>
  <si>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</si>
  <si>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</si>
  <si>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</si>
  <si>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</si>
  <si>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</si>
  <si>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</si>
  <si>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</si>
  <si>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</si>
  <si>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</si>
  <si>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</si>
  <si>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</si>
  <si>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</si>
  <si>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</si>
  <si>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</si>
  <si>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</si>
  <si>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</si>
  <si>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</si>
  <si>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</si>
  <si>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</si>
  <si>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</si>
  <si>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</si>
  <si>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</si>
  <si>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</si>
  <si>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</si>
  <si>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</si>
  <si>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</si>
  <si>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</si>
  <si>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</si>
  <si>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</si>
  <si>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</si>
  <si>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</si>
  <si>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</si>
  <si>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</si>
  <si>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</si>
  <si>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</si>
  <si>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</si>
  <si>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</si>
  <si>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</si>
  <si>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</si>
  <si>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</si>
  <si>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</si>
  <si>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</si>
  <si>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</si>
  <si>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</si>
  <si>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</si>
  <si>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</si>
  <si>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</si>
  <si>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</si>
  <si>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</si>
  <si>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</si>
  <si>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</si>
  <si>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</si>
  <si>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</si>
  <si>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</si>
  <si>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</t>
  </si>
  <si>
    <t>CAMN41</t>
  </si>
  <si>
    <t>CFDTN1</t>
  </si>
  <si>
    <t>KLNN01</t>
  </si>
  <si>
    <t>NRWN51</t>
  </si>
  <si>
    <t>NRWTN1</t>
  </si>
  <si>
    <t>PTBTN1</t>
  </si>
  <si>
    <t>WTT</t>
  </si>
  <si>
    <t>BFTN03</t>
  </si>
  <si>
    <t>6500-14 B08</t>
  </si>
  <si>
    <t>ACTN01</t>
  </si>
  <si>
    <t>BHWCN1</t>
  </si>
  <si>
    <t>BTFTB1</t>
  </si>
  <si>
    <t>AB7 QWILT</t>
  </si>
  <si>
    <t>AB1 Waveserver</t>
  </si>
  <si>
    <t>CHTN07</t>
  </si>
  <si>
    <t xml:space="preserve">EF05 Alcatel 7210 </t>
  </si>
  <si>
    <t>CHTTN3</t>
  </si>
  <si>
    <t>CYNTN2</t>
  </si>
  <si>
    <t>WADN01</t>
  </si>
  <si>
    <t>DKTN08</t>
  </si>
  <si>
    <t>HRWN02</t>
  </si>
  <si>
    <t>IODN01</t>
  </si>
  <si>
    <t>IODN02</t>
  </si>
  <si>
    <t>MN02 Op-ex</t>
  </si>
  <si>
    <t>MN02 RLS&amp;WAVESERVER</t>
  </si>
  <si>
    <t>IGNN01</t>
  </si>
  <si>
    <t>LSWN01</t>
  </si>
  <si>
    <t>GF06 Alcatel7210 sas x</t>
  </si>
  <si>
    <t xml:space="preserve">RS07 polatis </t>
  </si>
  <si>
    <t>LSWN02</t>
  </si>
  <si>
    <t>PRLN02</t>
  </si>
  <si>
    <t>1,4</t>
  </si>
  <si>
    <t>RFDN11</t>
  </si>
  <si>
    <t>SMHN02</t>
  </si>
  <si>
    <t>SQYN01</t>
  </si>
  <si>
    <t>SQYN02</t>
  </si>
  <si>
    <t>GB10 ESA400</t>
  </si>
  <si>
    <t>JMJL01 EXFO BV-110</t>
  </si>
  <si>
    <t>TELHS2</t>
  </si>
  <si>
    <t>TELHS1</t>
  </si>
  <si>
    <t>VHXN02</t>
  </si>
  <si>
    <t>VXHINT</t>
  </si>
  <si>
    <t>WAHP03</t>
  </si>
  <si>
    <t>Wavesever20/21G</t>
  </si>
  <si>
    <t>WAHP06</t>
  </si>
  <si>
    <t>1S to V Op-Ex</t>
  </si>
  <si>
    <t>3K Op-Ex</t>
  </si>
  <si>
    <t>WAIP06</t>
  </si>
  <si>
    <t>BTNW01</t>
  </si>
  <si>
    <t>BTNW02</t>
  </si>
  <si>
    <t>BCT</t>
  </si>
  <si>
    <t>IJ05 Alcatel 7210</t>
  </si>
  <si>
    <t>BHMTF1</t>
  </si>
  <si>
    <t>BMGV02</t>
  </si>
  <si>
    <t>BMGV03</t>
  </si>
  <si>
    <t>BHMN08</t>
  </si>
  <si>
    <t xml:space="preserve">C6 WS5 &amp; ai </t>
  </si>
  <si>
    <t>NECCD1</t>
  </si>
  <si>
    <t>CELL01</t>
  </si>
  <si>
    <t>CELL02</t>
  </si>
  <si>
    <t>COV</t>
  </si>
  <si>
    <t>DBY</t>
  </si>
  <si>
    <t>EVMN01</t>
  </si>
  <si>
    <t>AB 02  XG210</t>
  </si>
  <si>
    <t>LMSCN2</t>
  </si>
  <si>
    <t>LCT</t>
  </si>
  <si>
    <t>NGM</t>
  </si>
  <si>
    <t>I</t>
  </si>
  <si>
    <t>NGMTL1</t>
  </si>
  <si>
    <t>BSHN03</t>
  </si>
  <si>
    <t>BSHN07</t>
  </si>
  <si>
    <t>Facebook</t>
  </si>
  <si>
    <t>BSHN08</t>
  </si>
  <si>
    <t>Util rack</t>
  </si>
  <si>
    <t>Home BB</t>
  </si>
  <si>
    <t>SOLN02</t>
  </si>
  <si>
    <t>FG03 BT Util</t>
  </si>
  <si>
    <t>SOT</t>
  </si>
  <si>
    <t>WVHTF1</t>
  </si>
  <si>
    <t>CHDCD1</t>
  </si>
  <si>
    <t>DONTN1</t>
  </si>
  <si>
    <t>LDMS13</t>
  </si>
  <si>
    <t>LDSCD1</t>
  </si>
  <si>
    <t>LDSCD2</t>
  </si>
  <si>
    <t>XY06 Nokia 7750SR7s</t>
  </si>
  <si>
    <t>C13 6500-32</t>
  </si>
  <si>
    <t>G15 BTOSA</t>
  </si>
  <si>
    <t>XY05 HPDL360S</t>
  </si>
  <si>
    <t>Netflix TU12</t>
  </si>
  <si>
    <t>LDSTS1</t>
  </si>
  <si>
    <t>MDBTD1</t>
  </si>
  <si>
    <t>NULTB1</t>
  </si>
  <si>
    <t>NWCN05</t>
  </si>
  <si>
    <t>E15 IGW, E13 IGW</t>
  </si>
  <si>
    <t xml:space="preserve">K02,XG210 </t>
  </si>
  <si>
    <t>SHD</t>
  </si>
  <si>
    <t>SNDTM1</t>
  </si>
  <si>
    <t>TGYN04</t>
  </si>
  <si>
    <t>YRK</t>
  </si>
  <si>
    <t>YRKTH1</t>
  </si>
  <si>
    <t>BIFTS1</t>
  </si>
  <si>
    <t>BPL</t>
  </si>
  <si>
    <t>DE3 UTILITY RACK</t>
  </si>
  <si>
    <t>CSL</t>
  </si>
  <si>
    <t>CSLN13</t>
  </si>
  <si>
    <t>Ciena 6500 14 D09</t>
  </si>
  <si>
    <t>CTRTK1</t>
  </si>
  <si>
    <t>CTRTS1</t>
  </si>
  <si>
    <t>EBCTC1</t>
  </si>
  <si>
    <t>D5 Ciena 6500</t>
  </si>
  <si>
    <t>DGS</t>
  </si>
  <si>
    <t>KNLTS1</t>
  </si>
  <si>
    <t xml:space="preserve">GF04 Ciena 6500 </t>
  </si>
  <si>
    <t>LLDTE1</t>
  </si>
  <si>
    <t>LPLTB1</t>
  </si>
  <si>
    <t>MCRN11</t>
  </si>
  <si>
    <t>MCRN12</t>
  </si>
  <si>
    <t>CC04 to 07 Op-ex</t>
  </si>
  <si>
    <t>CH2 7750 SR7s</t>
  </si>
  <si>
    <t>CA2 AKAMAI</t>
  </si>
  <si>
    <t>CCCD2 Wavesever</t>
  </si>
  <si>
    <t>MCRCD2</t>
  </si>
  <si>
    <t>SWY</t>
  </si>
  <si>
    <t>WTNTK1</t>
  </si>
  <si>
    <t>BDFN02</t>
  </si>
  <si>
    <t>BF07 PX</t>
  </si>
  <si>
    <t>BF03 Op Ex</t>
  </si>
  <si>
    <t>BF04 Op Ex</t>
  </si>
  <si>
    <t>BF05 Op Ex</t>
  </si>
  <si>
    <t>BDBE08 Waveserver</t>
  </si>
  <si>
    <t>AGAH03</t>
  </si>
  <si>
    <t>MKSTN1</t>
  </si>
  <si>
    <t>STEDN1</t>
  </si>
  <si>
    <t>BFEC01</t>
  </si>
  <si>
    <t>ABN</t>
  </si>
  <si>
    <t>Ciena 6500-14</t>
  </si>
  <si>
    <t>ABNTB1</t>
  </si>
  <si>
    <t>ABNTD1</t>
  </si>
  <si>
    <t>AYRN01</t>
  </si>
  <si>
    <t>DNDN71</t>
  </si>
  <si>
    <t>DNDTC1</t>
  </si>
  <si>
    <t>Ciena 6500 7Slot A04</t>
  </si>
  <si>
    <t>DNFNP1</t>
  </si>
  <si>
    <t>EDBTG1</t>
  </si>
  <si>
    <t>BA6 QWILT</t>
  </si>
  <si>
    <t>BB09 Nokia RR 7 Cisco RR</t>
  </si>
  <si>
    <t>EDBTN1</t>
  </si>
  <si>
    <t>BTRTP1</t>
  </si>
  <si>
    <t>GLWN07</t>
  </si>
  <si>
    <t xml:space="preserve">CD30 Ciena 6500 </t>
  </si>
  <si>
    <t>Alcatel 7210 CD28</t>
  </si>
  <si>
    <t>GLWTO1</t>
  </si>
  <si>
    <t>GLWTW1</t>
  </si>
  <si>
    <t>GH01 Alcatel 7210</t>
  </si>
  <si>
    <t>INVN41</t>
  </si>
  <si>
    <t>LIVN01</t>
  </si>
  <si>
    <t>PTHTL1</t>
  </si>
  <si>
    <t>STGCD1</t>
  </si>
  <si>
    <t>ASH</t>
  </si>
  <si>
    <t>CBY</t>
  </si>
  <si>
    <t>FKE</t>
  </si>
  <si>
    <t>HLWN02</t>
  </si>
  <si>
    <t>HHD</t>
  </si>
  <si>
    <t>IPWTN1</t>
  </si>
  <si>
    <t>RQ06 CIENA 6500-14SLOT</t>
  </si>
  <si>
    <t>LTNDN1</t>
  </si>
  <si>
    <t>Alcatel 7210 DE07</t>
  </si>
  <si>
    <t>MDE</t>
  </si>
  <si>
    <t>RCR</t>
  </si>
  <si>
    <t>SOSTN1</t>
  </si>
  <si>
    <t>AZTCD1</t>
  </si>
  <si>
    <t>AZTCD2</t>
  </si>
  <si>
    <t>TU08 Alcatel 7210</t>
  </si>
  <si>
    <t>BTLCD1</t>
  </si>
  <si>
    <t>BTLN08</t>
  </si>
  <si>
    <t>BTLCD2</t>
  </si>
  <si>
    <t>BTLN09</t>
  </si>
  <si>
    <t>AC11 QWILT</t>
  </si>
  <si>
    <t>B13 ESA400</t>
  </si>
  <si>
    <t>BDEN02</t>
  </si>
  <si>
    <t>BDEN06</t>
  </si>
  <si>
    <t>BDEN07</t>
  </si>
  <si>
    <t>A 1 to 7 Amitie</t>
  </si>
  <si>
    <t>CDFN02</t>
  </si>
  <si>
    <t>CHMN21</t>
  </si>
  <si>
    <t>CTNN01</t>
  </si>
  <si>
    <t>S&amp;T 1 to 6 Amitie</t>
  </si>
  <si>
    <t>CKKN03</t>
  </si>
  <si>
    <t>CKNN03</t>
  </si>
  <si>
    <t>DVSTB1</t>
  </si>
  <si>
    <t>EXR</t>
  </si>
  <si>
    <t>EXRN03</t>
  </si>
  <si>
    <t>FRNN03</t>
  </si>
  <si>
    <t>G&amp;H 1 to 6 Amitie</t>
  </si>
  <si>
    <t>OKNN01</t>
  </si>
  <si>
    <t>J&amp;K 1 to 6 Amitie</t>
  </si>
  <si>
    <t>PLY</t>
  </si>
  <si>
    <t>W&amp;X 1 to 6 Amitie</t>
  </si>
  <si>
    <t xml:space="preserve"> UV07 Ciena 6500 R8</t>
  </si>
  <si>
    <t>PCOTN1</t>
  </si>
  <si>
    <t>PCOTN2</t>
  </si>
  <si>
    <t>PCOTN3</t>
  </si>
  <si>
    <t>PCOTN4</t>
  </si>
  <si>
    <t>SDNN06</t>
  </si>
  <si>
    <t>CD03 Alcatel 7210</t>
  </si>
  <si>
    <t xml:space="preserve">CD2 Nokia 7750 SR12e ESA </t>
  </si>
  <si>
    <t>YZ15 Home BB</t>
  </si>
  <si>
    <t>QR03 to 09 Amitie</t>
  </si>
  <si>
    <t>SDN</t>
  </si>
  <si>
    <t>SDNN11</t>
  </si>
  <si>
    <t>SDNN13</t>
  </si>
  <si>
    <t>TNTTN1</t>
  </si>
  <si>
    <t>TRON01</t>
  </si>
  <si>
    <t>BSG</t>
  </si>
  <si>
    <t>BTN</t>
  </si>
  <si>
    <t>GFDCD1</t>
  </si>
  <si>
    <t>PTMN03</t>
  </si>
  <si>
    <t>SHTN03</t>
  </si>
  <si>
    <t>WKGN01</t>
  </si>
  <si>
    <t>ASMN02</t>
  </si>
  <si>
    <t>BKLN05</t>
  </si>
  <si>
    <t>BE/BF 15 Waveserver 5</t>
  </si>
  <si>
    <t>CC/CD 07 HPE DL 380</t>
  </si>
  <si>
    <t>BKLN05 Ext</t>
  </si>
  <si>
    <t>VSS DC/DB&amp;DF1,2,4</t>
  </si>
  <si>
    <t>DCT</t>
  </si>
  <si>
    <t>FMYN31</t>
  </si>
  <si>
    <t>IVER02</t>
  </si>
  <si>
    <t>NBYCD1</t>
  </si>
  <si>
    <t>POLN02</t>
  </si>
  <si>
    <t>EF13 RA</t>
  </si>
  <si>
    <t>E11 Ciena 6500 R8</t>
  </si>
  <si>
    <t>RDG</t>
  </si>
  <si>
    <t>RDGCD1</t>
  </si>
  <si>
    <t>RDGCD2</t>
  </si>
  <si>
    <t>SLO</t>
  </si>
  <si>
    <t>WHHN03</t>
  </si>
  <si>
    <t>OHB</t>
  </si>
  <si>
    <t>SWNN03</t>
  </si>
  <si>
    <t>A09 QWILT</t>
  </si>
  <si>
    <t>Nokia SEGW</t>
  </si>
  <si>
    <t>B13 Nokia SEGGW ESA</t>
  </si>
  <si>
    <t>XY 05 BT EAD</t>
  </si>
  <si>
    <t>AB7 W5</t>
  </si>
  <si>
    <t>T06 W5</t>
  </si>
  <si>
    <t>SHDTR1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</si>
  <si>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</si>
  <si>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</si>
  <si>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</si>
  <si>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</si>
  <si>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</si>
  <si>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</si>
  <si>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</si>
  <si>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</si>
  <si>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</si>
  <si>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</si>
  <si>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</si>
  <si>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</si>
  <si>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</si>
  <si>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</si>
  <si>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</si>
  <si>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</si>
  <si>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</si>
  <si>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</si>
  <si>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</si>
  <si>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</si>
  <si>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</si>
  <si>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</si>
  <si>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</si>
  <si>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</si>
  <si>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</si>
  <si>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</si>
  <si>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</si>
  <si>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</si>
  <si>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</si>
  <si>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</si>
  <si>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</si>
  <si>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</si>
  <si>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</si>
  <si>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</si>
  <si>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</si>
  <si>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</si>
  <si>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</si>
  <si>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</si>
  <si>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</si>
  <si>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</si>
  <si>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</si>
  <si>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</si>
  <si>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</si>
  <si>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</si>
  <si>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</si>
  <si>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</si>
  <si>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</si>
  <si>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</si>
  <si>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</si>
  <si>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</si>
  <si>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</si>
  <si>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</si>
  <si>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</si>
  <si>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</si>
  <si>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</si>
  <si>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</si>
  <si>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</si>
  <si>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</si>
  <si>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</si>
  <si>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</si>
  <si>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</si>
  <si>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</si>
  <si>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</si>
  <si>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</si>
  <si>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</si>
  <si>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</si>
  <si>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</si>
  <si>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</si>
  <si>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</si>
  <si>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</si>
  <si>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</si>
  <si>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</si>
  <si>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</si>
  <si>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</si>
  <si>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</si>
  <si>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</si>
  <si>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</si>
  <si>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</si>
  <si>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</si>
  <si>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</si>
  <si>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</si>
  <si>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</si>
  <si>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</si>
  <si>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</si>
  <si>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</si>
  <si>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</si>
  <si>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</si>
  <si>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</si>
  <si>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</si>
  <si>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</si>
  <si>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</si>
  <si>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</si>
  <si>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</si>
  <si>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</si>
  <si>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</si>
  <si>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</si>
  <si>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</si>
  <si>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</si>
  <si>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</si>
  <si>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</si>
  <si>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</si>
  <si>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</si>
  <si>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</si>
  <si>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</si>
  <si>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</si>
  <si>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</si>
  <si>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</si>
  <si>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</si>
  <si>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</si>
  <si>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</si>
  <si>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</si>
  <si>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</si>
  <si>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</si>
  <si>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</si>
  <si>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</si>
  <si>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</si>
  <si>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</si>
  <si>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</si>
  <si>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</si>
  <si>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</si>
  <si>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</si>
  <si>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</si>
  <si>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</si>
  <si>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</si>
  <si>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</si>
  <si>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</si>
  <si>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</si>
  <si>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</si>
  <si>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</si>
  <si>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</si>
  <si>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</si>
  <si>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</si>
  <si>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</si>
  <si>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</si>
  <si>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</si>
  <si>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</si>
  <si>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</si>
  <si>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</si>
  <si>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</si>
  <si>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</si>
  <si>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</si>
  <si>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</si>
  <si>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</si>
  <si>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</si>
  <si>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</si>
  <si>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</si>
  <si>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</si>
  <si>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</si>
  <si>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</si>
  <si>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</si>
  <si>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</si>
  <si>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</si>
  <si>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</si>
  <si>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</si>
  <si>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</si>
  <si>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</si>
  <si>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</si>
  <si>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</si>
  <si>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</si>
  <si>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</si>
  <si>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Migrated - Capped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</si>
  <si>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</si>
  <si>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</si>
  <si>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</si>
  <si>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</si>
  <si>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</si>
  <si>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</si>
  <si>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</si>
  <si>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</si>
  <si>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</si>
  <si>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</si>
  <si>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</si>
  <si>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</si>
  <si>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GIS MIGRATING</t>
  </si>
  <si>
    <t>93</t>
  </si>
  <si>
    <t>BIRMINGHAM</t>
  </si>
  <si>
    <t>BHMN07</t>
  </si>
  <si>
    <t>12.6</t>
  </si>
  <si>
    <t>P Core use only</t>
  </si>
  <si>
    <t>2CP2000</t>
  </si>
  <si>
    <t>110</t>
  </si>
  <si>
    <t>120</t>
  </si>
  <si>
    <t>BOREHAMWOOD</t>
  </si>
  <si>
    <t>NORTH WEST</t>
  </si>
  <si>
    <t>BARROW-IN-FURNESS</t>
  </si>
  <si>
    <t>1</t>
  </si>
  <si>
    <t>Space; Power; Air Con</t>
  </si>
  <si>
    <t>BLACKBURN</t>
  </si>
  <si>
    <t>BKBN41</t>
  </si>
  <si>
    <t>BRACKNELL</t>
  </si>
  <si>
    <t>12</t>
  </si>
  <si>
    <t>495</t>
  </si>
  <si>
    <t>664</t>
  </si>
  <si>
    <t>Eaton Powerware HDR48-ES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</si>
  <si>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</si>
  <si>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</si>
  <si>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</si>
  <si>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</si>
  <si>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</si>
  <si>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</si>
  <si>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</si>
  <si>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</si>
  <si>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</si>
  <si>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</si>
  <si>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</si>
  <si>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</si>
  <si>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</si>
  <si>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</si>
  <si>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</si>
  <si>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</si>
  <si>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</si>
  <si>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</si>
  <si>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</si>
  <si>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</si>
  <si>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</si>
  <si>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</si>
  <si>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</si>
  <si>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</si>
  <si>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</si>
  <si>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</si>
  <si>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</si>
  <si>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</si>
  <si>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</si>
  <si>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</si>
  <si>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</si>
  <si>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</si>
  <si>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</si>
  <si>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</si>
  <si>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</si>
  <si>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</si>
  <si>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</si>
  <si>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</si>
  <si>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</si>
  <si>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</si>
  <si>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</si>
  <si>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</si>
  <si>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</si>
  <si>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</si>
  <si>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</si>
  <si>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</si>
  <si>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</si>
  <si>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</si>
  <si>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</si>
  <si>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</si>
  <si>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</si>
  <si>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</si>
  <si>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</si>
  <si>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</si>
  <si>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</si>
  <si>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</si>
  <si>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</si>
  <si>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</si>
  <si>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</si>
  <si>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</si>
  <si>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</si>
  <si>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</si>
  <si>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</si>
  <si>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</si>
  <si>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</si>
  <si>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2SLA1500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</si>
  <si>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</si>
  <si>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</si>
  <si>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</si>
  <si>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</si>
  <si>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</si>
  <si>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</si>
  <si>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</si>
  <si>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</si>
  <si>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</si>
  <si>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</si>
  <si>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</si>
  <si>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</si>
  <si>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</si>
  <si>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</si>
  <si>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</si>
  <si>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</si>
  <si>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</si>
  <si>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</si>
  <si>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</si>
  <si>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</si>
  <si>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</si>
  <si>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</si>
  <si>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</si>
  <si>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</si>
  <si>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</si>
  <si>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</si>
  <si>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</si>
  <si>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</si>
  <si>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</si>
  <si>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</si>
  <si>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</si>
  <si>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</si>
  <si>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140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</si>
  <si>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</si>
  <si>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</si>
  <si>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</si>
  <si>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</si>
  <si>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</si>
  <si>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</si>
  <si>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</si>
  <si>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</si>
  <si>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</si>
  <si>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</si>
  <si>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</si>
  <si>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</si>
  <si>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</si>
  <si>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</si>
  <si>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</si>
  <si>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</si>
  <si>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</si>
  <si>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</si>
  <si>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</si>
  <si>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</si>
  <si>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</si>
  <si>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</si>
  <si>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</si>
  <si>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</si>
  <si>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</si>
  <si>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</si>
  <si>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</si>
  <si>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</si>
  <si>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</si>
  <si>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</si>
  <si>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</si>
  <si>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</si>
  <si>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</si>
  <si>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</si>
  <si>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</si>
  <si>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</si>
  <si>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</si>
  <si>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</si>
  <si>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81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</si>
  <si>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</si>
  <si>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</si>
  <si>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</si>
  <si>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</si>
  <si>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</si>
  <si>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</si>
  <si>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</si>
  <si>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</si>
  <si>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</si>
  <si>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CLOSED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</si>
  <si>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</si>
  <si>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</si>
  <si>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</si>
  <si>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</si>
  <si>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</si>
  <si>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</si>
  <si>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</si>
  <si>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</si>
  <si>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</si>
  <si>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</si>
  <si>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</si>
  <si>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DDm125-33 (2hr rate)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</si>
  <si>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</si>
  <si>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</si>
  <si>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</si>
  <si>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</si>
  <si>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</si>
  <si>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</si>
  <si>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</si>
  <si>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</si>
  <si>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</si>
  <si>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</si>
  <si>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</si>
  <si>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</si>
  <si>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</si>
  <si>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</si>
  <si>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</si>
  <si>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</si>
  <si>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</si>
  <si>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</si>
  <si>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</si>
  <si>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</si>
  <si>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</si>
  <si>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</si>
  <si>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</si>
  <si>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</si>
  <si>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</si>
  <si>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</si>
  <si>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</si>
  <si>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</si>
  <si>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</si>
  <si>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</si>
  <si>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</si>
  <si>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</si>
  <si>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</si>
  <si>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</si>
  <si>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GIS MIGRATING - CAPPED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</si>
  <si>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</si>
  <si>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</si>
  <si>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</si>
  <si>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</si>
  <si>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</si>
  <si>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</si>
  <si>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</si>
  <si>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</si>
  <si>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</si>
  <si>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</si>
  <si>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</si>
  <si>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</si>
  <si>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</si>
  <si>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</si>
  <si>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</si>
  <si>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</si>
  <si>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</si>
  <si>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</si>
  <si>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</si>
  <si>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</si>
  <si>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</si>
  <si>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</si>
  <si>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</si>
  <si>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</si>
  <si>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</si>
  <si>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</si>
  <si>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</si>
  <si>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</si>
  <si>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</si>
  <si>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</si>
  <si>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</si>
  <si>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</si>
  <si>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</si>
  <si>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</si>
  <si>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</si>
  <si>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</si>
  <si>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</si>
  <si>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</si>
  <si>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</si>
  <si>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</si>
  <si>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</si>
  <si>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</si>
  <si>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</si>
  <si>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</si>
  <si>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</si>
  <si>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</si>
  <si>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</si>
  <si>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</si>
  <si>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</si>
  <si>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</si>
  <si>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</si>
  <si>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</si>
  <si>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</si>
  <si>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</si>
  <si>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</si>
  <si>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</si>
  <si>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</si>
  <si>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</si>
  <si>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</si>
  <si>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</si>
  <si>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</si>
  <si>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</si>
  <si>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</si>
  <si>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</si>
  <si>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</si>
  <si>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</si>
  <si>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</si>
  <si>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</si>
  <si>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</si>
  <si>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</si>
  <si>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</si>
  <si>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</si>
  <si>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94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</si>
  <si>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</si>
  <si>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</si>
  <si>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</si>
  <si>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</si>
  <si>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</si>
  <si>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</si>
  <si>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</si>
  <si>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</si>
  <si>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</si>
  <si>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</si>
  <si>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</si>
  <si>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</si>
  <si>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</si>
  <si>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</si>
  <si>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</si>
  <si>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</si>
  <si>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</si>
  <si>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</si>
  <si>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</si>
  <si>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</si>
  <si>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</si>
  <si>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</si>
  <si>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</si>
  <si>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</si>
  <si>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</si>
  <si>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</si>
  <si>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</si>
  <si>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</si>
  <si>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</si>
  <si>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</si>
  <si>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</si>
  <si>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</si>
  <si>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</si>
  <si>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</si>
  <si>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</si>
  <si>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</si>
  <si>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</si>
  <si>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</si>
  <si>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</si>
  <si>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</si>
  <si>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</si>
  <si>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</si>
  <si>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</si>
  <si>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</si>
  <si>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</si>
  <si>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</si>
  <si>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</si>
  <si>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</si>
  <si>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</si>
  <si>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</si>
  <si>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</si>
  <si>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</si>
  <si>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</si>
  <si>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</si>
  <si>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</si>
  <si>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</si>
  <si>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</si>
  <si>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</si>
  <si>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PCOTN1_Gemini</t>
  </si>
  <si>
    <t>BRN;DC SYS01</t>
  </si>
  <si>
    <t>SQYN02 - SYS8</t>
  </si>
  <si>
    <t>SQYN02;DC SYS08A</t>
  </si>
  <si>
    <t>SQYN02;DC SYS08B</t>
  </si>
  <si>
    <t>SQYN02 - SYS9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</si>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</sst>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2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vertAlign val="subscript"/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6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51" fillId="0" borderId="2" xfId="0" applyFont="1" applyBorder="1" applyProtection="1">
      <protection locked="0"/>
    </xf>
    <xf numFmtId="0" fontId="6" fillId="35" borderId="2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Crown%20dist%20data%20links.xlsx" TargetMode="External"/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ISHTZG4Q3KIZG2TUZQ4BYE4DRF">
      <xxl21:absoluteUrl r:id="rId2"/>
    </xxl21:alternateUrls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44258</v>
          </cell>
          <cell r="G7">
            <v>300</v>
          </cell>
          <cell r="H7">
            <v>300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44258</v>
          </cell>
          <cell r="G8">
            <v>300</v>
          </cell>
          <cell r="H8">
            <v>300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  <cell r="E11"/>
          <cell r="F11"/>
          <cell r="G11"/>
          <cell r="H11"/>
          <cell r="I11"/>
          <cell r="J11"/>
          <cell r="K11"/>
          <cell r="L11"/>
          <cell r="M11"/>
          <cell r="N11"/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  <cell r="E22"/>
          <cell r="F22"/>
          <cell r="G22"/>
          <cell r="H22"/>
          <cell r="I22"/>
          <cell r="J22"/>
          <cell r="K22"/>
          <cell r="L22"/>
          <cell r="M22"/>
          <cell r="N22"/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61.8</v>
          </cell>
          <cell r="E23">
            <v>62.500000000000007</v>
          </cell>
          <cell r="F23">
            <v>45387</v>
          </cell>
          <cell r="G23">
            <v>360</v>
          </cell>
          <cell r="H23">
            <v>360</v>
          </cell>
          <cell r="I23"/>
          <cell r="J23"/>
          <cell r="K23"/>
          <cell r="L23"/>
          <cell r="M23"/>
          <cell r="N23"/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310.60000000000002</v>
          </cell>
          <cell r="E30">
            <v>284.60000000000002</v>
          </cell>
          <cell r="F30">
            <v>45399</v>
          </cell>
          <cell r="G30">
            <v>600</v>
          </cell>
          <cell r="H30">
            <v>600</v>
          </cell>
          <cell r="I30"/>
          <cell r="J30"/>
          <cell r="K30"/>
          <cell r="L30"/>
          <cell r="M30"/>
          <cell r="N30"/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16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232.7</v>
          </cell>
          <cell r="E44">
            <v>219.20000000000002</v>
          </cell>
          <cell r="F44">
            <v>45400</v>
          </cell>
          <cell r="G44">
            <v>600</v>
          </cell>
          <cell r="H44">
            <v>600</v>
          </cell>
          <cell r="I44"/>
          <cell r="J44"/>
          <cell r="K44"/>
          <cell r="L44"/>
          <cell r="M44"/>
          <cell r="N44"/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22</v>
          </cell>
          <cell r="E51">
            <v>22</v>
          </cell>
          <cell r="F51">
            <v>42422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58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6</v>
          </cell>
          <cell r="J57">
            <v>2</v>
          </cell>
          <cell r="K57">
            <v>5</v>
          </cell>
          <cell r="L57">
            <v>10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35</v>
          </cell>
          <cell r="E73">
            <v>35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23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5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242.99999999999997</v>
          </cell>
          <cell r="E87">
            <v>256.2</v>
          </cell>
          <cell r="F87">
            <v>45365</v>
          </cell>
          <cell r="G87">
            <v>600</v>
          </cell>
          <cell r="H87">
            <v>600</v>
          </cell>
          <cell r="I87"/>
          <cell r="J87"/>
          <cell r="K87"/>
          <cell r="L87"/>
          <cell r="M87"/>
          <cell r="N87"/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23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19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 t="str">
            <v>04/04/2024 (Clamp meter readings)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180.7</v>
          </cell>
          <cell r="E116">
            <v>164.9</v>
          </cell>
          <cell r="F116">
            <v>45365</v>
          </cell>
          <cell r="G116">
            <v>360</v>
          </cell>
          <cell r="H116">
            <v>360</v>
          </cell>
          <cell r="I116"/>
          <cell r="J116"/>
          <cell r="K116"/>
          <cell r="L116"/>
          <cell r="M116"/>
          <cell r="N116"/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125.2</v>
          </cell>
          <cell r="E143">
            <v>154.09999999999997</v>
          </cell>
          <cell r="F143">
            <v>45393</v>
          </cell>
          <cell r="G143">
            <v>360</v>
          </cell>
          <cell r="H143">
            <v>360</v>
          </cell>
          <cell r="I143"/>
          <cell r="J143"/>
          <cell r="K143"/>
          <cell r="L143"/>
          <cell r="M143"/>
          <cell r="N143"/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6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36.299999999999997</v>
          </cell>
          <cell r="E156">
            <v>34.799999999999997</v>
          </cell>
          <cell r="F156">
            <v>45364</v>
          </cell>
          <cell r="G156">
            <v>360</v>
          </cell>
          <cell r="H156">
            <v>360</v>
          </cell>
          <cell r="I156"/>
          <cell r="J156"/>
          <cell r="K156"/>
          <cell r="L156"/>
          <cell r="M156"/>
          <cell r="N156"/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7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227</v>
          </cell>
          <cell r="H174">
            <v>202</v>
          </cell>
          <cell r="I174">
            <v>0</v>
          </cell>
          <cell r="J174">
            <v>0</v>
          </cell>
          <cell r="K174">
            <v>11</v>
          </cell>
          <cell r="L174">
            <v>0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1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223.9</v>
          </cell>
          <cell r="E176">
            <v>175.5</v>
          </cell>
          <cell r="F176">
            <v>45398</v>
          </cell>
          <cell r="G176">
            <v>360</v>
          </cell>
          <cell r="H176">
            <v>360</v>
          </cell>
          <cell r="I176"/>
          <cell r="J176"/>
          <cell r="K176"/>
          <cell r="L176"/>
          <cell r="M176"/>
          <cell r="N176"/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178.89999999999998</v>
          </cell>
          <cell r="E191">
            <v>121.9</v>
          </cell>
          <cell r="F191">
            <v>45364</v>
          </cell>
          <cell r="G191">
            <v>360</v>
          </cell>
          <cell r="H191">
            <v>360</v>
          </cell>
          <cell r="I191"/>
          <cell r="J191"/>
          <cell r="K191"/>
          <cell r="L191"/>
          <cell r="M191"/>
          <cell r="N191"/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12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  <cell r="F198"/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155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132</v>
          </cell>
          <cell r="E200">
            <v>129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34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58.400000000000006</v>
          </cell>
          <cell r="E217">
            <v>38.9</v>
          </cell>
          <cell r="F217">
            <v>45365</v>
          </cell>
          <cell r="G217">
            <v>360</v>
          </cell>
          <cell r="H217">
            <v>360</v>
          </cell>
          <cell r="I217"/>
          <cell r="J217"/>
          <cell r="K217"/>
          <cell r="L217"/>
          <cell r="M217"/>
          <cell r="N217"/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>
            <v>0</v>
          </cell>
          <cell r="E245">
            <v>0</v>
          </cell>
          <cell r="F245">
            <v>0</v>
          </cell>
          <cell r="G245">
            <v>300</v>
          </cell>
          <cell r="H245">
            <v>300</v>
          </cell>
          <cell r="I245">
            <v>9</v>
          </cell>
          <cell r="J245">
            <v>2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>
            <v>0</v>
          </cell>
          <cell r="E246">
            <v>0</v>
          </cell>
          <cell r="F246">
            <v>0</v>
          </cell>
          <cell r="G246">
            <v>300</v>
          </cell>
          <cell r="H246">
            <v>300</v>
          </cell>
          <cell r="I246">
            <v>0</v>
          </cell>
          <cell r="J246">
            <v>0</v>
          </cell>
          <cell r="K246">
            <v>12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>
            <v>0</v>
          </cell>
          <cell r="E247">
            <v>0</v>
          </cell>
          <cell r="F247">
            <v>0</v>
          </cell>
          <cell r="G247">
            <v>300</v>
          </cell>
          <cell r="H247">
            <v>300</v>
          </cell>
          <cell r="I247">
            <v>0</v>
          </cell>
          <cell r="J247">
            <v>2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224.89999999999998</v>
          </cell>
          <cell r="E255">
            <v>246.8</v>
          </cell>
          <cell r="F255">
            <v>45364</v>
          </cell>
          <cell r="G255">
            <v>360</v>
          </cell>
          <cell r="H255">
            <v>360</v>
          </cell>
          <cell r="I255"/>
          <cell r="J255"/>
          <cell r="K255"/>
          <cell r="L255"/>
          <cell r="M255"/>
          <cell r="N255"/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4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2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4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196.7</v>
          </cell>
          <cell r="E267">
            <v>194.5</v>
          </cell>
          <cell r="F267">
            <v>45364</v>
          </cell>
          <cell r="G267">
            <v>360</v>
          </cell>
          <cell r="H267">
            <v>360</v>
          </cell>
          <cell r="I267"/>
          <cell r="J267"/>
          <cell r="K267"/>
          <cell r="L267"/>
          <cell r="M267"/>
          <cell r="N267"/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175.9</v>
          </cell>
          <cell r="E268">
            <v>174.2</v>
          </cell>
          <cell r="F268">
            <v>45364</v>
          </cell>
          <cell r="G268">
            <v>360</v>
          </cell>
          <cell r="H268">
            <v>360</v>
          </cell>
          <cell r="I268"/>
          <cell r="J268"/>
          <cell r="K268"/>
          <cell r="L268"/>
          <cell r="M268"/>
          <cell r="N268"/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150.70000000000002</v>
          </cell>
          <cell r="E275">
            <v>167.3</v>
          </cell>
          <cell r="F275">
            <v>45387</v>
          </cell>
          <cell r="G275">
            <v>360</v>
          </cell>
          <cell r="H275">
            <v>360</v>
          </cell>
          <cell r="I275"/>
          <cell r="J275"/>
          <cell r="K275"/>
          <cell r="L275"/>
          <cell r="M275"/>
          <cell r="N275"/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7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  <cell r="E288"/>
          <cell r="F288"/>
          <cell r="G288"/>
          <cell r="H288"/>
          <cell r="I288"/>
          <cell r="J288"/>
          <cell r="K288"/>
          <cell r="L288"/>
          <cell r="M288"/>
          <cell r="N288"/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  <cell r="E289"/>
          <cell r="F289"/>
          <cell r="G289"/>
          <cell r="H289"/>
          <cell r="I289"/>
          <cell r="J289"/>
          <cell r="K289"/>
          <cell r="L289"/>
          <cell r="M289"/>
          <cell r="N289"/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0</v>
          </cell>
          <cell r="E291">
            <v>0</v>
          </cell>
          <cell r="F291">
            <v>45015</v>
          </cell>
          <cell r="G291">
            <v>300</v>
          </cell>
          <cell r="H291">
            <v>300</v>
          </cell>
          <cell r="I291">
            <v>0</v>
          </cell>
          <cell r="J291">
            <v>0</v>
          </cell>
          <cell r="K291">
            <v>1</v>
          </cell>
          <cell r="L291">
            <v>35</v>
          </cell>
          <cell r="M291">
            <v>0</v>
          </cell>
          <cell r="N291">
            <v>0</v>
          </cell>
        </row>
        <row r="292">
          <cell r="A292" t="str">
            <v>ABNTB1_SYS_RACK2_PANEL A_01 - IGNORE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A_02- IGNORE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B_01- IGNORE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B_02- IGNORE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  <cell r="E300"/>
          <cell r="F300"/>
          <cell r="G300"/>
          <cell r="H300"/>
          <cell r="I300"/>
          <cell r="J300"/>
          <cell r="K300"/>
          <cell r="L300"/>
          <cell r="M300"/>
          <cell r="N300"/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111.10000000000001</v>
          </cell>
          <cell r="E302">
            <v>131.1</v>
          </cell>
          <cell r="F302">
            <v>45364</v>
          </cell>
          <cell r="G302">
            <v>360</v>
          </cell>
          <cell r="H302">
            <v>360</v>
          </cell>
          <cell r="I302"/>
          <cell r="J302"/>
          <cell r="K302"/>
          <cell r="L302"/>
          <cell r="M302"/>
          <cell r="N302"/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132</v>
          </cell>
          <cell r="E310">
            <v>97.4</v>
          </cell>
          <cell r="F310">
            <v>45364</v>
          </cell>
          <cell r="G310">
            <v>360</v>
          </cell>
          <cell r="H310">
            <v>360</v>
          </cell>
          <cell r="I310"/>
          <cell r="J310"/>
          <cell r="K310"/>
          <cell r="L310"/>
          <cell r="M310"/>
          <cell r="N310"/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29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31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265.90000000000003</v>
          </cell>
          <cell r="E359">
            <v>265.39999999999998</v>
          </cell>
          <cell r="F359">
            <v>45400</v>
          </cell>
          <cell r="G359">
            <v>600</v>
          </cell>
          <cell r="H359">
            <v>600</v>
          </cell>
          <cell r="I359"/>
          <cell r="J359"/>
          <cell r="K359"/>
          <cell r="L359"/>
          <cell r="M359"/>
          <cell r="N359"/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3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413.05000000000007</v>
          </cell>
          <cell r="E365">
            <v>413.05000000000007</v>
          </cell>
          <cell r="F365">
            <v>45335</v>
          </cell>
          <cell r="G365">
            <v>600</v>
          </cell>
          <cell r="H365">
            <v>600</v>
          </cell>
          <cell r="I365"/>
          <cell r="J365"/>
          <cell r="K365"/>
          <cell r="L365"/>
          <cell r="M365"/>
          <cell r="N365"/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3.5</v>
          </cell>
          <cell r="E369">
            <v>2.4000000000000004</v>
          </cell>
          <cell r="F369">
            <v>45362</v>
          </cell>
          <cell r="G369">
            <v>360</v>
          </cell>
          <cell r="H369">
            <v>360</v>
          </cell>
          <cell r="I369"/>
          <cell r="J369"/>
          <cell r="K369"/>
          <cell r="L369"/>
          <cell r="M369"/>
          <cell r="N369"/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CKKN03</v>
          </cell>
          <cell r="D372">
            <v>0.76</v>
          </cell>
          <cell r="E372">
            <v>3.3</v>
          </cell>
          <cell r="F372">
            <v>45400</v>
          </cell>
          <cell r="G372">
            <v>360</v>
          </cell>
          <cell r="H372">
            <v>360</v>
          </cell>
          <cell r="I372"/>
          <cell r="J372"/>
          <cell r="K372"/>
          <cell r="L372"/>
          <cell r="M372"/>
          <cell r="N372"/>
        </row>
        <row r="373">
          <cell r="A373" t="str">
            <v>CKNN03_SEC_DCSYS - IGNORE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40</v>
          </cell>
          <cell r="F374">
            <v>45089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1.2</v>
          </cell>
          <cell r="E377">
            <v>2.7</v>
          </cell>
          <cell r="F377">
            <v>45362</v>
          </cell>
          <cell r="G377">
            <v>360</v>
          </cell>
          <cell r="H377">
            <v>360</v>
          </cell>
          <cell r="I377"/>
          <cell r="J377"/>
          <cell r="K377"/>
          <cell r="L377"/>
          <cell r="M377"/>
          <cell r="N377"/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4.4000000000000004</v>
          </cell>
          <cell r="F378">
            <v>45364</v>
          </cell>
          <cell r="G378">
            <v>360</v>
          </cell>
          <cell r="H378">
            <v>360</v>
          </cell>
          <cell r="I378"/>
          <cell r="J378"/>
          <cell r="K378"/>
          <cell r="L378"/>
          <cell r="M378"/>
          <cell r="N378"/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20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27.300000000000004</v>
          </cell>
          <cell r="E381">
            <v>19.5</v>
          </cell>
          <cell r="F381">
            <v>45365</v>
          </cell>
          <cell r="G381">
            <v>360</v>
          </cell>
          <cell r="H381">
            <v>360</v>
          </cell>
          <cell r="I381"/>
          <cell r="J381"/>
          <cell r="K381"/>
          <cell r="L381"/>
          <cell r="M381"/>
          <cell r="N381"/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11.4</v>
          </cell>
          <cell r="E383">
            <v>0</v>
          </cell>
          <cell r="F383">
            <v>45386</v>
          </cell>
          <cell r="G383">
            <v>360</v>
          </cell>
          <cell r="H383">
            <v>360</v>
          </cell>
          <cell r="I383"/>
          <cell r="J383"/>
          <cell r="K383"/>
          <cell r="L383"/>
          <cell r="M383"/>
          <cell r="N383"/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159</v>
          </cell>
          <cell r="E393">
            <v>146.30000000000001</v>
          </cell>
          <cell r="F393">
            <v>45365</v>
          </cell>
          <cell r="G393">
            <v>360</v>
          </cell>
          <cell r="H393">
            <v>360</v>
          </cell>
          <cell r="I393"/>
          <cell r="J393"/>
          <cell r="K393"/>
          <cell r="L393"/>
          <cell r="M393"/>
          <cell r="N393"/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10.199999999999999</v>
          </cell>
          <cell r="E405">
            <v>5.3</v>
          </cell>
          <cell r="F405">
            <v>45386</v>
          </cell>
          <cell r="G405">
            <v>360</v>
          </cell>
          <cell r="H405">
            <v>360</v>
          </cell>
          <cell r="I405"/>
          <cell r="J405"/>
          <cell r="K405"/>
          <cell r="L405"/>
          <cell r="M405"/>
          <cell r="N405"/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6</v>
          </cell>
          <cell r="J409">
            <v>0</v>
          </cell>
          <cell r="K409">
            <v>4</v>
          </cell>
          <cell r="L409">
            <v>20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2</v>
          </cell>
          <cell r="J411">
            <v>0</v>
          </cell>
          <cell r="K411">
            <v>5</v>
          </cell>
          <cell r="L411">
            <v>23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6</v>
          </cell>
          <cell r="J416">
            <v>11</v>
          </cell>
          <cell r="K416">
            <v>0</v>
          </cell>
          <cell r="L416">
            <v>7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SYS02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SYS02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57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225</v>
          </cell>
          <cell r="E425">
            <v>225</v>
          </cell>
          <cell r="F425">
            <v>45358</v>
          </cell>
          <cell r="G425">
            <v>300</v>
          </cell>
          <cell r="H425">
            <v>300</v>
          </cell>
          <cell r="I425">
            <v>0</v>
          </cell>
          <cell r="J425">
            <v>3</v>
          </cell>
          <cell r="K425">
            <v>0</v>
          </cell>
          <cell r="L425">
            <v>0</v>
          </cell>
          <cell r="M425">
            <v>0</v>
          </cell>
          <cell r="N425">
            <v>26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10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19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2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4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1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366.59999999999997</v>
          </cell>
          <cell r="E439">
            <v>108.3</v>
          </cell>
          <cell r="F439">
            <v>45393</v>
          </cell>
          <cell r="G439">
            <v>1200</v>
          </cell>
          <cell r="H439"/>
          <cell r="I439"/>
          <cell r="J439"/>
          <cell r="K439"/>
          <cell r="L439"/>
          <cell r="M439"/>
          <cell r="N439"/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217.00000000000003</v>
          </cell>
          <cell r="E440">
            <v>35</v>
          </cell>
          <cell r="F440">
            <v>45387</v>
          </cell>
          <cell r="G440">
            <v>1200</v>
          </cell>
          <cell r="H440"/>
          <cell r="I440"/>
          <cell r="J440"/>
          <cell r="K440"/>
          <cell r="L440"/>
          <cell r="M440"/>
          <cell r="N440"/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262.09999999999997</v>
          </cell>
          <cell r="E441">
            <v>55.3</v>
          </cell>
          <cell r="F441">
            <v>45387</v>
          </cell>
          <cell r="G441">
            <v>1200</v>
          </cell>
          <cell r="H441"/>
          <cell r="I441"/>
          <cell r="J441"/>
          <cell r="K441"/>
          <cell r="L441"/>
          <cell r="M441"/>
          <cell r="N441"/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52.800000000000004</v>
          </cell>
          <cell r="E447">
            <v>2.2999999999999998</v>
          </cell>
          <cell r="F447">
            <v>45386</v>
          </cell>
          <cell r="G447">
            <v>360</v>
          </cell>
          <cell r="H447">
            <v>360</v>
          </cell>
          <cell r="I447"/>
          <cell r="J447"/>
          <cell r="K447"/>
          <cell r="L447"/>
          <cell r="M447"/>
          <cell r="N447"/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110.4</v>
          </cell>
          <cell r="E467">
            <v>114.39999999999999</v>
          </cell>
          <cell r="F467">
            <v>45399</v>
          </cell>
          <cell r="G467">
            <v>200</v>
          </cell>
          <cell r="H467">
            <v>200</v>
          </cell>
          <cell r="I467"/>
          <cell r="J467"/>
          <cell r="K467"/>
          <cell r="L467"/>
          <cell r="M467"/>
          <cell r="N467"/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13</v>
          </cell>
          <cell r="E468">
            <v>13</v>
          </cell>
          <cell r="F468">
            <v>45400</v>
          </cell>
          <cell r="G468">
            <v>360</v>
          </cell>
          <cell r="H468">
            <v>360</v>
          </cell>
          <cell r="I468"/>
          <cell r="J468"/>
          <cell r="K468"/>
          <cell r="L468"/>
          <cell r="M468"/>
          <cell r="N468"/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10.5</v>
          </cell>
          <cell r="E469">
            <v>11.100000000000001</v>
          </cell>
          <cell r="F469">
            <v>45364</v>
          </cell>
          <cell r="G469">
            <v>360</v>
          </cell>
          <cell r="H469">
            <v>360</v>
          </cell>
          <cell r="I469"/>
          <cell r="J469"/>
          <cell r="K469"/>
          <cell r="L469"/>
          <cell r="M469"/>
          <cell r="N469"/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11</v>
          </cell>
          <cell r="E470">
            <v>15.100000000000001</v>
          </cell>
          <cell r="F470">
            <v>45364</v>
          </cell>
          <cell r="G470">
            <v>360</v>
          </cell>
          <cell r="H470">
            <v>360</v>
          </cell>
          <cell r="I470"/>
          <cell r="J470"/>
          <cell r="K470"/>
          <cell r="L470"/>
          <cell r="M470"/>
          <cell r="N470"/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0</v>
          </cell>
          <cell r="G471">
            <v>600</v>
          </cell>
          <cell r="H471">
            <v>600</v>
          </cell>
          <cell r="I471"/>
          <cell r="J471"/>
          <cell r="K471"/>
          <cell r="L471"/>
          <cell r="M471"/>
          <cell r="N471"/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0.3</v>
          </cell>
          <cell r="F472">
            <v>0</v>
          </cell>
          <cell r="G472">
            <v>600</v>
          </cell>
          <cell r="H472">
            <v>600</v>
          </cell>
          <cell r="I472"/>
          <cell r="J472"/>
          <cell r="K472"/>
          <cell r="L472"/>
          <cell r="M472"/>
          <cell r="N472"/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W70" dT="2024-05-14T14:03:12.34" personId="{23875134-620F-49C7-896C-147D628FB6EA}" id="{B7666EDB-4E87-42B5-A03C-6EF2D2444581}">
    <text>40 Amps for NOKIA 7250 AND ORACLE ACME 6350 is planned under ORMT_SAP_240426_16_10330814x</text>
  </threadedComment>
  <threadedComment ref="Y70" dT="2024-05-14T14:03:12.34" personId="{23875134-620F-49C7-896C-147D628FB6EA}" id="{AD31683B-07E5-4833-8EAC-85867DAC723A}">
    <text>40 Amps for NOKIA 7250 AND ORACLE ACME 6350 is planned under ORMT_SAP_240426_16_10330814x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2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2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2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2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2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3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3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3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3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3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5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S77" dT="2024-04-16T14:47:38.63" personId="{4232887B-6F74-4501-885D-8735C5662726}" id="{373A0698-9696-4195-9973-6D25DAE4BA51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0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1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4" dT="2023-11-08T13:17:17.89" personId="{A4663B00-DB85-420B-AE65-1E515148FDF2}" id="{A5E770EF-5604-40D0-8448-22AB38648D0E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2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2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2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2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2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2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3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3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3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3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3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3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9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0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5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7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7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7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7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7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8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8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8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8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8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9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9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9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9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9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9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9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9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9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20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20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20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20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20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20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20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20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20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4-06-07T14:37:10.29" personId="{4232887B-6F74-4501-885D-8735C5662726}" id="{E66D12DF-16E3-42A9-8243-95C71073B5E0}">
    <text>Additional power has been added under ORMT_SAP_240508_11_Y854105 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40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L140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3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3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Z143" dT="2024-05-17T08:30:57.65" personId="{23875134-620F-49C7-896C-147D628FB6EA}" id="{2FCC4FAA-7488-4ECA-AFD5-E42D13EB3E1A}">
    <text>0.5kW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3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4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4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V144" dT="2024-05-17T08:13:31.42" personId="{23875134-620F-49C7-896C-147D628FB6EA}" id="{4B9C97E2-540A-418B-8AE6-1EF249874183}">
    <text>2.1kW allocation reduced due to live reading of 0.3kW</text>
  </threadedComment>
  <threadedComment ref="Z144" dT="2024-05-17T08:31:39.06" personId="{23875134-620F-49C7-896C-147D628FB6EA}" id="{BE836365-54BC-45D2-8574-BCD3F0F4C699}">
    <text>0.5kW allocation reduced due to live reading of 0.3kW</text>
  </threadedComment>
  <threadedComment ref="AB144" dT="2024-05-17T08:09:50.33" personId="{23875134-620F-49C7-896C-147D628FB6EA}" id="{A6AC6891-3CF0-4E8C-A887-9C259DC9EB9A}">
    <text>2kW allocation reduced due to live reading of 0.3kW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5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5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5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5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5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5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Z155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X219" dT="2023-12-19T11:05:04.45" personId="{F6E7EC2D-8E6E-4BA1-BCDD-6D7FECF08119}" id="{D4D33F43-F593-4D33-A5D5-62D26B623FBB}">
    <text>2.7kW allocation reduced due to live reading of 0.7kW</text>
  </threadedComment>
  <threadedComment ref="X219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9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9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AB219" dT="2023-07-12T08:27:10.91" personId="{4232887B-6F74-4501-885D-8735C5662726}" id="{C5DD14D8-ED06-4F38-9146-194F2E239ED2}">
    <text>2kW allocation reduced due to live reading of 0.3kW</text>
  </threadedComment>
  <threadedComment ref="AB219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9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9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9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9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9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9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9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E219" dT="2024-04-30T15:47:10.27" personId="{AFB55828-FFC6-4C96-B981-0FAA8F63A769}" id="{D45851C0-6566-4A7B-9E8E-EC010E25C875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X220" dT="2023-12-19T11:05:26.25" personId="{F6E7EC2D-8E6E-4BA1-BCDD-6D7FECF08119}" id="{63DC11BD-0078-4727-BC05-FAF568CEEF9A}">
    <text>2.7kW allocation reduced due to live reading of 0.7kW</text>
  </threadedComment>
  <threadedComment ref="X220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20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20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AB220" dT="2023-07-12T08:27:10.91" personId="{4232887B-6F74-4501-885D-8735C5662726}" id="{B1348452-F76B-4726-995E-D02A0E73DFB8}">
    <text>2kW allocation reduced due to live reading of 0.3kW</text>
  </threadedComment>
  <threadedComment ref="AB220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20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20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20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20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20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20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20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E220" dT="2024-04-30T15:47:20.33" personId="{AFB55828-FFC6-4C96-B981-0FAA8F63A769}" id="{37F25DE1-4D18-4C7B-B0C3-BDE1B60F3599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9" dT="2024-06-07T14:35:02.85" personId="{4232887B-6F74-4501-885D-8735C5662726}" id="{947DE206-E751-4B41-81C9-EB8108340977}">
    <text>Additional power has been added under ORMT_SAP_240508_11_Y854105 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2kW allocation reduced due to live reading of 0.6kW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B146" activePane="bottomRight" state="frozen"/>
      <selection pane="bottomRight" activeCell="S224" sqref="S224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45420</v>
      </c>
    </row>
    <row r="2" spans="1:19">
      <c r="A2" s="27" t="s">
        <v>3</v>
      </c>
      <c r="C2" s="70">
        <f ca="1">All!B2</f>
        <v>122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45414</v>
      </c>
      <c r="D8" s="5"/>
      <c r="E8" s="17">
        <f>VLOOKUP(A8,All!A:AM,30,0)</f>
        <v>70.969945355191243</v>
      </c>
      <c r="F8" s="17">
        <f>VLOOKUP(A8,All!A:AM,28,0)</f>
        <v>4.5300399999999996</v>
      </c>
      <c r="G8" s="17">
        <f>VLOOKUP(A8,All!A:AM,31,0)</f>
        <v>-14.24731182795699</v>
      </c>
      <c r="H8" s="17">
        <f>VLOOKUP(A8,All!A:AM,29,0)</f>
        <v>-0.23108000000000001</v>
      </c>
      <c r="I8" s="6">
        <f>VLOOKUP(A8,All!A:AM,33,0)</f>
        <v>85.913458614608032</v>
      </c>
      <c r="J8" s="6">
        <f>VLOOKUP(A8,All!A:AM,32,0)</f>
        <v>11.301399999999999</v>
      </c>
      <c r="K8" s="20">
        <f>VLOOKUP(A8,All!A:AM,39,0)</f>
        <v>75.293333333333337</v>
      </c>
      <c r="L8" s="20">
        <f>VLOOKUP(A8,All!A:AM,38,0)</f>
        <v>5.6470000000000002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5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5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45414</v>
      </c>
      <c r="D10" s="5"/>
      <c r="E10" s="17">
        <f>VLOOKUP(A10,All!A:AM,30,0)</f>
        <v>40.423783452416188</v>
      </c>
      <c r="F10" s="17">
        <f>VLOOKUP(A10,All!A:AM,28,0)</f>
        <v>15.298300000000001</v>
      </c>
      <c r="G10" s="17">
        <f>VLOOKUP(A10,All!A:AM,31,0)</f>
        <v>18.56353391605866</v>
      </c>
      <c r="H10" s="17">
        <f>VLOOKUP(A10,All!A:AM,29,0)</f>
        <v>5.1395</v>
      </c>
      <c r="I10" s="6">
        <f>VLOOKUP(A10,All!A:AM,33,0)</f>
        <v>28.846663637052188</v>
      </c>
      <c r="J10" s="6">
        <f>VLOOKUP(A10,All!A:AM,32,0)</f>
        <v>9.1407000000000007</v>
      </c>
      <c r="K10" s="20">
        <f>VLOOKUP(A10,All!A:AM,39,0)</f>
        <v>33.195555555555551</v>
      </c>
      <c r="L10" s="20">
        <f>VLOOKUP(A10,All!A:AM,38,0)</f>
        <v>11.203499999999998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6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45414</v>
      </c>
      <c r="D11" s="5"/>
      <c r="E11" s="17">
        <f>VLOOKUP(A11,All!A:AM,30,0)</f>
        <v>34.440105565462765</v>
      </c>
      <c r="F11" s="17">
        <f>VLOOKUP(A11,All!A:AM,28,0)</f>
        <v>7.6941400000000009</v>
      </c>
      <c r="G11" s="17">
        <f>VLOOKUP(A11,All!A:AM,31,0)</f>
        <v>-6.4750868724465294</v>
      </c>
      <c r="H11" s="17">
        <f>VLOOKUP(A11,All!A:AM,29,0)</f>
        <v>-0.89069999999999983</v>
      </c>
      <c r="I11" s="6">
        <f>VLOOKUP(A11,All!A:AM,33,0)</f>
        <v>35.909385283203811</v>
      </c>
      <c r="J11" s="6">
        <f>VLOOKUP(A11,All!A:AM,32,0)</f>
        <v>8.2063000000000006</v>
      </c>
      <c r="K11" s="20">
        <f>VLOOKUP(A11,All!A:AM,39,0)</f>
        <v>67.452222222222218</v>
      </c>
      <c r="L11" s="20">
        <f>VLOOKUP(A11,All!A:AM,38,0)</f>
        <v>30.353499999999997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5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45414</v>
      </c>
      <c r="D12" s="5"/>
      <c r="E12" s="17">
        <f>VLOOKUP(A12,All!A:AM,30,0)</f>
        <v>49.946277125909077</v>
      </c>
      <c r="F12" s="17">
        <f>VLOOKUP(A12,All!A:AM,28,0)</f>
        <v>47.024339999999995</v>
      </c>
      <c r="G12" s="17">
        <f>VLOOKUP(A12,All!A:AM,31,0)</f>
        <v>25.419348508323662</v>
      </c>
      <c r="H12" s="17">
        <f>VLOOKUP(A12,All!A:AM,29,0)</f>
        <v>16.061799999999998</v>
      </c>
      <c r="I12" s="6">
        <f>VLOOKUP(A12,All!A:AM,33,0)</f>
        <v>46.980896449304829</v>
      </c>
      <c r="J12" s="6">
        <f>VLOOKUP(A12,All!A:AM,32,0)</f>
        <v>41.758500000000197</v>
      </c>
      <c r="K12" s="331">
        <f>VLOOKUP(A12,All!A:AM,39,0)</f>
        <v>82.893440428380188</v>
      </c>
      <c r="L12" s="331">
        <f>VLOOKUP(A12,All!A:AM,38,0)</f>
        <v>464.41050000000001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6.85</v>
      </c>
      <c r="S12" s="325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45414</v>
      </c>
      <c r="D13" s="5"/>
      <c r="E13" s="17">
        <f>VLOOKUP(A13,All!A:AM,30,0)</f>
        <v>48.259072984085805</v>
      </c>
      <c r="F13" s="17">
        <f>VLOOKUP(A13,All!A:AM,28,0)</f>
        <v>45.435840000000006</v>
      </c>
      <c r="G13" s="17">
        <f>VLOOKUP(A13,All!A:AM,31,0)</f>
        <v>22.905393963660416</v>
      </c>
      <c r="H13" s="17">
        <f>VLOOKUP(A13,All!A:AM,29,0)</f>
        <v>14.473299999999998</v>
      </c>
      <c r="I13" s="6">
        <f>VLOOKUP(A13,All!A:AM,33,0)</f>
        <v>45.193735655461175</v>
      </c>
      <c r="J13" s="6">
        <f>VLOOKUP(A13,All!A:AM,32,0)</f>
        <v>40.170000000000201</v>
      </c>
      <c r="K13" s="332"/>
      <c r="L13" s="332"/>
      <c r="M13" s="96"/>
      <c r="N13" s="96"/>
      <c r="O13" s="96"/>
      <c r="P13" s="96"/>
      <c r="Q13" s="96"/>
      <c r="R13" s="12">
        <f>VLOOKUP(A13,'SYS Allocations'!A:G,7,0)</f>
        <v>5.55</v>
      </c>
      <c r="S13" s="325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5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5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5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5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5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45414</v>
      </c>
      <c r="D19" s="5"/>
      <c r="E19" s="17">
        <f>VLOOKUP(A19,All!A:AM,30,0)</f>
        <v>39.080751491452347</v>
      </c>
      <c r="F19" s="17">
        <f>VLOOKUP(A19,All!A:AM,28,0)</f>
        <v>4.9890800000000004</v>
      </c>
      <c r="G19" s="17">
        <f>VLOOKUP(A19,All!A:AM,31,0)</f>
        <v>-24.844486182346472</v>
      </c>
      <c r="H19" s="17">
        <f>VLOOKUP(A19,All!A:AM,29,0)</f>
        <v>-1.54765</v>
      </c>
      <c r="I19" s="6">
        <f>VLOOKUP(A19,All!A:AM,33,0)</f>
        <v>48.711353803946331</v>
      </c>
      <c r="J19" s="6">
        <f>VLOOKUP(A19,All!A:AM,32,0)</f>
        <v>7.3861999999999899</v>
      </c>
      <c r="K19" s="20">
        <f>VLOOKUP(A19,All!A:AM,39,0)</f>
        <v>71.196296296296282</v>
      </c>
      <c r="L19" s="20">
        <f>VLOOKUP(A19,All!A:AM,38,0)</f>
        <v>19.222999999999999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5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5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  <c r="S21" s="325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45414</v>
      </c>
      <c r="D22" s="5"/>
      <c r="E22" s="17">
        <f>VLOOKUP(A22,All!A:AM,30,0)</f>
        <v>48.897970031542499</v>
      </c>
      <c r="F22" s="17">
        <f>VLOOKUP(A22,All!A:AM,28,0)</f>
        <v>56.961480000000009</v>
      </c>
      <c r="G22" s="17">
        <f>VLOOKUP(A22,All!A:AM,31,0)</f>
        <v>25.786436380092528</v>
      </c>
      <c r="H22" s="17">
        <f>VLOOKUP(A22,All!A:AM,29,0)</f>
        <v>20.684099999999997</v>
      </c>
      <c r="I22" s="6">
        <f>VLOOKUP(A22,All!A:AM,33,0)</f>
        <v>44.188492867107783</v>
      </c>
      <c r="J22" s="6">
        <f>VLOOKUP(A22,All!A:AM,32,0)</f>
        <v>47.131800000000098</v>
      </c>
      <c r="K22" s="331">
        <f>VLOOKUP(A22,All!A:AM,39,0)</f>
        <v>16.246201550387589</v>
      </c>
      <c r="L22" s="331">
        <f>VLOOKUP(A22,All!A:AM,38,0)</f>
        <v>26.196999999999989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5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45414</v>
      </c>
      <c r="D23" s="5"/>
      <c r="E23" s="17">
        <f>VLOOKUP(A23,All!A:AM,30,0)</f>
        <v>35.167234266697164</v>
      </c>
      <c r="F23" s="17">
        <f>VLOOKUP(A23,All!A:AM,28,0)</f>
        <v>40.966480000000004</v>
      </c>
      <c r="G23" s="17">
        <f>VLOOKUP(A23,All!A:AM,31,0)</f>
        <v>5.8458032416151458</v>
      </c>
      <c r="H23" s="17">
        <f>VLOOKUP(A23,All!A:AM,29,0)</f>
        <v>4.689099999999998</v>
      </c>
      <c r="I23" s="6">
        <f>VLOOKUP(A23,All!A:AM,33,0)</f>
        <v>29.19235557955697</v>
      </c>
      <c r="J23" s="6">
        <f>VLOOKUP(A23,All!A:AM,32,0)</f>
        <v>31.1368000000001</v>
      </c>
      <c r="K23" s="332"/>
      <c r="L23" s="332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11.65</v>
      </c>
      <c r="S23" s="325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5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17.538978292475061</v>
      </c>
      <c r="F25" s="17">
        <f>VLOOKUP(A25,All!A:AM,28,0)</f>
        <v>6.9969999999999999</v>
      </c>
      <c r="G25" s="17">
        <f>VLOOKUP(A25,All!A:AM,31,0)</f>
        <v>-1.4478451931231207</v>
      </c>
      <c r="H25" s="17">
        <f>VLOOKUP(A25,All!A:AM,29,0)</f>
        <v>-0.46950000000000003</v>
      </c>
      <c r="I25" s="6">
        <f>VLOOKUP(A25,All!A:AM,33,0)</f>
        <v>-16.974597485350166</v>
      </c>
      <c r="J25" s="6">
        <f>VLOOKUP(A25,All!A:AM,32,0)</f>
        <v>-4.7737999999999978</v>
      </c>
      <c r="K25" s="20">
        <f>VLOOKUP(A25,All!A:AM,39,0)</f>
        <v>39.079629629629629</v>
      </c>
      <c r="L25" s="20">
        <f>VLOOKUP(A25,All!A:AM,38,0)</f>
        <v>21.103000000000002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18.399999999999999</v>
      </c>
      <c r="S25" s="325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  <c r="S26" s="325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5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45414</v>
      </c>
      <c r="D28" s="5"/>
      <c r="E28" s="17">
        <f>VLOOKUP(A28,All!A:AM,30,0)</f>
        <v>63.647739786295759</v>
      </c>
      <c r="F28" s="17">
        <f>VLOOKUP(A28,All!A:AM,28,0)</f>
        <v>58.908580000000001</v>
      </c>
      <c r="G28" s="17">
        <f>VLOOKUP(A28,All!A:AM,31,0)</f>
        <v>60.242875846650506</v>
      </c>
      <c r="H28" s="17">
        <f>VLOOKUP(A28,All!A:AM,29,0)</f>
        <v>50.982100000000003</v>
      </c>
      <c r="I28" s="6">
        <f>VLOOKUP(A28,All!A:AM,33,0)</f>
        <v>30.005300753256176</v>
      </c>
      <c r="J28" s="6">
        <f>VLOOKUP(A28,All!A:AM,32,0)</f>
        <v>14.42314</v>
      </c>
      <c r="K28" s="20">
        <f>VLOOKUP(A28,All!A:AM,39,0)</f>
        <v>59.217575757575766</v>
      </c>
      <c r="L28" s="20">
        <f>VLOOKUP(A28,All!A:AM,38,0)</f>
        <v>48.854500000000002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5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45414</v>
      </c>
      <c r="D29" s="5"/>
      <c r="E29" s="17">
        <f>VLOOKUP(A29,All!A:AM,30,0)</f>
        <v>59.054749396244887</v>
      </c>
      <c r="F29" s="17">
        <f>VLOOKUP(A29,All!A:AM,28,0)</f>
        <v>54.657580000000003</v>
      </c>
      <c r="G29" s="17">
        <f>VLOOKUP(A29,All!A:AM,31,0)</f>
        <v>54.337495150170021</v>
      </c>
      <c r="H29" s="17">
        <f>VLOOKUP(A29,All!A:AM,29,0)</f>
        <v>45.0961</v>
      </c>
      <c r="I29" s="6">
        <f>VLOOKUP(A29,All!A:AM,33,0)</f>
        <v>28.94015420848147</v>
      </c>
      <c r="J29" s="6">
        <f>VLOOKUP(A29,All!A:AM,32,0)</f>
        <v>15.433900000000001</v>
      </c>
      <c r="K29" s="20">
        <f>VLOOKUP(A29,All!A:AM,39,0)</f>
        <v>54.064848484848483</v>
      </c>
      <c r="L29" s="20">
        <f>VLOOKUP(A29,All!A:AM,38,0)</f>
        <v>44.603499999999997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5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65.13025141625306</v>
      </c>
      <c r="F30" s="17">
        <f>VLOOKUP(A30,All!A:AM,28,0)</f>
        <v>24.943739999999998</v>
      </c>
      <c r="G30" s="17">
        <f>VLOOKUP(A30,All!A:AM,31,0)</f>
        <v>48.779954588690131</v>
      </c>
      <c r="H30" s="17">
        <f>VLOOKUP(A30,All!A:AM,29,0)</f>
        <v>12.718300000000001</v>
      </c>
      <c r="I30" s="6">
        <f>VLOOKUP(A30,All!A:AM,33,0)</f>
        <v>62.438402862157417</v>
      </c>
      <c r="J30" s="6">
        <f>VLOOKUP(A30,All!A:AM,32,0)</f>
        <v>22.199100000000001</v>
      </c>
      <c r="K30" s="20">
        <f>VLOOKUP(A30,All!A:AM,39,0)</f>
        <v>70.323333333333323</v>
      </c>
      <c r="L30" s="20">
        <f>VLOOKUP(A30,All!A:AM,38,0)</f>
        <v>31.645499999999998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7.85</v>
      </c>
      <c r="S30" s="325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58.742229407931013</v>
      </c>
      <c r="F31" s="17">
        <f>VLOOKUP(A31,All!A:AM,28,0)</f>
        <v>22.497239999999998</v>
      </c>
      <c r="G31" s="17">
        <f>VLOOKUP(A31,All!A:AM,31,0)</f>
        <v>39.396612561750175</v>
      </c>
      <c r="H31" s="17">
        <f>VLOOKUP(A31,All!A:AM,29,0)</f>
        <v>10.271800000000001</v>
      </c>
      <c r="I31" s="6">
        <f>VLOOKUP(A31,All!A:AM,33,0)</f>
        <v>55.557243148373161</v>
      </c>
      <c r="J31" s="6">
        <f>VLOOKUP(A31,All!A:AM,32,0)</f>
        <v>19.752600000000001</v>
      </c>
      <c r="K31" s="20">
        <f>VLOOKUP(A31,All!A:AM,39,0)</f>
        <v>64.886666666666656</v>
      </c>
      <c r="L31" s="20">
        <f>VLOOKUP(A31,All!A:AM,38,0)</f>
        <v>29.198999999999998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8.2799999999999994</v>
      </c>
      <c r="S31" s="325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45414</v>
      </c>
      <c r="D32" s="5"/>
      <c r="E32" s="17">
        <f>VLOOKUP(A32,All!A:AM,30,0)</f>
        <v>80.869303654684927</v>
      </c>
      <c r="F32" s="17">
        <f>VLOOKUP(A32,All!A:AM,28,0)</f>
        <v>32.262</v>
      </c>
      <c r="G32" s="17">
        <f>VLOOKUP(A32,All!A:AM,31,0)</f>
        <v>72.808408301416236</v>
      </c>
      <c r="H32" s="17">
        <f>VLOOKUP(A32,All!A:AM,29,0)</f>
        <v>20.435500000000001</v>
      </c>
      <c r="I32" s="6">
        <f>VLOOKUP(A32,All!A:AM,33,0)</f>
        <v>78.533819360064797</v>
      </c>
      <c r="J32" s="6">
        <f>VLOOKUP(A32,All!A:AM,32,0)</f>
        <v>27.921600000000002</v>
      </c>
      <c r="K32" s="20">
        <f>VLOOKUP(A32,All!A:AM,39,0)</f>
        <v>91.52</v>
      </c>
      <c r="L32" s="20">
        <f>VLOOKUP(A32,All!A:AM,38,0)</f>
        <v>82.367999999999995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5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45414</v>
      </c>
      <c r="D33" s="5"/>
      <c r="E33" s="17">
        <f>VLOOKUP(A33,All!A:AM,30,0)</f>
        <v>75.968869587740855</v>
      </c>
      <c r="F33" s="17">
        <f>VLOOKUP(A33,All!A:AM,28,0)</f>
        <v>29.094740000000002</v>
      </c>
      <c r="G33" s="17">
        <f>VLOOKUP(A33,All!A:AM,31,0)</f>
        <v>64.700760946273505</v>
      </c>
      <c r="H33" s="17">
        <f>VLOOKUP(A33,All!A:AM,29,0)</f>
        <v>16.869299999999999</v>
      </c>
      <c r="I33" s="6">
        <f>VLOOKUP(A33,All!A:AM,33,0)</f>
        <v>74.113732505287786</v>
      </c>
      <c r="J33" s="6">
        <f>VLOOKUP(A33,All!A:AM,32,0)</f>
        <v>26.350100000000001</v>
      </c>
      <c r="K33" s="20">
        <f>VLOOKUP(A33,All!A:AM,39,0)</f>
        <v>89.773888888888877</v>
      </c>
      <c r="L33" s="20">
        <f>VLOOKUP(A33,All!A:AM,38,0)</f>
        <v>80.796499999999995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5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5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45356</v>
      </c>
      <c r="D35" s="5"/>
      <c r="E35" s="17">
        <f>VLOOKUP(A35,All!A:AM,30,0)</f>
        <v>57.608695652173907</v>
      </c>
      <c r="F35" s="17">
        <f>VLOOKUP(A35,All!A:AM,28,0)</f>
        <v>2.8885000000000001</v>
      </c>
      <c r="G35" s="17">
        <f>VLOOKUP(A35,All!A:AM,31,0)</f>
        <v>64.545454545454547</v>
      </c>
      <c r="H35" s="17">
        <f>VLOOKUP(A35,All!A:AM,29,0)</f>
        <v>3.8694999999999999</v>
      </c>
      <c r="I35" s="6">
        <f>VLOOKUP(A35,All!A:AM,33,0)</f>
        <v>50.798611111111114</v>
      </c>
      <c r="J35" s="6">
        <f>VLOOKUP(A35,All!A:AM,32,0)</f>
        <v>2.1945000000000001</v>
      </c>
      <c r="K35" s="20">
        <f>VLOOKUP(A35,All!A:AM,39,0)</f>
        <v>43.32</v>
      </c>
      <c r="L35" s="20">
        <f>VLOOKUP(A35,All!A:AM,38,0)</f>
        <v>1.6244999999999998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5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45414</v>
      </c>
      <c r="D36" s="5"/>
      <c r="E36" s="17">
        <f>VLOOKUP(A36,All!A:AM,30,0)</f>
        <v>50.885471499473589</v>
      </c>
      <c r="F36" s="17">
        <f>VLOOKUP(A36,All!A:AM,28,0)</f>
        <v>6.4960799999999992</v>
      </c>
      <c r="G36" s="17">
        <f>VLOOKUP(A36,All!A:AM,31,0)</f>
        <v>33.805597491580535</v>
      </c>
      <c r="H36" s="17">
        <f>VLOOKUP(A36,All!A:AM,29,0)</f>
        <v>3.2020999999999997</v>
      </c>
      <c r="I36" s="6">
        <f>VLOOKUP(A36,All!A:AM,33,0)</f>
        <v>37.974833808166935</v>
      </c>
      <c r="J36" s="6">
        <f>VLOOKUP(A36,All!A:AM,32,0)</f>
        <v>3.8387999999999796</v>
      </c>
      <c r="K36" s="20">
        <f>VLOOKUP(A36,All!A:AM,39,0)</f>
        <v>72.13333333333334</v>
      </c>
      <c r="L36" s="20">
        <f>VLOOKUP(A36,All!A:AM,38,0)</f>
        <v>16.23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5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45415</v>
      </c>
      <c r="D37" s="19"/>
      <c r="E37" s="17">
        <f>VLOOKUP(A37,All!A:AM,30,0)</f>
        <v>-5.2526173526511863</v>
      </c>
      <c r="F37" s="17">
        <f>VLOOKUP(A37,All!A:AM,28,0)</f>
        <v>-5.0291499999999942</v>
      </c>
      <c r="G37" s="17">
        <f>VLOOKUP(A37,All!A:AM,31,0)</f>
        <v>-15.857016394196497</v>
      </c>
      <c r="H37" s="17">
        <f>VLOOKUP(A37,All!A:AM,29,0)</f>
        <v>-13.792749999999998</v>
      </c>
      <c r="I37" s="6">
        <f>VLOOKUP(A37,All!A:AM,33,0)</f>
        <v>-88.963049217706995</v>
      </c>
      <c r="J37" s="6">
        <f>VLOOKUP(A37,All!A:AM,32,0)</f>
        <v>-47.444350000000014</v>
      </c>
      <c r="K37" s="331">
        <f>VLOOKUP(A37,All!A:AM,39,0)</f>
        <v>22.639782345828287</v>
      </c>
      <c r="L37" s="333">
        <f>VLOOKUP(A37,All!A:AM,38,0)</f>
        <v>93.615499999999969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5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45415</v>
      </c>
      <c r="D38" s="19"/>
      <c r="E38" s="17">
        <f>VLOOKUP(A38,All!A:AM,30,0)</f>
        <v>6.0291580724634581</v>
      </c>
      <c r="F38" s="17">
        <f>VLOOKUP(A38,All!A:AM,28,0)</f>
        <v>5.3878100000000018</v>
      </c>
      <c r="G38" s="17">
        <f>VLOOKUP(A38,All!A:AM,31,0)</f>
        <v>-81.358415833030975</v>
      </c>
      <c r="H38" s="17">
        <f>VLOOKUP(A38,All!A:AM,29,0)</f>
        <v>-37.671549999999996</v>
      </c>
      <c r="I38" s="6">
        <f>VLOOKUP(A38,All!A:AM,33,0)</f>
        <v>21.269341688792977</v>
      </c>
      <c r="J38" s="6">
        <f>VLOOKUP(A38,All!A:AM,32,0)</f>
        <v>22.686050000000101</v>
      </c>
      <c r="K38" s="333"/>
      <c r="L38" s="333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5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45414</v>
      </c>
      <c r="D39" s="19"/>
      <c r="E39" s="17">
        <f>VLOOKUP(A39,All!A:AM,30,0)</f>
        <v>44.204741575074934</v>
      </c>
      <c r="F39" s="17">
        <f>VLOOKUP(A39,All!A:AM,28,0)</f>
        <v>107.06299999999999</v>
      </c>
      <c r="G39" s="17">
        <f>VLOOKUP(A39,All!A:AM,31,0)</f>
        <v>21.409151049012049</v>
      </c>
      <c r="H39" s="17">
        <f>VLOOKUP(A39,All!A:AM,29,0)</f>
        <v>36.812499999999993</v>
      </c>
      <c r="I39" s="6">
        <f>VLOOKUP(A39,All!A:AM,33,0)</f>
        <v>36.651984609153502</v>
      </c>
      <c r="J39" s="6">
        <f>VLOOKUP(A39,All!A:AM,32,0)</f>
        <v>78.186599999999999</v>
      </c>
      <c r="K39" s="332"/>
      <c r="L39" s="332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62.650000000000013</v>
      </c>
      <c r="S39" s="325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45414</v>
      </c>
      <c r="D40" s="19"/>
      <c r="E40" s="17">
        <f>VLOOKUP(A40,All!A:AM,30,0)</f>
        <v>50.302851386056027</v>
      </c>
      <c r="F40" s="17">
        <f>VLOOKUP(A40,All!A:AM,28,0)</f>
        <v>121.83249999999998</v>
      </c>
      <c r="G40" s="17">
        <f>VLOOKUP(A40,All!A:AM,31,0)</f>
        <v>29.998691461056421</v>
      </c>
      <c r="H40" s="17">
        <f>VLOOKUP(A40,All!A:AM,29,0)</f>
        <v>51.581999999999987</v>
      </c>
      <c r="I40" s="6">
        <f>VLOOKUP(A40,All!A:AM,33,0)</f>
        <v>43.575568531269219</v>
      </c>
      <c r="J40" s="6">
        <f>VLOOKUP(A40,All!A:AM,32,0)</f>
        <v>92.956099999999992</v>
      </c>
      <c r="K40" s="20">
        <f>VLOOKUP(A40,All!A:AM,39,0)</f>
        <v>67.578316498316497</v>
      </c>
      <c r="L40" s="20">
        <f>VLOOKUP(A40,All!A:AM,38,0)</f>
        <v>250.88449999999997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62.650000000000013</v>
      </c>
      <c r="S40" s="325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1">
        <f>VLOOKUP(A41,All!A:AM,39,0)</f>
        <v>71.014074074074074</v>
      </c>
      <c r="L41" s="331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5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2"/>
      <c r="L42" s="332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5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5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45414</v>
      </c>
      <c r="D44" s="5"/>
      <c r="E44" s="17">
        <f>VLOOKUP(A44,All!A:AM,30,0)</f>
        <v>-2.5154158520078247</v>
      </c>
      <c r="F44" s="17">
        <f>VLOOKUP(A44,All!A:AM,28,0)</f>
        <v>-0.20070000000000032</v>
      </c>
      <c r="G44" s="17">
        <f>VLOOKUP(A44,All!A:AM,31,0)</f>
        <v>-32.816432572866773</v>
      </c>
      <c r="H44" s="17">
        <f>VLOOKUP(A44,All!A:AM,29,0)</f>
        <v>-2.0210000000000004</v>
      </c>
      <c r="I44" s="6">
        <f>VLOOKUP(A44,All!A:AM,33,0)</f>
        <v>-30.354752342704572</v>
      </c>
      <c r="J44" s="6">
        <f>VLOOKUP(A44,All!A:AM,32,0)</f>
        <v>-1.9047000000000205</v>
      </c>
      <c r="K44" s="20">
        <f>VLOOKUP(A44,All!A:AM,39,0)</f>
        <v>-36.32500000000001</v>
      </c>
      <c r="L44" s="20">
        <f>VLOOKUP(A44,All!A:AM,38,0)</f>
        <v>-2.1795000000000004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5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5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45414</v>
      </c>
      <c r="D46" s="5"/>
      <c r="E46" s="17">
        <f>VLOOKUP(A46,All!A:AM,30,0)</f>
        <v>30.534666867198073</v>
      </c>
      <c r="F46" s="17">
        <f>VLOOKUP(A46,All!A:AM,28,0)</f>
        <v>0.48726000000000003</v>
      </c>
      <c r="G46" s="17">
        <f>VLOOKUP(A46,All!A:AM,31,0)</f>
        <v>1068.543832617592</v>
      </c>
      <c r="H46" s="17">
        <f>VLOOKUP(A46,All!A:AM,29,0)</f>
        <v>-1.2229501635000002</v>
      </c>
      <c r="I46" s="6">
        <f>VLOOKUP(A46,All!A:AM,33,0)</f>
        <v>73.682336182336186</v>
      </c>
      <c r="J46" s="6">
        <f>VLOOKUP(A46,All!A:AM,32,0)</f>
        <v>3.1034999999999999</v>
      </c>
      <c r="K46" s="20">
        <f>VLOOKUP(A46,All!A:AM,39,0)</f>
        <v>70.440000000000012</v>
      </c>
      <c r="L46" s="20">
        <f>VLOOKUP(A46,All!A:AM,38,0)</f>
        <v>2.6415000000000002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5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38.457224143981556</v>
      </c>
      <c r="F47" s="17">
        <f>VLOOKUP(A47,All!A:AM,28,0)</f>
        <v>12.273700000000002</v>
      </c>
      <c r="G47" s="17">
        <f>VLOOKUP(A47,All!A:AM,31,0)</f>
        <v>12.525607909503874</v>
      </c>
      <c r="H47" s="17">
        <f>VLOOKUP(A47,All!A:AM,29,0)</f>
        <v>2.8125</v>
      </c>
      <c r="I47" s="6">
        <f>VLOOKUP(A47,All!A:AM,33,0)</f>
        <v>30.159085737042727</v>
      </c>
      <c r="J47" s="6">
        <f>VLOOKUP(A47,All!A:AM,32,0)</f>
        <v>8.4817</v>
      </c>
      <c r="K47" s="20">
        <f>VLOOKUP(A47,All!A:AM,39,0)</f>
        <v>40.480303030303027</v>
      </c>
      <c r="L47" s="20">
        <f>VLOOKUP(A47,All!A:AM,38,0)</f>
        <v>13.358499999999999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4</v>
      </c>
      <c r="S47" s="325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45356</v>
      </c>
      <c r="D48" s="5"/>
      <c r="E48" s="17">
        <f>VLOOKUP(A48,All!A:AM,30,0)</f>
        <v>40.284936900969377</v>
      </c>
      <c r="F48" s="17">
        <f>VLOOKUP(A48,All!A:AM,28,0)</f>
        <v>35.356799999999993</v>
      </c>
      <c r="G48" s="17">
        <f>VLOOKUP(A48,All!A:AM,31,0)</f>
        <v>-18.28430210907614</v>
      </c>
      <c r="H48" s="17">
        <f>VLOOKUP(A48,All!A:AM,29,0)</f>
        <v>-8.1015000000000015</v>
      </c>
      <c r="I48" s="6">
        <f>VLOOKUP(A48,All!A:AM,33,0)</f>
        <v>50.862922460735433</v>
      </c>
      <c r="J48" s="6">
        <f>VLOOKUP(A48,All!A:AM,32,0)</f>
        <v>54.250800000000098</v>
      </c>
      <c r="K48" s="20">
        <f>VLOOKUP(A48,All!A:AM,39,0)</f>
        <v>48.237037037037041</v>
      </c>
      <c r="L48" s="20">
        <f>VLOOKUP(A48,All!A:AM,38,0)</f>
        <v>48.84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5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45384</v>
      </c>
      <c r="D49" s="5"/>
      <c r="E49" s="17">
        <f>VLOOKUP(A49,All!A:AM,30,0)</f>
        <v>2.9729920653367841</v>
      </c>
      <c r="F49" s="17">
        <f>VLOOKUP(A49,All!A:AM,28,0)</f>
        <v>2.6093000000000046</v>
      </c>
      <c r="G49" s="17">
        <f>VLOOKUP(A49,All!A:AM,31,0)</f>
        <v>-92.192243023347658</v>
      </c>
      <c r="H49" s="17">
        <f>VLOOKUP(A49,All!A:AM,29,0)</f>
        <v>-40.848999999999997</v>
      </c>
      <c r="I49" s="6">
        <f>VLOOKUP(A49,All!A:AM,33,0)</f>
        <v>20.160452574891714</v>
      </c>
      <c r="J49" s="6">
        <f>VLOOKUP(A49,All!A:AM,32,0)</f>
        <v>21.503300000000102</v>
      </c>
      <c r="K49" s="20">
        <f>VLOOKUP(A49,All!A:AM,39,0)</f>
        <v>15.89382716049383</v>
      </c>
      <c r="L49" s="20">
        <f>VLOOKUP(A49,All!A:AM,38,0)</f>
        <v>16.092500000000001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5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45414</v>
      </c>
      <c r="D50" s="5"/>
      <c r="E50" s="17">
        <f>VLOOKUP(A50,All!A:AM,30,0)</f>
       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="17">
        <f>VLOOKUP(A50,All!A:AM,29,0)</f>
        <v>18.526999999999997</v>
      </c>
      <c r="I50" s="6">
        <f>VLOOKUP(A50,All!A:AM,33,0)</f>
        <v>33.084835290941186</v>
      </c>
      <c r="J50" s="6">
        <f>VLOOKUP(A50,All!A:AM,32,0)</f>
        <v>23.525700000000199</v>
      </c>
      <c r="K50" s="20">
        <f>VLOOKUP(A50,All!A:AM,39,0)</f>
        <v>53.005925925925929</v>
      </c>
      <c r="L50" s="20">
        <f>VLOOKUP(A50,All!A:AM,38,0)</f>
        <v>53.668500000000002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5"/>
    </row>
    <row r="51" spans="1:19">
      <c r="A51" s="35" t="s">
        <v>67</v>
      </c>
      <c r="B51" s="41" t="str">
        <f>VLOOKUP(A51,All!A:AM,2,0)</f>
        <v>MIDLANDS</v>
      </c>
      <c r="C51" s="42">
        <f>VLOOKUP(A51,All!A:AM,11,0)</f>
        <v>45414</v>
      </c>
      <c r="D51" s="5"/>
      <c r="E51" s="17">
        <f>VLOOKUP(A51,All!A:AM,30,0)</f>
        <v>58.082885162923127</v>
      </c>
      <c r="F51" s="17">
        <f>VLOOKUP(A51,All!A:AM,28,0)</f>
        <v>121.17600000000002</v>
      </c>
      <c r="G51" s="17">
        <f>VLOOKUP(A51,All!A:AM,31,0)</f>
        <v>55.978404500320913</v>
      </c>
      <c r="H51" s="17">
        <f>VLOOKUP(A51,All!A:AM,29,0)</f>
        <v>111.2025</v>
      </c>
      <c r="I51" s="6">
        <f>VLOOKUP(A51,All!A:AM,33,0)</f>
        <v>9.0363280508874233</v>
      </c>
      <c r="J51" s="6">
        <f>VLOOKUP(A51,All!A:AM,32,0)</f>
        <v>8.6872800000002037</v>
      </c>
      <c r="K51" s="331">
        <f>VLOOKUP(A51,All!A:AM,39,0)</f>
        <v>56.09753086419753</v>
      </c>
      <c r="L51" s="331">
        <f>VLOOKUP(A51,All!A:AM,38,0)</f>
        <v>227.19499999999999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16.599999999999998</v>
      </c>
      <c r="S51" s="325"/>
    </row>
    <row r="52" spans="1:19">
      <c r="A52" s="35" t="s">
        <v>68</v>
      </c>
      <c r="B52" s="41" t="str">
        <f>VLOOKUP(A52,All!A:AM,2,0)</f>
        <v>MIDLANDS</v>
      </c>
      <c r="C52" s="42">
        <f>VLOOKUP(A52,All!A:AM,11,0)</f>
        <v>45414</v>
      </c>
      <c r="D52" s="5"/>
      <c r="E52" s="17">
        <f>VLOOKUP(A52,All!A:AM,30,0)</f>
        <v>56.690441268106568</v>
      </c>
      <c r="F52" s="17">
        <f>VLOOKUP(A52,All!A:AM,28,0)</f>
        <v>118.27100000000002</v>
      </c>
      <c r="G52" s="17">
        <f>VLOOKUP(A52,All!A:AM,31,0)</f>
        <v>54.516051899674054</v>
      </c>
      <c r="H52" s="17">
        <f>VLOOKUP(A52,All!A:AM,29,0)</f>
        <v>108.2975</v>
      </c>
      <c r="I52" s="6">
        <f>VLOOKUP(A52,All!A:AM,33,0)</f>
        <v>6.0146074446876288</v>
      </c>
      <c r="J52" s="6">
        <f>VLOOKUP(A52,All!A:AM,32,0)</f>
        <v>5.7822800000002026</v>
      </c>
      <c r="K52" s="332"/>
      <c r="L52" s="332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14.599999999999998</v>
      </c>
      <c r="S52" s="325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45414</v>
      </c>
      <c r="D53" s="5"/>
      <c r="E53" s="17">
        <f>VLOOKUP(A53,All!A:AM,30,0)</f>
        <v>19.937473728457334</v>
      </c>
      <c r="F53" s="17">
        <f>VLOOKUP(A53,All!A:AM,28,0)</f>
        <v>16.54402</v>
      </c>
      <c r="G53" s="17">
        <f>VLOOKUP(A53,All!A:AM,31,0)</f>
        <v>-10.496736765772297</v>
      </c>
      <c r="H53" s="17">
        <f>VLOOKUP(A53,All!A:AM,29,0)</f>
        <v>-6.3110999999999997</v>
      </c>
      <c r="I53" s="6">
        <f>VLOOKUP(A53,All!A:AM,33,0)</f>
        <v>5.5079080616715306</v>
      </c>
      <c r="J53" s="6">
        <f>VLOOKUP(A53,All!A:AM,32,0)</f>
        <v>3.87250000000002</v>
      </c>
      <c r="K53" s="20">
        <f>VLOOKUP(A53,All!A:AM,39,0)</f>
        <v>52.375985663082432</v>
      </c>
      <c r="L53" s="20">
        <f>VLOOKUP(A53,All!A:AM,38,0)</f>
        <v>73.064499999999995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5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45414</v>
      </c>
      <c r="D54" s="5"/>
      <c r="E54" s="17">
        <f>VLOOKUP(A54,All!A:AM,30,0)</f>
        <v>31.670489296636092</v>
      </c>
      <c r="F54" s="17">
        <f>VLOOKUP(A54,All!A:AM,28,0)</f>
        <v>30.323100000000004</v>
      </c>
      <c r="G54" s="17">
        <f>VLOOKUP(A54,All!A:AM,31,0)</f>
        <v>-0.36896689270043453</v>
      </c>
      <c r="H54" s="17">
        <f>VLOOKUP(A54,All!A:AM,29,0)</f>
        <v>-0.24049999999999727</v>
      </c>
      <c r="I54" s="6">
        <f>VLOOKUP(A54,All!A:AM,33,0)</f>
        <v>26.395639260159484</v>
      </c>
      <c r="J54" s="6">
        <f>VLOOKUP(A54,All!A:AM,32,0)</f>
        <v>23.461500000000207</v>
      </c>
      <c r="K54" s="20">
        <f>VLOOKUP(A54,All!A:AM,39,0)</f>
        <v>53.102150537634415</v>
      </c>
      <c r="L54" s="20">
        <f>VLOOKUP(A54,All!A:AM,38,0)</f>
        <v>74.077500000000015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5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44987</v>
      </c>
      <c r="D55" s="5"/>
      <c r="E55" s="17">
        <f>VLOOKUP(A55,All!A:AM,30,0)</f>
        <v>35.934707494340522</v>
      </c>
      <c r="F55" s="17">
        <f>VLOOKUP(A55,All!A:AM,28,0)</f>
        <v>24.128</v>
      </c>
      <c r="G55" s="17">
        <f>VLOOKUP(A55,All!A:AM,31,0)</f>
        <v>12.301732925586139</v>
      </c>
      <c r="H55" s="17">
        <f>VLOOKUP(A55,All!A:AM,29,0)</f>
        <v>6.0340000000000007</v>
      </c>
      <c r="I55" s="6">
        <f>VLOOKUP(A55,All!A:AM,33,0)</f>
        <v>23.52221653296936</v>
      </c>
      <c r="J55" s="6">
        <f>VLOOKUP(A55,All!A:AM,32,0)</f>
        <v>13.230400000000101</v>
      </c>
      <c r="K55" s="20">
        <f>VLOOKUP(A55,All!A:AM,39,0)</f>
        <v>50.978917378917387</v>
      </c>
      <c r="L55" s="20">
        <f>VLOOKUP(A55,All!A:AM,38,0)</f>
        <v>44.734000000000002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5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5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45415</v>
      </c>
      <c r="D57" s="5"/>
      <c r="E57" s="17">
        <f>VLOOKUP(A57,All!A:AM,30,0)</f>
        <v>9.5802740899747931</v>
      </c>
      <c r="F57" s="17">
        <f>VLOOKUP(A57,All!A:AM,28,0)</f>
        <v>8.408299999999997</v>
      </c>
      <c r="G57" s="17">
        <f>VLOOKUP(A57,All!A:AM,31,0)</f>
        <v>-43.743264171277971</v>
      </c>
      <c r="H57" s="17">
        <f>VLOOKUP(A57,All!A:AM,29,0)</f>
        <v>-24.150000000000002</v>
      </c>
      <c r="I57" s="6">
        <f>VLOOKUP(A57,All!A:AM,33,0)</f>
        <v>10.716776922730951</v>
      </c>
      <c r="J57" s="6">
        <f>VLOOKUP(A57,All!A:AM,32,0)</f>
        <v>9.5255000000001999</v>
      </c>
      <c r="K57" s="20">
        <f>VLOOKUP(A57,All!A:AM,39,0)</f>
        <v>25.484976525821597</v>
      </c>
      <c r="L57" s="20">
        <f>VLOOKUP(A57,All!A:AM,38,0)</f>
        <v>27.141500000000001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5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57.571157316889753</v>
      </c>
      <c r="F58" s="17">
        <f>VLOOKUP(A58,All!A:AM,28,0)</f>
        <v>29.398320000000002</v>
      </c>
      <c r="G58" s="17">
        <f>VLOOKUP(A58,All!A:AM,31,0)</f>
        <v>36.616504399925105</v>
      </c>
      <c r="H58" s="17">
        <f>VLOOKUP(A58,All!A:AM,29,0)</f>
        <v>12.516400000000001</v>
      </c>
      <c r="I58" s="6">
        <f>VLOOKUP(A58,All!A:AM,33,0)</f>
        <v>52.863930659983296</v>
      </c>
      <c r="J58" s="6">
        <f>VLOOKUP(A58,All!A:AM,32,0)</f>
        <v>24.2988</v>
      </c>
      <c r="K58" s="20">
        <f>VLOOKUP(A58,All!A:AM,39,0)</f>
        <v>63.889999999999993</v>
      </c>
      <c r="L58" s="20">
        <f>VLOOKUP(A58,All!A:AM,38,0)</f>
        <v>38.333999999999996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2.7</v>
      </c>
      <c r="S58" s="325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45414</v>
      </c>
      <c r="D59" s="5"/>
      <c r="E59" s="17">
        <f>VLOOKUP(A59,All!A:AM,30,0)</f>
        <v>63.40749414519906</v>
      </c>
      <c r="F59" s="17">
        <f>VLOOKUP(A59,All!A:AM,28,0)</f>
        <v>7.0828199999999999</v>
      </c>
      <c r="G59" s="17">
        <f>VLOOKUP(A59,All!A:AM,31,0)</f>
        <v>51.984635083226635</v>
      </c>
      <c r="H59" s="17">
        <f>VLOOKUP(A59,All!A:AM,29,0)</f>
        <v>4.4253999999999998</v>
      </c>
      <c r="I59" s="6">
        <f>VLOOKUP(A59,All!A:AM,33,0)</f>
        <v>54.400937081659812</v>
      </c>
      <c r="J59" s="6">
        <f>VLOOKUP(A59,All!A:AM,32,0)</f>
        <v>4.8764999999999699</v>
      </c>
      <c r="K59" s="20">
        <f>VLOOKUP(A59,All!A:AM,39,0)</f>
        <v>40.760869565217391</v>
      </c>
      <c r="L59" s="20">
        <f>VLOOKUP(A59,All!A:AM,38,0)</f>
        <v>2.8125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5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45414</v>
      </c>
      <c r="D60" s="5"/>
      <c r="E60" s="17">
        <f>VLOOKUP(A60,All!A:AM,30,0)</f>
        <v>72.67759562841529</v>
      </c>
      <c r="F60" s="17">
        <f>VLOOKUP(A60,All!A:AM,28,0)</f>
        <v>20.875679999999999</v>
      </c>
      <c r="G60" s="17">
        <f>VLOOKUP(A60,All!A:AM,31,0)</f>
        <v>57.497048406139314</v>
      </c>
      <c r="H60" s="17">
        <f>VLOOKUP(A60,All!A:AM,29,0)</f>
        <v>10.6166</v>
      </c>
      <c r="I60" s="6">
        <f>VLOOKUP(A60,All!A:AM,33,0)</f>
        <v>72.094214029697909</v>
      </c>
      <c r="J60" s="6">
        <f>VLOOKUP(A60,All!A:AM,32,0)</f>
        <v>20.275200000000002</v>
      </c>
      <c r="K60" s="20">
        <f>VLOOKUP(A60,All!A:AM,39,0)</f>
        <v>91.28</v>
      </c>
      <c r="L60" s="20">
        <f>VLOOKUP(A60,All!A:AM,38,0)</f>
        <v>82.152000000000001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5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5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5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5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5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45414</v>
      </c>
      <c r="D65" s="5"/>
      <c r="E65" s="17">
        <f>VLOOKUP(A65,All!A:AM,30,0)</f>
        <v>50.603474206647611</v>
      </c>
      <c r="F65" s="17">
        <f>VLOOKUP(A65,All!A:AM,28,0)</f>
        <v>20.995259999999998</v>
      </c>
      <c r="G65" s="17">
        <f>VLOOKUP(A65,All!A:AM,31,0)</f>
        <v>31.826346707825774</v>
      </c>
      <c r="H65" s="17">
        <f>VLOOKUP(A65,All!A:AM,29,0)</f>
        <v>9.5677000000000003</v>
      </c>
      <c r="I65" s="6">
        <f>VLOOKUP(A65,All!A:AM,33,0)</f>
        <v>42.356048332658297</v>
      </c>
      <c r="J65" s="6">
        <f>VLOOKUP(A65,All!A:AM,32,0)</f>
        <v>15.059100000000001</v>
      </c>
      <c r="K65" s="20">
        <f>VLOOKUP(A65,All!A:AM,39,0)</f>
        <v>8.9133333333333393</v>
      </c>
      <c r="L65" s="20">
        <f>VLOOKUP(A65,All!A:AM,38,0)</f>
        <v>2.0055000000000014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5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5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5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45414</v>
      </c>
      <c r="D68" s="5"/>
      <c r="E68" s="17">
        <f>VLOOKUP(A68,All!A:AM,30,0)</f>
        <v>73.360655737704917</v>
      </c>
      <c r="F68" s="17">
        <f>VLOOKUP(A68,All!A:AM,28,0)</f>
        <v>11.7066</v>
      </c>
      <c r="G68" s="17">
        <f>VLOOKUP(A68,All!A:AM,31,0)</f>
        <v>70.454545454545453</v>
      </c>
      <c r="H68" s="17">
        <f>VLOOKUP(A68,All!A:AM,29,0)</f>
        <v>10.137</v>
      </c>
      <c r="I68" s="6">
        <f>VLOOKUP(A68,All!A:AM,33,0)</f>
        <v>51.285753575357589</v>
      </c>
      <c r="J68" s="6">
        <f>VLOOKUP(A68,All!A:AM,32,0)</f>
        <v>4.47540000000002</v>
      </c>
      <c r="K68" s="20">
        <f>VLOOKUP(A68,All!A:AM,39,0)</f>
        <v>29.149999999999995</v>
      </c>
      <c r="L68" s="20">
        <f>VLOOKUP(A68,All!A:AM,38,0)</f>
        <v>1.7489999999999997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5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45414</v>
      </c>
      <c r="D69" s="5"/>
      <c r="E69" s="17">
        <f>VLOOKUP(A69,All!A:AM,30,0)</f>
        <v>76.662112932604742</v>
      </c>
      <c r="F69" s="17">
        <f>VLOOKUP(A69,All!A:AM,28,0)</f>
        <v>7.3400600000000003</v>
      </c>
      <c r="G69" s="17">
        <f>VLOOKUP(A69,All!A:AM,31,0)</f>
        <v>59.244532803180917</v>
      </c>
      <c r="H69" s="17">
        <f>VLOOKUP(A69,All!A:AM,29,0)</f>
        <v>3.2482000000000002</v>
      </c>
      <c r="I69" s="6">
        <f>VLOOKUP(A69,All!A:AM,33,0)</f>
        <v>77.895496992719018</v>
      </c>
      <c r="J69" s="6">
        <f>VLOOKUP(A69,All!A:AM,32,0)</f>
        <v>7.8742999999999803</v>
      </c>
      <c r="K69" s="20">
        <f>VLOOKUP(A69,All!A:AM,39,0)</f>
        <v>80.137777777777771</v>
      </c>
      <c r="L69" s="20">
        <f>VLOOKUP(A69,All!A:AM,38,0)</f>
        <v>9.0154999999999994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5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5"/>
      <c r="E70" s="17">
        <f>VLOOKUP(A70,All!A:AM,30,0)</f>
        <v>34.296069770075889</v>
      </c>
      <c r="F70" s="17">
        <f>VLOOKUP(A70,All!A:AM,28,0)</f>
        <v>30.28</v>
      </c>
      <c r="G70" s="17">
        <f>VLOOKUP(A70,All!A:AM,31,0)</f>
        <v>25.305005633349435</v>
      </c>
      <c r="H70" s="17">
        <f>VLOOKUP(A70,All!A:AM,29,0)</f>
        <v>19.652500000000003</v>
      </c>
      <c r="I70" s="6">
        <f>VLOOKUP(A70,All!A:AM,33,0)</f>
        <v>-8.774732610293567</v>
      </c>
      <c r="J70" s="6">
        <f>VLOOKUP(A70,All!A:AM,32,0)</f>
        <v>-4.6796000000000006</v>
      </c>
      <c r="K70" s="331">
        <f>VLOOKUP(A70,All!A:AM,39,0)</f>
        <v>11.530555555555553</v>
      </c>
      <c r="L70" s="331">
        <f>VLOOKUP(A70,All!A:AM,38,0)</f>
        <v>20.754999999999995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15.5</v>
      </c>
      <c r="S70" s="325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45211</v>
      </c>
      <c r="D71" s="19"/>
      <c r="E71" s="17">
        <f>VLOOKUP(A71,All!A:AM,30,0)</f>
        <v>20.346357813901523</v>
      </c>
      <c r="F71" s="17">
        <f>VLOOKUP(A71,All!A:AM,28,0)</f>
        <v>25.859000000000002</v>
      </c>
      <c r="G71" s="17">
        <f>VLOOKUP(A71,All!A:AM,31,0)</f>
        <v>-8.3103752641292434</v>
      </c>
      <c r="H71" s="17">
        <f>VLOOKUP(A71,All!A:AM,29,0)</f>
        <v>-7.7675000000000001</v>
      </c>
      <c r="I71" s="6">
        <f>VLOOKUP(A71,All!A:AM,33,0)</f>
        <v>5.0869672832006509</v>
      </c>
      <c r="J71" s="6">
        <f>VLOOKUP(A71,All!A:AM,32,0)</f>
        <v>5.4258000000000797</v>
      </c>
      <c r="K71" s="332"/>
      <c r="L71" s="332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5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44804</v>
      </c>
      <c r="D72" s="19"/>
      <c r="E72" s="17">
        <f>VLOOKUP(A72,All!A:AM,30,0)</f>
        <v>60.803200850675346</v>
      </c>
      <c r="F72" s="17">
        <f>VLOOKUP(A72,All!A:AM,28,0)</f>
        <v>36.870379999999997</v>
      </c>
      <c r="G72" s="17">
        <f>VLOOKUP(A72,All!A:AM,31,0)</f>
        <v>44.850876826625459</v>
      </c>
      <c r="H72" s="17">
        <f>VLOOKUP(A72,All!A:AM,29,0)</f>
        <v>19.330099999999998</v>
      </c>
      <c r="I72" s="6">
        <f>VLOOKUP(A72,All!A:AM,33,0)</f>
        <v>55.431611238618117</v>
      </c>
      <c r="J72" s="6">
        <f>VLOOKUP(A72,All!A:AM,32,0)</f>
        <v>29.561899999999998</v>
      </c>
      <c r="K72" s="331">
        <f>VLOOKUP(A72,All!A:AM,39,0)</f>
        <v>75.780152671755729</v>
      </c>
      <c r="L72" s="331">
        <f>VLOOKUP(A72,All!A:AM,38,0)</f>
        <v>148.90800000000002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7.8000000000000007</v>
      </c>
      <c r="S72" s="325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44979</v>
      </c>
      <c r="D73" s="19"/>
      <c r="E73" s="17">
        <f>VLOOKUP(A73,All!A:AM,30,0)</f>
        <v>60.712499967017877</v>
      </c>
      <c r="F73" s="17">
        <f>VLOOKUP(A73,All!A:AM,28,0)</f>
        <v>36.815380000000005</v>
      </c>
      <c r="G73" s="17">
        <f>VLOOKUP(A73,All!A:AM,31,0)</f>
        <v>44.723262472562922</v>
      </c>
      <c r="H73" s="17">
        <f>VLOOKUP(A73,All!A:AM,29,0)</f>
        <v>19.275100000000002</v>
      </c>
      <c r="I73" s="6">
        <f>VLOOKUP(A73,All!A:AM,33,0)</f>
        <v>55.328480566431153</v>
      </c>
      <c r="J73" s="6">
        <f>VLOOKUP(A73,All!A:AM,32,0)</f>
        <v>29.506900000000002</v>
      </c>
      <c r="K73" s="332"/>
      <c r="L73" s="332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8.4</v>
      </c>
      <c r="S73" s="325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45414</v>
      </c>
      <c r="D74" s="19"/>
      <c r="E74" s="17">
        <f>VLOOKUP(A74,All!A:AM,30,0)</f>
        <v>67.533448933792187</v>
      </c>
      <c r="F74" s="17">
        <f>VLOOKUP(A74,All!A:AM,28,0)</f>
        <v>18.320419999999999</v>
      </c>
      <c r="G74" s="17">
        <f>VLOOKUP(A74,All!A:AM,31,0)</f>
        <v>61.35688556022096</v>
      </c>
      <c r="H74" s="17">
        <f>VLOOKUP(A74,All!A:AM,29,0)</f>
        <v>13.984399999999999</v>
      </c>
      <c r="I74" s="6">
        <f>VLOOKUP(A74,All!A:AM,33,0)</f>
        <v>49.41009557945042</v>
      </c>
      <c r="J74" s="6">
        <f>VLOOKUP(A74,All!A:AM,32,0)</f>
        <v>8.6021000000000001</v>
      </c>
      <c r="K74" s="20">
        <f>VLOOKUP(A74,All!A:AM,39,0)</f>
        <v>92.171111111111102</v>
      </c>
      <c r="L74" s="20">
        <f>VLOOKUP(A74,All!A:AM,38,0)</f>
        <v>103.6925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5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45414</v>
      </c>
      <c r="D75" s="19"/>
      <c r="E75" s="17">
        <f>VLOOKUP(A75,All!A:AM,30,0)</f>
        <v>64.084972235246937</v>
      </c>
      <c r="F75" s="17">
        <f>VLOOKUP(A75,All!A:AM,28,0)</f>
        <v>17.384920000000001</v>
      </c>
      <c r="G75" s="17">
        <f>VLOOKUP(A75,All!A:AM,31,0)</f>
        <v>57.252357197074403</v>
      </c>
      <c r="H75" s="17">
        <f>VLOOKUP(A75,All!A:AM,29,0)</f>
        <v>13.0489</v>
      </c>
      <c r="I75" s="6">
        <f>VLOOKUP(A75,All!A:AM,33,0)</f>
        <v>44.036623472107344</v>
      </c>
      <c r="J75" s="6">
        <f>VLOOKUP(A75,All!A:AM,32,0)</f>
        <v>7.6665999999999999</v>
      </c>
      <c r="K75" s="20">
        <f>VLOOKUP(A75,All!A:AM,39,0)</f>
        <v>91.339555555555563</v>
      </c>
      <c r="L75" s="20">
        <f>VLOOKUP(A75,All!A:AM,38,0)</f>
        <v>102.75700000000001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5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51.698385017817877</v>
      </c>
      <c r="F76" s="17">
        <f>VLOOKUP(A76,All!A:AM,28,0)</f>
        <v>27.274000000000001</v>
      </c>
      <c r="G76" s="17">
        <f>VLOOKUP(A76,All!A:AM,31,0)</f>
        <v>23.35087983155362</v>
      </c>
      <c r="H76" s="17">
        <f>VLOOKUP(A76,All!A:AM,29,0)</f>
        <v>7.7629999999999999</v>
      </c>
      <c r="I76" s="6">
        <f>VLOOKUP(A76,All!A:AM,33,0)</f>
        <v>52.218622024211328</v>
      </c>
      <c r="J76" s="6">
        <f>VLOOKUP(A76,All!A:AM,32,0)</f>
        <v>27.848399999999998</v>
      </c>
      <c r="K76" s="331">
        <f>VLOOKUP(A76,All!A:AM,39,0)</f>
        <v>43.13111111111111</v>
      </c>
      <c r="L76" s="331">
        <f>VLOOKUP(A76,All!A:AM,38,0)</f>
        <v>38.817999999999998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9.35</v>
      </c>
      <c r="S76" s="325"/>
    </row>
    <row r="77" spans="1:19">
      <c r="A77" s="38" t="s">
        <v>93</v>
      </c>
      <c r="B77" s="41" t="str">
        <f>VLOOKUP(A77,All!A:AM,2,0)</f>
        <v>MIDLANDS</v>
      </c>
      <c r="C77" s="42">
        <f>VLOOKUP(A77,All!A:AM,11,0)</f>
        <v>45223</v>
      </c>
      <c r="D77" s="5"/>
      <c r="E77" s="17">
        <f>VLOOKUP(A77,All!A:AM,30,0)</f>
        <v>51.285161877322004</v>
      </c>
      <c r="F77" s="17">
        <f>VLOOKUP(A77,All!A:AM,28,0)</f>
        <v>27.055999999999997</v>
      </c>
      <c r="G77" s="17">
        <f>VLOOKUP(A77,All!A:AM,31,0)</f>
        <v>22.695142126635588</v>
      </c>
      <c r="H77" s="17">
        <f>VLOOKUP(A77,All!A:AM,29,0)</f>
        <v>7.5449999999999999</v>
      </c>
      <c r="I77" s="6">
        <f>VLOOKUP(A77,All!A:AM,33,0)</f>
        <v>51.809849541724795</v>
      </c>
      <c r="J77" s="6">
        <f>VLOOKUP(A77,All!A:AM,32,0)</f>
        <v>27.630400000000002</v>
      </c>
      <c r="K77" s="332"/>
      <c r="L77" s="332"/>
      <c r="M77" s="96"/>
      <c r="N77" s="96"/>
      <c r="O77" s="96"/>
      <c r="P77" s="96"/>
      <c r="Q77" s="96"/>
      <c r="R77" s="12">
        <f>VLOOKUP(A77,'SYS Allocations'!A:G,7,0)</f>
        <v>9.35</v>
      </c>
      <c r="S77" s="325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45414</v>
      </c>
      <c r="D78" s="5"/>
      <c r="E78" s="17">
        <f>VLOOKUP(A78,All!A:AM,30,0)</f>
        <v>69.523809523809518</v>
      </c>
      <c r="F78" s="17">
        <f>VLOOKUP(A78,All!A:AM,28,0)</f>
        <v>7.9569999999999999</v>
      </c>
      <c r="G78" s="17">
        <f>VLOOKUP(A78,All!A:AM,31,0)</f>
        <v>63.532763532763532</v>
      </c>
      <c r="H78" s="17">
        <f>VLOOKUP(A78,All!A:AM,29,0)</f>
        <v>6.0767499999999997</v>
      </c>
      <c r="I78" s="6">
        <f>VLOOKUP(A78,All!A:AM,33,0)</f>
        <v>61.088799643016372</v>
      </c>
      <c r="J78" s="6">
        <f>VLOOKUP(A78,All!A:AM,32,0)</f>
        <v>5.4759999999999698</v>
      </c>
      <c r="K78" s="20">
        <f>VLOOKUP(A78,All!A:AM,39,0)</f>
        <v>66.780952380952385</v>
      </c>
      <c r="L78" s="20">
        <f>VLOOKUP(A78,All!A:AM,38,0)</f>
        <v>7.0120000000000005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5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45414</v>
      </c>
      <c r="D79" s="5"/>
      <c r="E79" s="17">
        <f>VLOOKUP(A79,All!A:AM,30,0)</f>
        <v>39.6564959643054</v>
      </c>
      <c r="F79" s="17">
        <f>VLOOKUP(A79,All!A:AM,28,0)</f>
        <v>5.0625799999999996</v>
      </c>
      <c r="G79" s="17">
        <f>VLOOKUP(A79,All!A:AM,31,0)</f>
        <v>18.671677875022436</v>
      </c>
      <c r="H79" s="17">
        <f>VLOOKUP(A79,All!A:AM,29,0)</f>
        <v>1.7686000000000002</v>
      </c>
      <c r="I79" s="6">
        <f>VLOOKUP(A79,All!A:AM,33,0)</f>
        <v>23.794119974675329</v>
      </c>
      <c r="J79" s="6">
        <f>VLOOKUP(A79,All!A:AM,32,0)</f>
        <v>2.40529999999998</v>
      </c>
      <c r="K79" s="20">
        <f>VLOOKUP(A79,All!A:AM,39,0)</f>
        <v>74.321666666666673</v>
      </c>
      <c r="L79" s="20">
        <f>VLOOKUP(A79,All!A:AM,38,0)</f>
        <v>22.296500000000002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1</v>
      </c>
      <c r="S79" s="325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45414</v>
      </c>
      <c r="D80" s="5"/>
      <c r="E80" s="17">
        <f>VLOOKUP(A80,All!A:AM,30,0)</f>
        <v>59.492263874266797</v>
      </c>
      <c r="F80" s="17">
        <f>VLOOKUP(A80,All!A:AM,28,0)</f>
        <v>15.18966</v>
      </c>
      <c r="G80" s="17">
        <f>VLOOKUP(A80,All!A:AM,31,0)</f>
        <v>50.269747850672204</v>
      </c>
      <c r="H80" s="17">
        <f>VLOOKUP(A80,All!A:AM,29,0)</f>
        <v>10.454699999999999</v>
      </c>
      <c r="I80" s="6">
        <f>VLOOKUP(A80,All!A:AM,33,0)</f>
        <v>40.59312103666943</v>
      </c>
      <c r="J80" s="6">
        <f>VLOOKUP(A80,All!A:AM,32,0)</f>
        <v>7.0671000000000008</v>
      </c>
      <c r="K80" s="20">
        <f>VLOOKUP(A80,All!A:AM,39,0)</f>
        <v>62.634343434343435</v>
      </c>
      <c r="L80" s="20">
        <f>VLOOKUP(A80,All!A:AM,38,0)</f>
        <v>31.004000000000001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  <c r="S80" s="325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45414</v>
      </c>
      <c r="D81" s="5"/>
      <c r="E81" s="17">
        <f>VLOOKUP(A81,All!A:AM,30,0)</f>
        <v>68.065764901990249</v>
      </c>
      <c r="F81" s="17">
        <f>VLOOKUP(A81,All!A:AM,28,0)</f>
        <v>17.378659999999996</v>
      </c>
      <c r="G81" s="17">
        <f>VLOOKUP(A81,All!A:AM,31,0)</f>
        <v>60.795203200430834</v>
      </c>
      <c r="H81" s="17">
        <f>VLOOKUP(A81,All!A:AM,29,0)</f>
        <v>12.643700000000001</v>
      </c>
      <c r="I81" s="6">
        <f>VLOOKUP(A81,All!A:AM,33,0)</f>
        <v>53.166643690837226</v>
      </c>
      <c r="J81" s="6">
        <f>VLOOKUP(A81,All!A:AM,32,0)</f>
        <v>9.2560999999999982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  <c r="S81" s="325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5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45414</v>
      </c>
      <c r="D83" s="5"/>
      <c r="E83" s="17">
        <f>VLOOKUP(A83,All!A:AM,30,0)</f>
        <v>3.3493445129593407</v>
      </c>
      <c r="F83" s="17">
        <f>VLOOKUP(A83,All!A:AM,28,0)</f>
        <v>0.42757999999999985</v>
      </c>
      <c r="G83" s="17">
        <f>VLOOKUP(A83,All!A:AM,31,0)</f>
        <v>-30.261504840531668</v>
      </c>
      <c r="H83" s="17">
        <f>VLOOKUP(A83,All!A:AM,29,0)</f>
        <v>-2.8664000000000001</v>
      </c>
      <c r="I83" s="6">
        <f>VLOOKUP(A83,All!A:AM,33,0)</f>
        <v>-22.057019626464264</v>
      </c>
      <c r="J83" s="6">
        <f>VLOOKUP(A83,All!A:AM,32,0)</f>
        <v>-2.2297000000000198</v>
      </c>
      <c r="K83" s="20">
        <f>VLOOKUP(A83,All!A:AM,39,0)</f>
        <v>34.19466666666667</v>
      </c>
      <c r="L83" s="20">
        <f>VLOOKUP(A83,All!A:AM,38,0)</f>
        <v>6.4115000000000002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5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5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5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45044</v>
      </c>
      <c r="D86" s="5"/>
      <c r="E86" s="17">
        <f>VLOOKUP(A86,All!A:AM,30,0)</f>
        <v>48.138329560347898</v>
      </c>
      <c r="F86" s="17">
        <f>VLOOKUP(A86,All!A:AM,28,0)</f>
        <v>8.0804999999999989</v>
      </c>
      <c r="G86" s="17">
        <f>VLOOKUP(A86,All!A:AM,31,0)</f>
        <v>40.477737012174515</v>
      </c>
      <c r="H86" s="17">
        <f>VLOOKUP(A86,All!A:AM,29,0)</f>
        <v>5.9201199999999989</v>
      </c>
      <c r="I86" s="6">
        <f>VLOOKUP(A86,All!A:AM,33,0)</f>
        <v>33.820622757404436</v>
      </c>
      <c r="J86" s="6">
        <f>VLOOKUP(A86,All!A:AM,32,0)</f>
        <v>4.448900000000009</v>
      </c>
      <c r="K86" s="20">
        <f>VLOOKUP(A86,All!A:AM,39,0)</f>
        <v>80.654444444444437</v>
      </c>
      <c r="L86" s="20">
        <f>VLOOKUP(A86,All!A:AM,38,0)</f>
        <v>36.294499999999999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5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45384</v>
      </c>
      <c r="D87" s="5"/>
      <c r="E87" s="17">
        <f>VLOOKUP(A87,All!A:AM,30,0)</f>
        <v>34.451295934225698</v>
      </c>
      <c r="F87" s="17">
        <f>VLOOKUP(A87,All!A:AM,28,0)</f>
        <v>3.8483200000000002</v>
      </c>
      <c r="G87" s="17">
        <f>VLOOKUP(A87,All!A:AM,31,0)</f>
        <v>36.387962190714475</v>
      </c>
      <c r="H87" s="17">
        <f>VLOOKUP(A87,All!A:AM,29,0)</f>
        <v>4.1883999999999997</v>
      </c>
      <c r="I87" s="6">
        <f>VLOOKUP(A87,All!A:AM,33,0)</f>
        <v>37.36484082012511</v>
      </c>
      <c r="J87" s="6">
        <f>VLOOKUP(A87,All!A:AM,32,0)</f>
        <v>4.3679199999999696</v>
      </c>
      <c r="K87" s="20">
        <f>VLOOKUP(A87,All!A:AM,39,0)</f>
        <v>30.266666666666666</v>
      </c>
      <c r="L87" s="20">
        <f>VLOOKUP(A87,All!A:AM,38,0)</f>
        <v>3.1779999999999999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1</v>
      </c>
      <c r="S87" s="325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5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45414</v>
      </c>
      <c r="D89" s="5"/>
      <c r="E89" s="17">
        <f>VLOOKUP(A89,All!A:AM,30,0)</f>
        <v>74.666666666666671</v>
      </c>
      <c r="F89" s="17">
        <f>VLOOKUP(A89,All!A:AM,28,0)</f>
        <v>12.208</v>
      </c>
      <c r="G89" s="17">
        <f>VLOOKUP(A89,All!A:AM,31,0)</f>
        <v>75.244299674267097</v>
      </c>
      <c r="H89" s="17">
        <f>VLOOKUP(A89,All!A:AM,29,0)</f>
        <v>12.589499999999999</v>
      </c>
      <c r="I89" s="6">
        <f>VLOOKUP(A89,All!A:AM,33,0)</f>
        <v>37.251551289509443</v>
      </c>
      <c r="J89" s="6">
        <f>VLOOKUP(A89,All!A:AM,32,0)</f>
        <v>2.45896000000001</v>
      </c>
      <c r="K89" s="20">
        <f>VLOOKUP(A89,All!A:AM,39,0)</f>
        <v>44.773333333333333</v>
      </c>
      <c r="L89" s="20">
        <f>VLOOKUP(A89,All!A:AM,38,0)</f>
        <v>3.3579999999999997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5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73.68421052631578</v>
      </c>
      <c r="H90" s="17">
        <f>VLOOKUP(A90,All!A:AM,29,0)</f>
        <v>6.1040000000000001</v>
      </c>
      <c r="I90" s="6">
        <f>VLOOKUP(A90,All!A:AM,33,0)</f>
        <v>62.785425543537706</v>
      </c>
      <c r="J90" s="6">
        <f>VLOOKUP(A90,All!A:AM,32,0)</f>
        <v>3.6779200000000101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5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45398</v>
      </c>
      <c r="D91" s="5"/>
      <c r="E91" s="17">
        <f>VLOOKUP(A91,All!A:AM,30,0)</f>
        <v>23.598316789492152</v>
      </c>
      <c r="F91" s="17">
        <f>VLOOKUP(A91,All!A:AM,28,0)</f>
        <v>18.075479999999999</v>
      </c>
      <c r="G91" s="17">
        <f>VLOOKUP(A91,All!A:AM,31,0)</f>
        <v>-12.226151391488449</v>
      </c>
      <c r="H91" s="17">
        <f>VLOOKUP(A91,All!A:AM,29,0)</f>
        <v>-6.3754000000000008</v>
      </c>
      <c r="I91" s="6">
        <f>VLOOKUP(A91,All!A:AM,33,0)</f>
        <v>17.70031726744994</v>
      </c>
      <c r="J91" s="6">
        <f>VLOOKUP(A91,All!A:AM,32,0)</f>
        <v>12.586200000000199</v>
      </c>
      <c r="K91" s="20">
        <f>VLOOKUP(A91,All!A:AM,39,0)</f>
        <v>60.98599999999999</v>
      </c>
      <c r="L91" s="20">
        <f>VLOOKUP(A91,All!A:AM,38,0)</f>
        <v>91.478999999999985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5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45414</v>
      </c>
      <c r="D92" s="5"/>
      <c r="E92" s="17">
        <f>VLOOKUP(A92,All!A:AM,30,0)</f>
        <v>64.480874316939889</v>
      </c>
      <c r="F92" s="17">
        <f>VLOOKUP(A92,All!A:AM,28,0)</f>
        <v>5.1448</v>
      </c>
      <c r="G92" s="17">
        <f>VLOOKUP(A92,All!A:AM,31,0)</f>
        <v>57.72357723577236</v>
      </c>
      <c r="H92" s="17">
        <f>VLOOKUP(A92,All!A:AM,29,0)</f>
        <v>3.8694999999999999</v>
      </c>
      <c r="I92" s="6">
        <f>VLOOKUP(A92,All!A:AM,33,0)</f>
        <v>47.307749516584856</v>
      </c>
      <c r="J92" s="6">
        <f>VLOOKUP(A92,All!A:AM,32,0)</f>
        <v>2.5444</v>
      </c>
      <c r="K92" s="20">
        <f>VLOOKUP(A92,All!A:AM,39,0)</f>
        <v>62.213333333333338</v>
      </c>
      <c r="L92" s="20">
        <f>VLOOKUP(A92,All!A:AM,38,0)</f>
        <v>4.6660000000000004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5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72.62</v>
      </c>
      <c r="F93" s="17">
        <f>VLOOKUP(A93,All!A:AM,28,0)</f>
        <v>7.9155800000000003</v>
      </c>
      <c r="G93" s="17">
        <f>VLOOKUP(A93,All!A:AM,31,0)</f>
        <v>71.178947368421049</v>
      </c>
      <c r="H93" s="17">
        <f>VLOOKUP(A93,All!A:AM,29,0)</f>
        <v>7.3705800000000004</v>
      </c>
      <c r="I93" s="6">
        <f>VLOOKUP(A93,All!A:AM,33,0)</f>
        <v>42.905953474135295</v>
      </c>
      <c r="J93" s="6">
        <f>VLOOKUP(A93,All!A:AM,32,0)</f>
        <v>2.2427800000000002</v>
      </c>
      <c r="K93" s="20">
        <f>VLOOKUP(A93,All!A:AM,39,0)</f>
        <v>90.051933333333338</v>
      </c>
      <c r="L93" s="20">
        <f>VLOOKUP(A93,All!A:AM,38,0)</f>
        <v>27.01558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0</v>
      </c>
      <c r="S93" s="325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45414</v>
      </c>
      <c r="D94" s="5"/>
      <c r="E94" s="17">
        <f>VLOOKUP(A94,All!A:AM,30,0)</f>
        <v>48.079206772948311</v>
      </c>
      <c r="F94" s="17">
        <f>VLOOKUP(A94,All!A:AM,28,0)</f>
        <v>12.275660000000002</v>
      </c>
      <c r="G94" s="17">
        <f>VLOOKUP(A94,All!A:AM,31,0)</f>
        <v>30.023437252562793</v>
      </c>
      <c r="H94" s="17">
        <f>VLOOKUP(A94,All!A:AM,29,0)</f>
        <v>5.6877000000000004</v>
      </c>
      <c r="I94" s="6">
        <f>VLOOKUP(A94,All!A:AM,33,0)</f>
        <v>34.430891896169669</v>
      </c>
      <c r="J94" s="6">
        <f>VLOOKUP(A94,All!A:AM,32,0)</f>
        <v>6.9610999999999992</v>
      </c>
      <c r="K94" s="20">
        <f>VLOOKUP(A94,All!A:AM,39,0)</f>
        <v>41.082222222222228</v>
      </c>
      <c r="L94" s="20">
        <f>VLOOKUP(A94,All!A:AM,38,0)</f>
        <v>9.2435000000000009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4.7</v>
      </c>
      <c r="S94" s="325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45414</v>
      </c>
      <c r="D95" s="5"/>
      <c r="E95" s="17">
        <f>VLOOKUP(A95,All!A:AM,30,0)</f>
        <v>48.087431693989075</v>
      </c>
      <c r="F95" s="17">
        <f>VLOOKUP(A95,All!A:AM,28,0)</f>
        <v>3.8368000000000002</v>
      </c>
      <c r="G95" s="17">
        <f>VLOOKUP(A95,All!A:AM,31,0)</f>
        <v>28.030298941115472</v>
      </c>
      <c r="H95" s="17">
        <f>VLOOKUP(A95,All!A:AM,29,0)</f>
        <v>1.613199673</v>
      </c>
      <c r="I95" s="6">
        <f>VLOOKUP(A95,All!A:AM,33,0)</f>
        <v>50.830959164292672</v>
      </c>
      <c r="J95" s="6">
        <f>VLOOKUP(A95,All!A:AM,32,0)</f>
        <v>4.2820000000000302</v>
      </c>
      <c r="K95" s="20">
        <f>VLOOKUP(A95,All!A:AM,39,0)</f>
        <v>44.773333333333333</v>
      </c>
      <c r="L95" s="20">
        <f>VLOOKUP(A95,All!A:AM,38,0)</f>
        <v>3.3579999999999997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5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45414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5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5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5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5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5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5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45415</v>
      </c>
      <c r="D102" s="5"/>
      <c r="E102" s="17">
        <f>VLOOKUP(A102,All!A:AM,30,0)</f>
        <v>40.701916200379983</v>
      </c>
      <c r="F102" s="17">
        <f>VLOOKUP(A102,All!A:AM,28,0)</f>
        <v>31.82574</v>
      </c>
      <c r="G102" s="17">
        <f>VLOOKUP(A102,All!A:AM,31,0)</f>
        <v>14.358620103693546</v>
      </c>
      <c r="H102" s="17">
        <f>VLOOKUP(A102,All!A:AM,29,0)</f>
        <v>7.7737999999999978</v>
      </c>
      <c r="I102" s="6">
        <f>VLOOKUP(A102,All!A:AM,33,0)</f>
        <v>34.793523018766216</v>
      </c>
      <c r="J102" s="6">
        <f>VLOOKUP(A102,All!A:AM,32,0)</f>
        <v>24.740700000000199</v>
      </c>
      <c r="K102" s="20">
        <f>VLOOKUP(A102,All!A:AM,39,0)</f>
        <v>55.841428571428565</v>
      </c>
      <c r="L102" s="20">
        <f>VLOOKUP(A102,All!A:AM,38,0)</f>
        <v>58.633499999999998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22.55</v>
      </c>
      <c r="S102" s="325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45415</v>
      </c>
      <c r="D103" s="5"/>
      <c r="E103" s="17">
        <f>VLOOKUP(A103,All!A:AM,30,0)</f>
        <v>36.741165107944212</v>
      </c>
      <c r="F103" s="17">
        <f>VLOOKUP(A103,All!A:AM,28,0)</f>
        <v>28.728739999999998</v>
      </c>
      <c r="G103" s="17">
        <f>VLOOKUP(A103,All!A:AM,31,0)</f>
        <v>8.6382971649584501</v>
      </c>
      <c r="H103" s="17">
        <f>VLOOKUP(A103,All!A:AM,29,0)</f>
        <v>4.6768000000000001</v>
      </c>
      <c r="I103" s="6">
        <f>VLOOKUP(A103,All!A:AM,33,0)</f>
        <v>30.438127221997402</v>
      </c>
      <c r="J103" s="6">
        <f>VLOOKUP(A103,All!A:AM,32,0)</f>
        <v>21.643700000000198</v>
      </c>
      <c r="K103" s="20">
        <f>VLOOKUP(A103,All!A:AM,39,0)</f>
        <v>52.891904761904762</v>
      </c>
      <c r="L103" s="20">
        <f>VLOOKUP(A103,All!A:AM,38,0)</f>
        <v>55.536500000000004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22.05</v>
      </c>
      <c r="S103" s="325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45415</v>
      </c>
      <c r="D104" s="19"/>
      <c r="E104" s="17">
        <f>VLOOKUP(A104,All!A:AM,30,0)</f>
        <v>50.917186642162712</v>
      </c>
      <c r="F104" s="17">
        <f>VLOOKUP(A104,All!A:AM,28,0)</f>
        <v>33.313160000000003</v>
      </c>
      <c r="G104" s="17">
        <f>VLOOKUP(A104,All!A:AM,31,0)</f>
        <v>41.83897366516976</v>
      </c>
      <c r="H104" s="17">
        <f>VLOOKUP(A104,All!A:AM,29,0)</f>
        <v>23.100950000000001</v>
      </c>
      <c r="I104" s="6">
        <f>VLOOKUP(A104,All!A:AM,33,0)</f>
        <v>25.812726399053744</v>
      </c>
      <c r="J104" s="6">
        <f>VLOOKUP(A104,All!A:AM,32,0)</f>
        <v>11.173400000000001</v>
      </c>
      <c r="K104" s="331">
        <f>VLOOKUP(A104,All!A:AM,39,0)</f>
        <v>-16.303703703703707</v>
      </c>
      <c r="L104" s="331">
        <f>VLOOKUP(A104,All!A:AM,38,0)</f>
        <v>-11.005000000000003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5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45415</v>
      </c>
      <c r="D105" s="19"/>
      <c r="E105" s="17">
        <f>VLOOKUP(A105,All!A:AM,30,0)</f>
        <v>29.092583150226147</v>
      </c>
      <c r="F105" s="17">
        <f>VLOOKUP(A105,All!A:AM,28,0)</f>
        <v>19.03416</v>
      </c>
      <c r="G105" s="17">
        <f>VLOOKUP(A105,All!A:AM,31,0)</f>
        <v>15.977755621541297</v>
      </c>
      <c r="H105" s="17">
        <f>VLOOKUP(A105,All!A:AM,29,0)</f>
        <v>8.8219500000000011</v>
      </c>
      <c r="I105" s="6">
        <f>VLOOKUP(A105,All!A:AM,33,0)</f>
        <v>-7.1745398092703478</v>
      </c>
      <c r="J105" s="6">
        <f>VLOOKUP(A105,All!A:AM,32,0)</f>
        <v>-3.1055999999999999</v>
      </c>
      <c r="K105" s="332"/>
      <c r="L105" s="332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5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5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45415</v>
      </c>
      <c r="D107" s="5"/>
      <c r="E107" s="17">
        <f>VLOOKUP(A107,All!A:AM,30,0)</f>
        <v>71.248026018950213</v>
      </c>
      <c r="F107" s="17">
        <f>VLOOKUP(A107,All!A:AM,28,0)</f>
        <v>9.09558</v>
      </c>
      <c r="G107" s="17">
        <f>VLOOKUP(A107,All!A:AM,31,0)</f>
        <v>61.249353364090325</v>
      </c>
      <c r="H107" s="17">
        <f>VLOOKUP(A107,All!A:AM,29,0)</f>
        <v>5.8015999999999996</v>
      </c>
      <c r="I107" s="6">
        <f>VLOOKUP(A107,All!A:AM,33,0)</f>
        <v>63.690052231718695</v>
      </c>
      <c r="J107" s="6">
        <f>VLOOKUP(A107,All!A:AM,32,0)</f>
        <v>6.4382999999999804</v>
      </c>
      <c r="K107" s="20">
        <f>VLOOKUP(A107,All!A:AM,39,0)</f>
        <v>67.373333333333321</v>
      </c>
      <c r="L107" s="20">
        <f>VLOOKUP(A107,All!A:AM,38,0)</f>
        <v>7.5794999999999995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5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5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1">
        <f>VLOOKUP(A109,All!A:AM,39,0)</f>
        <v>74.113432835820916</v>
      </c>
      <c r="L109" s="331">
        <f>VLOOKUP(A109,All!A:AM,38,0)</f>
        <v>37.242000000000004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  <c r="S109" s="325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73.264567771260502</v>
      </c>
      <c r="F110" s="17">
        <f>VLOOKUP(A110,All!A:AM,28,0)</f>
        <v>17.536899999999999</v>
      </c>
      <c r="G110" s="17">
        <f>VLOOKUP(A110,All!A:AM,31,0)</f>
        <v>65.964632362717722</v>
      </c>
      <c r="H110" s="17">
        <f>VLOOKUP(A110,All!A:AM,29,0)</f>
        <v>12.402999999999999</v>
      </c>
      <c r="I110" s="6">
        <f>VLOOKUP(A110,All!A:AM,33,0)</f>
        <v>63.241544894770691</v>
      </c>
      <c r="J110" s="6">
        <f>VLOOKUP(A110,All!A:AM,32,0)</f>
        <v>11.010099999999998</v>
      </c>
      <c r="K110" s="332"/>
      <c r="L110" s="332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5.8</v>
      </c>
      <c r="S110" s="325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5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5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45415</v>
      </c>
      <c r="D113" s="5"/>
      <c r="E113" s="17">
        <f>VLOOKUP(A113,All!A:AM,30,0)</f>
        <v>70.400728597449913</v>
      </c>
      <c r="F113" s="17">
        <f>VLOOKUP(A113,All!A:AM,28,0)</f>
        <v>6.7405600000000003</v>
      </c>
      <c r="G113" s="17">
        <f>VLOOKUP(A113,All!A:AM,31,0)</f>
        <v>66.580976863753222</v>
      </c>
      <c r="H113" s="17">
        <f>VLOOKUP(A113,All!A:AM,29,0)</f>
        <v>5.6462000000000003</v>
      </c>
      <c r="I113" s="6">
        <f>VLOOKUP(A113,All!A:AM,33,0)</f>
        <v>63.715789904949233</v>
      </c>
      <c r="J113" s="6">
        <f>VLOOKUP(A113,All!A:AM,32,0)</f>
        <v>4.9765600000000099</v>
      </c>
      <c r="K113" s="20">
        <f>VLOOKUP(A113,All!A:AM,39,0)</f>
        <v>74.808888888888887</v>
      </c>
      <c r="L113" s="20">
        <f>VLOOKUP(A113,All!A:AM,38,0)</f>
        <v>8.4160000000000004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5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45415</v>
      </c>
      <c r="D114" s="5"/>
      <c r="E114" s="17">
        <f>VLOOKUP(A114,All!A:AM,30,0)</f>
        <v>73.630488441428611</v>
      </c>
      <c r="F114" s="17">
        <f>VLOOKUP(A114,All!A:AM,28,0)</f>
        <v>19.974420000000002</v>
      </c>
      <c r="G114" s="17">
        <f>VLOOKUP(A114,All!A:AM,31,0)</f>
        <v>68.613849657115026</v>
      </c>
      <c r="H114" s="17">
        <f>VLOOKUP(A114,All!A:AM,29,0)</f>
        <v>15.638399999999999</v>
      </c>
      <c r="I114" s="6">
        <f>VLOOKUP(A114,All!A:AM,33,0)</f>
        <v>58.91060104769781</v>
      </c>
      <c r="J114" s="6">
        <f>VLOOKUP(A114,All!A:AM,32,0)</f>
        <v>10.256099999999998</v>
      </c>
      <c r="K114" s="20">
        <f>VLOOKUP(A114,All!A:AM,39,0)</f>
        <v>86.838666666666668</v>
      </c>
      <c r="L114" s="20">
        <f>VLOOKUP(A114,All!A:AM,38,0)</f>
        <v>97.6935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5.9</v>
      </c>
      <c r="S114" s="325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45415</v>
      </c>
      <c r="D115" s="5"/>
      <c r="E115" s="17">
        <f>VLOOKUP(A115,All!A:AM,30,0)</f>
        <v>71.789212000035391</v>
      </c>
      <c r="F115" s="17">
        <f>VLOOKUP(A115,All!A:AM,28,0)</f>
        <v>19.474920000000001</v>
      </c>
      <c r="G115" s="17">
        <f>VLOOKUP(A115,All!A:AM,31,0)</f>
        <v>66.422281600042126</v>
      </c>
      <c r="H115" s="17">
        <f>VLOOKUP(A115,All!A:AM,29,0)</f>
        <v>15.1389</v>
      </c>
      <c r="I115" s="6">
        <f>VLOOKUP(A115,All!A:AM,33,0)</f>
        <v>56.041494347945957</v>
      </c>
      <c r="J115" s="6">
        <f>VLOOKUP(A115,All!A:AM,32,0)</f>
        <v>9.7565999999999988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5.8</v>
      </c>
      <c r="S115" s="325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45415</v>
      </c>
      <c r="D116" s="5"/>
      <c r="E116" s="17">
        <f>VLOOKUP(A116,All!A:AM,30,0)</f>
        <v>45.578795170839086</v>
      </c>
      <c r="F116" s="17">
        <f>VLOOKUP(A116,All!A:AM,28,0)</f>
        <v>16.00122</v>
      </c>
      <c r="G116" s="17">
        <f>VLOOKUP(A116,All!A:AM,31,0)</f>
        <v>13.484789479880817</v>
      </c>
      <c r="H116" s="17">
        <f>VLOOKUP(A116,All!A:AM,29,0)</f>
        <v>2.9779000000000004</v>
      </c>
      <c r="I116" s="6">
        <f>VLOOKUP(A116,All!A:AM,33,0)</f>
        <v>46.262825705413796</v>
      </c>
      <c r="J116" s="6">
        <f>VLOOKUP(A116,All!A:AM,32,0)</f>
        <v>16.4481</v>
      </c>
      <c r="K116" s="20">
        <f>VLOOKUP(A116,All!A:AM,39,0)</f>
        <v>57.543333333333337</v>
      </c>
      <c r="L116" s="20">
        <f>VLOOKUP(A116,All!A:AM,38,0)</f>
        <v>25.894500000000001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5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45415</v>
      </c>
      <c r="D117" s="5"/>
      <c r="E117" s="17">
        <f>VLOOKUP(A117,All!A:AM,30,0)</f>
        <v>61.603279177625595</v>
      </c>
      <c r="F117" s="17">
        <f>VLOOKUP(A117,All!A:AM,28,0)</f>
        <v>40.304660000000005</v>
      </c>
      <c r="G117" s="17">
        <f>VLOOKUP(A117,All!A:AM,31,0)</f>
        <v>48.818015308856275</v>
      </c>
      <c r="H117" s="17">
        <f>VLOOKUP(A117,All!A:AM,29,0)</f>
        <v>23.961199999999998</v>
      </c>
      <c r="I117" s="6">
        <f>VLOOKUP(A117,All!A:AM,33,0)</f>
        <v>52.894596702818646</v>
      </c>
      <c r="J117" s="6">
        <f>VLOOKUP(A117,All!A:AM,32,0)</f>
        <v>28.208899999999996</v>
      </c>
      <c r="K117" s="331">
        <f>VLOOKUP(A117,All!A:AM,39,0)</f>
        <v>69.508888888888876</v>
      </c>
      <c r="L117" s="331">
        <f>VLOOKUP(A117,All!A:AM,38,0)</f>
        <v>125.11599999999999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  <c r="S117" s="325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45415</v>
      </c>
      <c r="D118" s="19"/>
      <c r="E118" s="17">
        <f>VLOOKUP(A118,All!A:AM,30,0)</f>
        <v>54.509786299547457</v>
      </c>
      <c r="F118" s="17">
        <f>VLOOKUP(A118,All!A:AM,28,0)</f>
        <v>35.66366</v>
      </c>
      <c r="G118" s="17">
        <f>VLOOKUP(A118,All!A:AM,31,0)</f>
        <v>39.362545255252869</v>
      </c>
      <c r="H118" s="17">
        <f>VLOOKUP(A118,All!A:AM,29,0)</f>
        <v>19.3202</v>
      </c>
      <c r="I118" s="6">
        <f>VLOOKUP(A118,All!A:AM,33,0)</f>
        <v>44.192243073369035</v>
      </c>
      <c r="J118" s="6">
        <f>VLOOKUP(A118,All!A:AM,32,0)</f>
        <v>23.567900000000002</v>
      </c>
      <c r="K118" s="332"/>
      <c r="L118" s="332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6.6</v>
      </c>
      <c r="S118" s="325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45415</v>
      </c>
      <c r="D119" s="19"/>
      <c r="E119" s="17">
        <f>VLOOKUP(A119,All!A:AM,30,0)</f>
        <v>30.36676910794738</v>
      </c>
      <c r="F119" s="17">
        <f>VLOOKUP(A119,All!A:AM,28,0)</f>
        <v>25.682780000000001</v>
      </c>
      <c r="G119" s="17">
        <f>VLOOKUP(A119,All!A:AM,31,0)</f>
        <v>5.1942156277215847</v>
      </c>
      <c r="H119" s="17">
        <f>VLOOKUP(A119,All!A:AM,29,0)</f>
        <v>3.2265999999999995</v>
      </c>
      <c r="I119" s="6">
        <f>VLOOKUP(A119,All!A:AM,33,0)</f>
        <v>17.177866657666403</v>
      </c>
      <c r="J119" s="6">
        <f>VLOOKUP(A119,All!A:AM,32,0)</f>
        <v>12.2147000000002</v>
      </c>
      <c r="K119" s="331">
        <f>VLOOKUP(A119,All!A:AM,39,0)</f>
        <v>-16.966666666666658</v>
      </c>
      <c r="L119" s="331">
        <f>VLOOKUP(A119,All!A:AM,38,0)</f>
        <v>-15.269999999999992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11.75</v>
      </c>
      <c r="S119" s="325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45415</v>
      </c>
      <c r="D120" s="19"/>
      <c r="E120" s="17">
        <f>VLOOKUP(A120,All!A:AM,30,0)</f>
        <v>45.164237115147586</v>
      </c>
      <c r="F120" s="17">
        <f>VLOOKUP(A120,All!A:AM,28,0)</f>
        <v>38.197779999999995</v>
      </c>
      <c r="G120" s="17">
        <f>VLOOKUP(A120,All!A:AM,31,0)</f>
        <v>25.340998179303952</v>
      </c>
      <c r="H120" s="17">
        <f>VLOOKUP(A120,All!A:AM,29,0)</f>
        <v>15.741600000000002</v>
      </c>
      <c r="I120" s="6">
        <f>VLOOKUP(A120,All!A:AM,33,0)</f>
        <v>34.778053417938175</v>
      </c>
      <c r="J120" s="6">
        <f>VLOOKUP(A120,All!A:AM,32,0)</f>
        <v>24.729700000000204</v>
      </c>
      <c r="K120" s="332"/>
      <c r="L120" s="332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13.95</v>
      </c>
      <c r="S120" s="325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45415</v>
      </c>
      <c r="D121" s="5"/>
      <c r="E121" s="17">
        <f>VLOOKUP(A121,All!A:AM,30,0)</f>
        <v>50.338884154119519</v>
      </c>
      <c r="F121" s="17">
        <f>VLOOKUP(A121,All!A:AM,28,0)</f>
        <v>14.459179999999998</v>
      </c>
      <c r="G121" s="17">
        <f>VLOOKUP(A121,All!A:AM,31,0)</f>
        <v>27.052969633743462</v>
      </c>
      <c r="H121" s="17">
        <f>VLOOKUP(A121,All!A:AM,29,0)</f>
        <v>5.2900999999999989</v>
      </c>
      <c r="I121" s="6">
        <f>VLOOKUP(A121,All!A:AM,33,0)</f>
        <v>46.483507413410166</v>
      </c>
      <c r="J121" s="6">
        <f>VLOOKUP(A121,All!A:AM,32,0)</f>
        <v>12.389899999999999</v>
      </c>
      <c r="K121" s="20">
        <f>VLOOKUP(A121,All!A:AM,39,0)</f>
        <v>36.602222222222224</v>
      </c>
      <c r="L121" s="20">
        <f>VLOOKUP(A121,All!A:AM,38,0)</f>
        <v>8.2355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5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45415</v>
      </c>
      <c r="D122" s="5"/>
      <c r="E122" s="17">
        <f>VLOOKUP(A122,All!A:AM,30,0)</f>
        <v>34.90378178643995</v>
      </c>
      <c r="F122" s="17">
        <f>VLOOKUP(A122,All!A:AM,28,0)</f>
        <v>18.937339999999999</v>
      </c>
      <c r="G122" s="17">
        <f>VLOOKUP(A122,All!A:AM,31,0)</f>
        <v>-0.56577770944025918</v>
      </c>
      <c r="H122" s="17">
        <f>VLOOKUP(A122,All!A:AM,29,0)</f>
        <v>-0.1987000000000001</v>
      </c>
      <c r="I122" s="6">
        <f>VLOOKUP(A122,All!A:AM,33,0)</f>
        <v>33.774170079354363</v>
      </c>
      <c r="J122" s="6">
        <f>VLOOKUP(A122,All!A:AM,32,0)</f>
        <v>18.011900000000001</v>
      </c>
      <c r="K122" s="20">
        <f>VLOOKUP(A122,All!A:AM,39,0)</f>
        <v>43.93888888888889</v>
      </c>
      <c r="L122" s="20">
        <f>VLOOKUP(A122,All!A:AM,38,0)</f>
        <v>27.6815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5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45415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5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45415</v>
      </c>
      <c r="D124" s="5"/>
      <c r="E124" s="17">
        <f>VLOOKUP(A124,All!A:AM,30,0)</f>
        <v>24.202708606378334</v>
      </c>
      <c r="F124" s="17">
        <f>VLOOKUP(A124,All!A:AM,28,0)</f>
        <v>2.77</v>
      </c>
      <c r="G124" s="17">
        <f>VLOOKUP(A124,All!A:AM,31,0)</f>
        <v>14.006311676808856</v>
      </c>
      <c r="H124" s="17">
        <f>VLOOKUP(A124,All!A:AM,29,0)</f>
        <v>1.412949673</v>
      </c>
      <c r="I124" s="6">
        <f>VLOOKUP(A124,All!A:AM,33,0)</f>
        <v>-2.9795821462485059</v>
      </c>
      <c r="J124" s="6">
        <f>VLOOKUP(A124,All!A:AM,32,0)</f>
        <v>-0.25099999999997502</v>
      </c>
      <c r="K124" s="20">
        <f>VLOOKUP(A124,All!A:AM,39,0)</f>
        <v>27.708333333333329</v>
      </c>
      <c r="L124" s="20">
        <f>VLOOKUP(A124,All!A:AM,38,0)</f>
        <v>3.3249999999999993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5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5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45415</v>
      </c>
      <c r="D126" s="5"/>
      <c r="E126" s="17">
        <f>VLOOKUP(A126,All!A:AM,30,0)</f>
        <v>47.306791569086649</v>
      </c>
      <c r="F126" s="17">
        <f>VLOOKUP(A126,All!A:AM,28,0)</f>
        <v>5.2843200000000001</v>
      </c>
      <c r="G126" s="17">
        <f>VLOOKUP(A126,All!A:AM,31,0)</f>
        <v>15.756630265210608</v>
      </c>
      <c r="H126" s="17">
        <f>VLOOKUP(A126,All!A:AM,29,0)</f>
        <v>1.1009</v>
      </c>
      <c r="I126" s="6">
        <f>VLOOKUP(A126,All!A:AM,33,0)</f>
        <v>62.320243362832052</v>
      </c>
      <c r="J126" s="6">
        <f>VLOOKUP(A126,All!A:AM,32,0)</f>
        <v>9.7351200000000304</v>
      </c>
      <c r="K126" s="20">
        <f>VLOOKUP(A126,All!A:AM,39,0)</f>
        <v>87.926153846153838</v>
      </c>
      <c r="L126" s="20">
        <f>VLOOKUP(A126,All!A:AM,38,0)</f>
        <v>42.863999999999997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5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45415</v>
      </c>
      <c r="D127" s="5"/>
      <c r="E127" s="17">
        <f>VLOOKUP(A127,All!A:AM,30,0)</f>
        <v>45.355191256830601</v>
      </c>
      <c r="F127" s="17">
        <f>VLOOKUP(A127,All!A:AM,28,0)</f>
        <v>5.0663200000000002</v>
      </c>
      <c r="G127" s="17">
        <f>VLOOKUP(A127,All!A:AM,31,0)</f>
        <v>12.636505460218409</v>
      </c>
      <c r="H127" s="17">
        <f>VLOOKUP(A127,All!A:AM,29,0)</f>
        <v>0.88290000000000002</v>
      </c>
      <c r="I127" s="6">
        <f>VLOOKUP(A127,All!A:AM,33,0)</f>
        <v>60.924696820714715</v>
      </c>
      <c r="J127" s="6">
        <f>VLOOKUP(A127,All!A:AM,32,0)</f>
        <v>9.5171200000000304</v>
      </c>
      <c r="K127" s="20">
        <f>VLOOKUP(A127,All!A:AM,39,0)</f>
        <v>87.478974358974369</v>
      </c>
      <c r="L127" s="20">
        <f>VLOOKUP(A127,All!A:AM,38,0)</f>
        <v>42.646000000000001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5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5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35.258121522033392</v>
      </c>
      <c r="F129" s="17">
        <f>VLOOKUP(A129,All!A:AM,28,0)</f>
        <v>22.505400000000002</v>
      </c>
      <c r="G129" s="17">
        <f>VLOOKUP(A129,All!A:AM,31,0)</f>
        <v>12.238786952089704</v>
      </c>
      <c r="H129" s="17">
        <f>VLOOKUP(A129,All!A:AM,29,0)</f>
        <v>5.7629999999999999</v>
      </c>
      <c r="I129" s="6">
        <f>VLOOKUP(A129,All!A:AM,33,0)</f>
        <v>22.511363124971872</v>
      </c>
      <c r="J129" s="6">
        <f>VLOOKUP(A129,All!A:AM,32,0)</f>
        <v>12.0054</v>
      </c>
      <c r="K129" s="20">
        <f>VLOOKUP(A129,All!A:AM,39,0)</f>
        <v>38.777777777777779</v>
      </c>
      <c r="L129" s="20">
        <f>VLOOKUP(A129,All!A:AM,38,0)</f>
        <v>26.175000000000004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5.9</v>
      </c>
      <c r="S129" s="325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5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45415</v>
      </c>
      <c r="D131" s="5"/>
      <c r="E131" s="17">
        <f>VLOOKUP(A131,All!A:AM,30,0)</f>
        <v>0.30957036145786321</v>
      </c>
      <c r="F131" s="17">
        <f>VLOOKUP(A131,All!A:AM,28,0)</f>
        <v>0.12349999999999994</v>
      </c>
      <c r="G131" s="17">
        <f>VLOOKUP(A131,All!A:AM,31,0)</f>
        <v>-41.695911641578334</v>
      </c>
      <c r="H131" s="17">
        <f>VLOOKUP(A131,All!A:AM,29,0)</f>
        <v>-11.702999999999999</v>
      </c>
      <c r="I131" s="6">
        <f>VLOOKUP(A131,All!A:AM,33,0)</f>
        <v>-11.860683587597309</v>
      </c>
      <c r="J131" s="6">
        <f>VLOOKUP(A131,All!A:AM,32,0)</f>
        <v>-4.2168999999999972</v>
      </c>
      <c r="K131" s="20">
        <f>VLOOKUP(A131,All!A:AM,39,0)</f>
        <v>45.890476190476193</v>
      </c>
      <c r="L131" s="20">
        <f>VLOOKUP(A131,All!A:AM,38,0)</f>
        <v>33.729500000000002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5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45415</v>
      </c>
      <c r="D132" s="5"/>
      <c r="E132" s="17">
        <f>VLOOKUP(A132,All!A:AM,30,0)</f>
        <v>-9.0467864841830892</v>
      </c>
      <c r="F132" s="17">
        <f>VLOOKUP(A132,All!A:AM,28,0)</f>
        <v>-1.1549200000000006</v>
      </c>
      <c r="G132" s="17">
        <f>VLOOKUP(A132,All!A:AM,31,0)</f>
        <v>-46.96846528224998</v>
      </c>
      <c r="H132" s="17">
        <f>VLOOKUP(A132,All!A:AM,29,0)</f>
        <v>-4.4489000000000001</v>
      </c>
      <c r="I132" s="6">
        <f>VLOOKUP(A132,All!A:AM,33,0)</f>
        <v>-37.711696739474711</v>
      </c>
      <c r="J132" s="6">
        <f>VLOOKUP(A132,All!A:AM,32,0)</f>
        <v>-3.8122000000000202</v>
      </c>
      <c r="K132" s="20">
        <f>VLOOKUP(A132,All!A:AM,39,0)</f>
        <v>-23.742222222222225</v>
      </c>
      <c r="L132" s="20">
        <f>VLOOKUP(A132,All!A:AM,38,0)</f>
        <v>-2.6710000000000003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5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45415</v>
      </c>
      <c r="D133" s="5"/>
      <c r="E133" s="17">
        <f>VLOOKUP(A133,All!A:AM,30,0)</f>
        <v>18.291284403669717</v>
      </c>
      <c r="F133" s="17">
        <f>VLOOKUP(A133,All!A:AM,28,0)</f>
        <v>2.3350799999999996</v>
      </c>
      <c r="G133" s="17">
        <f>VLOOKUP(A133,All!A:AM,31,0)</f>
        <v>-0.94646808468432675</v>
      </c>
      <c r="H133" s="17">
        <f>VLOOKUP(A133,All!A:AM,29,0)</f>
        <v>-9.7800435999999991E-2</v>
      </c>
      <c r="I133" s="6">
        <f>VLOOKUP(A133,All!A:AM,33,0)</f>
        <v>7.1314102564102582</v>
      </c>
      <c r="J133" s="6">
        <f>VLOOKUP(A133,All!A:AM,32,0)</f>
        <v>0.80100000000000016</v>
      </c>
      <c r="K133" s="20">
        <f>VLOOKUP(A133,All!A:AM,39,0)</f>
        <v>0.6571428571428567</v>
      </c>
      <c r="L133" s="20">
        <f>VLOOKUP(A133,All!A:AM,38,0)</f>
        <v>6.899999999999995E-2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5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5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45415</v>
      </c>
      <c r="D135" s="5"/>
      <c r="E135" s="17">
        <f>VLOOKUP(A135,All!A:AM,30,0)</f>
        <v>40.028575725673036</v>
      </c>
      <c r="F135" s="17">
        <f>VLOOKUP(A135,All!A:AM,28,0)</f>
        <v>19.801559999999998</v>
      </c>
      <c r="G135" s="17">
        <f>VLOOKUP(A135,All!A:AM,31,0)</f>
        <v>5.0996122989520547</v>
      </c>
      <c r="H135" s="17">
        <f>VLOOKUP(A135,All!A:AM,29,0)</f>
        <v>1.5941999999999998</v>
      </c>
      <c r="I135" s="6">
        <f>VLOOKUP(A135,All!A:AM,33,0)</f>
        <v>39.75999025341131</v>
      </c>
      <c r="J135" s="6">
        <f>VLOOKUP(A135,All!A:AM,32,0)</f>
        <v>19.581</v>
      </c>
      <c r="K135" s="20">
        <f>VLOOKUP(A135,All!A:AM,39,0)</f>
        <v>51.165432098765429</v>
      </c>
      <c r="L135" s="20">
        <f>VLOOKUP(A135,All!A:AM,38,0)</f>
        <v>31.082999999999998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5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5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5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5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45415</v>
      </c>
      <c r="D139" s="5"/>
      <c r="E139" s="17">
        <f>VLOOKUP(A139,All!A:AM,30,0)</f>
        <v>42.719299894721004</v>
      </c>
      <c r="F139" s="17">
        <f>VLOOKUP(A139,All!A:AM,28,0)</f>
        <v>5.4535799999999997</v>
      </c>
      <c r="G139" s="17">
        <f>VLOOKUP(A139,All!A:AM,31,0)</f>
        <v>22.799590375946202</v>
      </c>
      <c r="H139" s="17">
        <f>VLOOKUP(A139,All!A:AM,29,0)</f>
        <v>2.1596000000000002</v>
      </c>
      <c r="I139" s="6">
        <f>VLOOKUP(A139,All!A:AM,33,0)</f>
        <v>27.662037037036836</v>
      </c>
      <c r="J139" s="6">
        <f>VLOOKUP(A139,All!A:AM,32,0)</f>
        <v>2.79629999999998</v>
      </c>
      <c r="K139" s="20">
        <f>VLOOKUP(A139,All!A:AM,39,0)</f>
        <v>67.5</v>
      </c>
      <c r="L139" s="20">
        <f>VLOOKUP(A139,All!A:AM,38,0)</f>
        <v>15.1875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0.5</v>
      </c>
      <c r="S139" s="325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45415</v>
      </c>
      <c r="D140" s="5"/>
      <c r="E140" s="17">
        <f>VLOOKUP(A140,All!A:AM,30,0)</f>
        <v>41.607942206266898</v>
      </c>
      <c r="F140" s="17">
        <f>VLOOKUP(A140,All!A:AM,28,0)</f>
        <v>45.81344</v>
      </c>
      <c r="G140" s="17">
        <f>VLOOKUP(A140,All!A:AM,31,0)</f>
        <v>16.059027891109391</v>
      </c>
      <c r="H140" s="17">
        <f>VLOOKUP(A140,All!A:AM,29,0)</f>
        <v>12.3003</v>
      </c>
      <c r="I140" s="6">
        <f>VLOOKUP(A140,All!A:AM,33,0)</f>
        <v>32.754064836569803</v>
      </c>
      <c r="J140" s="6">
        <f>VLOOKUP(A140,All!A:AM,32,0)</f>
        <v>31.316240000000001</v>
      </c>
      <c r="K140" s="20">
        <f>VLOOKUP(A140,All!A:AM,39,0)</f>
        <v>22.067878787878794</v>
      </c>
      <c r="L140" s="20">
        <f>VLOOKUP(A140,All!A:AM,38,0)</f>
        <v>18.206000000000003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13.5</v>
      </c>
      <c r="S140" s="325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1">
        <f>VLOOKUP(A141,All!A:AM,39,0)</f>
        <v>70.706249999999997</v>
      </c>
      <c r="L141" s="331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5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14.881749219098618</v>
      </c>
      <c r="J142" s="6">
        <f>VLOOKUP(A142,All!A:AM,32,0)</f>
        <v>0.8004</v>
      </c>
      <c r="K142" s="332"/>
      <c r="L142" s="332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5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45415</v>
      </c>
      <c r="D143" s="5"/>
      <c r="E143" s="17">
        <f>VLOOKUP(A143,All!A:AM,30,0)</f>
        <v>34.722562920080463</v>
      </c>
      <c r="F143" s="17">
        <f>VLOOKUP(A143,All!A:AM,28,0)</f>
        <v>56.620000000000005</v>
      </c>
      <c r="G143" s="17">
        <f>VLOOKUP(A143,All!A:AM,31,0)</f>
        <v>23.106263093260129</v>
      </c>
      <c r="H143" s="17">
        <f>VLOOKUP(A143,All!A:AM,29,0)</f>
        <v>31.985999999999997</v>
      </c>
      <c r="I143" s="6">
        <f>VLOOKUP(A143,All!A:AM,33,0)</f>
        <v>0.20326117936495761</v>
      </c>
      <c r="J143" s="6">
        <f>VLOOKUP(A143,All!A:AM,32,0)</f>
        <v>0.21680000000009869</v>
      </c>
      <c r="K143" s="331">
        <f>VLOOKUP(A143,All!A:AM,39,0)</f>
        <v>9.9235897435897353</v>
      </c>
      <c r="L143" s="331">
        <f>VLOOKUP(A143,All!A:AM,38,0)</f>
        <v>19.350999999999985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17.5</v>
      </c>
      <c r="S143" s="325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45415</v>
      </c>
      <c r="D144" s="5"/>
      <c r="E144" s="17">
        <f>VLOOKUP(A144,All!A:AM,30,0)</f>
        <v>58.174686634997762</v>
      </c>
      <c r="F144" s="17">
        <f>VLOOKUP(A144,All!A:AM,28,0)</f>
        <v>96.256999999999991</v>
      </c>
      <c r="G144" s="17">
        <f>VLOOKUP(A144,All!A:AM,31,0)</f>
        <v>51.066801011118763</v>
      </c>
      <c r="H144" s="17">
        <f>VLOOKUP(A144,All!A:AM,29,0)</f>
        <v>72.222499999999997</v>
      </c>
      <c r="I144" s="6">
        <f>VLOOKUP(A144,All!A:AM,33,0)</f>
        <v>35.116743920915738</v>
      </c>
      <c r="J144" s="6">
        <f>VLOOKUP(A144,All!A:AM,32,0)</f>
        <v>37.455800000000096</v>
      </c>
      <c r="K144" s="332"/>
      <c r="L144" s="332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20.700000000000003</v>
      </c>
      <c r="S144" s="325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5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45415</v>
      </c>
      <c r="D146" s="5"/>
      <c r="E146" s="17">
        <f>VLOOKUP(A146,All!A:AM,30,0)</f>
        <v>38.662824131005998</v>
      </c>
      <c r="F146" s="17">
        <f>VLOOKUP(A146,All!A:AM,28,0)</f>
        <v>20.976840000000003</v>
      </c>
      <c r="G146" s="17">
        <f>VLOOKUP(A146,All!A:AM,31,0)</f>
        <v>5.2414877077887692</v>
      </c>
      <c r="H146" s="17">
        <f>VLOOKUP(A146,All!A:AM,29,0)</f>
        <v>1.8407999999999998</v>
      </c>
      <c r="I146" s="6">
        <f>VLOOKUP(A146,All!A:AM,33,0)</f>
        <v>37.598442914360291</v>
      </c>
      <c r="J146" s="6">
        <f>VLOOKUP(A146,All!A:AM,32,0)</f>
        <v>20.051400000000001</v>
      </c>
      <c r="K146" s="20">
        <f>VLOOKUP(A146,All!A:AM,39,0)</f>
        <v>75.348888888888894</v>
      </c>
      <c r="L146" s="20">
        <f>VLOOKUP(A146,All!A:AM,38,0)</f>
        <v>101.721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8.1</v>
      </c>
      <c r="S146" s="325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45415</v>
      </c>
      <c r="D147" s="5"/>
      <c r="E147" s="17">
        <f>VLOOKUP(A147,All!A:AM,30,0)</f>
        <v>43.778402472434301</v>
      </c>
      <c r="F147" s="17">
        <f>VLOOKUP(A147,All!A:AM,28,0)</f>
        <v>23.75234</v>
      </c>
      <c r="G147" s="17">
        <f>VLOOKUP(A147,All!A:AM,31,0)</f>
        <v>13.144437041213219</v>
      </c>
      <c r="H147" s="17">
        <f>VLOOKUP(A147,All!A:AM,29,0)</f>
        <v>4.6162999999999998</v>
      </c>
      <c r="I147" s="6">
        <f>VLOOKUP(A147,All!A:AM,33,0)</f>
        <v>42.802791653540943</v>
      </c>
      <c r="J147" s="6">
        <f>VLOOKUP(A147,All!A:AM,32,0)</f>
        <v>22.826899999999998</v>
      </c>
      <c r="K147" s="20">
        <f>VLOOKUP(A147,All!A:AM,39,0)</f>
        <v>54.809629629629619</v>
      </c>
      <c r="L147" s="20">
        <f>VLOOKUP(A147,All!A:AM,38,0)</f>
        <v>36.996499999999997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5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45415</v>
      </c>
      <c r="D148" s="5"/>
      <c r="E148" s="17">
        <f>VLOOKUP(A148,All!A:AM,30,0)</f>
        <v>41.084683234099778</v>
      </c>
      <c r="F148" s="17">
        <f>VLOOKUP(A148,All!A:AM,28,0)</f>
        <v>11.14542</v>
      </c>
      <c r="G148" s="17">
        <f>VLOOKUP(A148,All!A:AM,31,0)</f>
        <v>-31.978794209696201</v>
      </c>
      <c r="H148" s="17">
        <f>VLOOKUP(A148,All!A:AM,29,0)</f>
        <v>-3.8726000000000003</v>
      </c>
      <c r="I148" s="6">
        <f>VLOOKUP(A148,All!A:AM,33,0)</f>
        <v>55.046746321047657</v>
      </c>
      <c r="J148" s="6">
        <f>VLOOKUP(A148,All!A:AM,32,0)</f>
        <v>19.571100000000001</v>
      </c>
      <c r="K148" s="20">
        <f>VLOOKUP(A148,All!A:AM,39,0)</f>
        <v>28.966666666666665</v>
      </c>
      <c r="L148" s="20">
        <f>VLOOKUP(A148,All!A:AM,38,0)</f>
        <v>6.5175000000000001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5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5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45415</v>
      </c>
      <c r="D150" s="32"/>
      <c r="E150" s="17">
        <f>VLOOKUP(A150,All!A:AM,30,0)</f>
        <v>62.431693989071043</v>
      </c>
      <c r="F150" s="17">
        <f>VLOOKUP(A150,All!A:AM,28,0)</f>
        <v>8.9663400000000006</v>
      </c>
      <c r="G150" s="17">
        <f>VLOOKUP(A150,All!A:AM,31,0)</f>
        <v>69.575906576521206</v>
      </c>
      <c r="H150" s="17">
        <f>VLOOKUP(A150,All!A:AM,29,0)</f>
        <v>12.338800000000001</v>
      </c>
      <c r="I150" s="6">
        <f>VLOOKUP(A150,All!A:AM,33,0)</f>
        <v>-56.119791666666664</v>
      </c>
      <c r="J150" s="6">
        <f>VLOOKUP(A150,All!A:AM,32,0)</f>
        <v>-1.9395</v>
      </c>
      <c r="K150" s="20">
        <f>VLOOKUP(A150,All!A:AM,39,0)</f>
        <v>52.04</v>
      </c>
      <c r="L150" s="20">
        <f>VLOOKUP(A150,All!A:AM,38,0)</f>
        <v>5.8544999999999998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5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45415</v>
      </c>
      <c r="D151" s="32"/>
      <c r="E151" s="17">
        <f>VLOOKUP(A151,All!A:AM,30,0)</f>
        <v>52.159472602396363</v>
      </c>
      <c r="F151" s="17">
        <f>VLOOKUP(A151,All!A:AM,28,0)</f>
        <v>20.808500000000002</v>
      </c>
      <c r="G151" s="17">
        <f>VLOOKUP(A151,All!A:AM,31,0)</f>
        <v>32.001425135833259</v>
      </c>
      <c r="H151" s="17">
        <f>VLOOKUP(A151,All!A:AM,29,0)</f>
        <v>8.9820000000000011</v>
      </c>
      <c r="I151" s="6">
        <f>VLOOKUP(A151,All!A:AM,33,0)</f>
        <v>46.319078799333958</v>
      </c>
      <c r="J151" s="6">
        <f>VLOOKUP(A151,All!A:AM,32,0)</f>
        <v>16.4681</v>
      </c>
      <c r="K151" s="20">
        <f>VLOOKUP(A151,All!A:AM,39,0)</f>
        <v>49.105333333333334</v>
      </c>
      <c r="L151" s="20">
        <f>VLOOKUP(A151,All!A:AM,38,0)</f>
        <v>18.4145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5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5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5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45415</v>
      </c>
      <c r="D154" s="32"/>
      <c r="E154" s="17">
        <f>VLOOKUP(A154,All!A:AM,30,0)</f>
        <v>70.737614252236511</v>
      </c>
      <c r="F154" s="17">
        <f>VLOOKUP(A154,All!A:AM,28,0)</f>
        <v>53.053719999999998</v>
      </c>
      <c r="G154" s="17">
        <f>VLOOKUP(A154,All!A:AM,31,0)</f>
        <v>56.238073494194524</v>
      </c>
      <c r="H154" s="17">
        <f>VLOOKUP(A154,All!A:AM,29,0)</f>
        <v>28.203900000000001</v>
      </c>
      <c r="I154" s="6">
        <f>VLOOKUP(A154,All!A:AM,33,0)</f>
        <v>69.135333693353218</v>
      </c>
      <c r="J154" s="6">
        <f>VLOOKUP(A154,All!A:AM,32,0)</f>
        <v>49.160200000000202</v>
      </c>
      <c r="K154" s="331">
        <f>VLOOKUP(A154,All!A:AM,39,0)</f>
        <v>31.683888888888884</v>
      </c>
      <c r="L154" s="331">
        <f>VLOOKUP(A154,All!A:AM,38,0)</f>
        <v>28.515499999999996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5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45415</v>
      </c>
      <c r="D155" s="32"/>
      <c r="E155" s="17">
        <f>VLOOKUP(A155,All!A:AM,30,0)</f>
        <v>39.569279321910379</v>
      </c>
      <c r="F155" s="17">
        <f>VLOOKUP(A155,All!A:AM,28,0)</f>
        <v>25.888660000000002</v>
      </c>
      <c r="G155" s="17">
        <f>VLOOKUP(A155,All!A:AM,31,0)</f>
        <v>-3.5482037676748921</v>
      </c>
      <c r="H155" s="17">
        <f>VLOOKUP(A155,All!A:AM,29,0)</f>
        <v>-1.3548000000000009</v>
      </c>
      <c r="I155" s="6">
        <f>VLOOKUP(A155,All!A:AM,33,0)</f>
        <v>44.397332478286458</v>
      </c>
      <c r="J155" s="6">
        <f>VLOOKUP(A155,All!A:AM,32,0)</f>
        <v>31.569700000000196</v>
      </c>
      <c r="K155" s="332"/>
      <c r="L155" s="332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19.100000000000001</v>
      </c>
      <c r="S155" s="325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5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45415</v>
      </c>
      <c r="D157" s="32"/>
      <c r="E157" s="17">
        <f>VLOOKUP(A157,All!A:AM,30,0)</f>
        <v>46.36381649466324</v>
      </c>
      <c r="F157" s="17">
        <f>VLOOKUP(A157,All!A:AM,28,0)</f>
        <v>46.610880000000002</v>
      </c>
      <c r="G157" s="17">
        <f>VLOOKUP(A157,All!A:AM,31,0)</f>
        <v>41.99821225156267</v>
      </c>
      <c r="H157" s="17">
        <f>VLOOKUP(A157,All!A:AM,29,0)</f>
        <v>39.0441</v>
      </c>
      <c r="I157" s="6">
        <f>VLOOKUP(A157,All!A:AM,33,0)</f>
        <v>-1.1093110121056844</v>
      </c>
      <c r="J157" s="6">
        <f>VLOOKUP(A157,All!A:AM,32,0)</f>
        <v>-0.5916000000000099</v>
      </c>
      <c r="K157" s="331">
        <f>VLOOKUP(A157,All!A:AM,39,0)</f>
        <v>18.303555555555551</v>
      </c>
      <c r="L157" s="331">
        <f>VLOOKUP(A157,All!A:AM,38,0)</f>
        <v>20.591499999999996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4</v>
      </c>
      <c r="S157" s="325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45415</v>
      </c>
      <c r="D158" s="32"/>
      <c r="E158" s="17">
        <f>VLOOKUP(A158,All!A:AM,30,0)</f>
        <v>62.214849509931476</v>
      </c>
      <c r="F158" s="17">
        <f>VLOOKUP(A158,All!A:AM,28,0)</f>
        <v>62.546379999999999</v>
      </c>
      <c r="G158" s="17">
        <f>VLOOKUP(A158,All!A:AM,31,0)</f>
        <v>59.139406729980067</v>
      </c>
      <c r="H158" s="17">
        <f>VLOOKUP(A158,All!A:AM,29,0)</f>
        <v>54.979599999999998</v>
      </c>
      <c r="I158" s="6">
        <f>VLOOKUP(A158,All!A:AM,33,0)</f>
        <v>28.771394926720969</v>
      </c>
      <c r="J158" s="6">
        <f>VLOOKUP(A158,All!A:AM,32,0)</f>
        <v>15.3439</v>
      </c>
      <c r="K158" s="332"/>
      <c r="L158" s="332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0</v>
      </c>
      <c r="S158" s="325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45415</v>
      </c>
      <c r="D159" s="32"/>
      <c r="E159" s="17">
        <f>VLOOKUP(A159,All!A:AM,30,0)</f>
        <v>41.628063546931678</v>
      </c>
      <c r="F159" s="17">
        <f>VLOOKUP(A159,All!A:AM,28,0)</f>
        <v>82.853999999999999</v>
      </c>
      <c r="G159" s="17">
        <f>VLOOKUP(A159,All!A:AM,31,0)</f>
        <v>28.10309884431517</v>
      </c>
      <c r="H159" s="17">
        <f>VLOOKUP(A159,All!A:AM,29,0)</f>
        <v>45.412499999999994</v>
      </c>
      <c r="I159" s="6">
        <f>VLOOKUP(A159,All!A:AM,33,0)</f>
        <v>18.306444354439421</v>
      </c>
      <c r="J159" s="6">
        <f>VLOOKUP(A159,All!A:AM,32,0)</f>
        <v>26.034399999999895</v>
      </c>
      <c r="K159" s="331">
        <f>VLOOKUP(A159,All!A:AM,39,0)</f>
        <v>37.141199999999998</v>
      </c>
      <c r="L159" s="331">
        <f>VLOOKUP(A159,All!A:AM,38,0)</f>
        <v>139.27949999999998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18.625000000000004</v>
      </c>
      <c r="S159" s="325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45415</v>
      </c>
      <c r="D160" s="32"/>
      <c r="E160" s="17">
        <f>VLOOKUP(A160,All!A:AM,30,0)</f>
        <v>39.939658550800374</v>
      </c>
      <c r="F160" s="17">
        <f>VLOOKUP(A160,All!A:AM,28,0)</f>
        <v>79.493500000000012</v>
      </c>
      <c r="G160" s="17">
        <f>VLOOKUP(A160,All!A:AM,31,0)</f>
        <v>26.023485000850904</v>
      </c>
      <c r="H160" s="17">
        <f>VLOOKUP(A160,All!A:AM,29,0)</f>
        <v>42.052</v>
      </c>
      <c r="I160" s="6">
        <f>VLOOKUP(A160,All!A:AM,33,0)</f>
        <v>15.943462827955464</v>
      </c>
      <c r="J160" s="6">
        <f>VLOOKUP(A160,All!A:AM,32,0)</f>
        <v>22.673899999999897</v>
      </c>
      <c r="K160" s="332"/>
      <c r="L160" s="332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18.225000000000001</v>
      </c>
      <c r="S160" s="325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5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  <c r="S162" s="325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5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5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5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5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5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5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45415</v>
      </c>
      <c r="D169" s="5"/>
      <c r="E169" s="17">
        <f>VLOOKUP(A169,All!A:AM,30,0)</f>
        <v>18.581114954629768</v>
      </c>
      <c r="F169" s="17">
        <f>VLOOKUP(A169,All!A:AM,28,0)</f>
        <v>1.7790599999999999</v>
      </c>
      <c r="G169" s="17">
        <f>VLOOKUP(A169,All!A:AM,31,0)</f>
        <v>-43.611141814966274</v>
      </c>
      <c r="H169" s="17">
        <f>VLOOKUP(A169,All!A:AM,29,0)</f>
        <v>-2.3672999999999993</v>
      </c>
      <c r="I169" s="6">
        <f>VLOOKUP(A169,All!A:AM,33,0)</f>
        <v>57.700096369224354</v>
      </c>
      <c r="J169" s="6">
        <f>VLOOKUP(A169,All!A:AM,32,0)</f>
        <v>10.633620000000001</v>
      </c>
      <c r="K169" s="20">
        <f>VLOOKUP(A169,All!A:AM,39,0)</f>
        <v>30.706666666666663</v>
      </c>
      <c r="L169" s="20">
        <f>VLOOKUP(A169,All!A:AM,38,0)</f>
        <v>3.4544999999999999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5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5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45415</v>
      </c>
      <c r="D171" s="5"/>
      <c r="E171" s="17">
        <f>VLOOKUP(A171,All!A:AM,30,0)</f>
        <v>54.85223341855918</v>
      </c>
      <c r="F171" s="17">
        <f>VLOOKUP(A171,All!A:AM,28,0)</f>
        <v>8.7530999999999999</v>
      </c>
      <c r="G171" s="17">
        <f>VLOOKUP(A171,All!A:AM,31,0)</f>
        <v>38.227728714738916</v>
      </c>
      <c r="H171" s="17">
        <f>VLOOKUP(A171,All!A:AM,29,0)</f>
        <v>4.4584999999999999</v>
      </c>
      <c r="I171" s="6">
        <f>VLOOKUP(A171,All!A:AM,33,0)</f>
        <v>51.688634607956878</v>
      </c>
      <c r="J171" s="6">
        <f>VLOOKUP(A171,All!A:AM,32,0)</f>
        <v>7.7081400000000206</v>
      </c>
      <c r="K171" s="20">
        <f>VLOOKUP(A171,All!A:AM,39,0)</f>
        <v>31.385714285714283</v>
      </c>
      <c r="L171" s="20">
        <f>VLOOKUP(A171,All!A:AM,38,0)</f>
        <v>3.2954999999999997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5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45415</v>
      </c>
      <c r="D172" s="5"/>
      <c r="E172" s="17">
        <f>VLOOKUP(A172,All!A:AM,30,0)</f>
        <v>38.158701203350169</v>
      </c>
      <c r="F172" s="17">
        <f>VLOOKUP(A172,All!A:AM,28,0)</f>
        <v>18.876559999999998</v>
      </c>
      <c r="G172" s="17">
        <f>VLOOKUP(A172,All!A:AM,31,0)</f>
        <v>14.24975543577281</v>
      </c>
      <c r="H172" s="17">
        <f>VLOOKUP(A172,All!A:AM,29,0)</f>
        <v>5.0837000000000003</v>
      </c>
      <c r="I172" s="6">
        <f>VLOOKUP(A172,All!A:AM,33,0)</f>
        <v>27.5922138907824</v>
      </c>
      <c r="J172" s="6">
        <f>VLOOKUP(A172,All!A:AM,32,0)</f>
        <v>11.6576</v>
      </c>
      <c r="K172" s="331">
        <f>VLOOKUP(A172,All!A:AM,39,0)</f>
        <v>-25.81333333333334</v>
      </c>
      <c r="L172" s="331">
        <f>VLOOKUP(A172,All!A:AM,38,0)</f>
        <v>-11.616000000000003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10.1</v>
      </c>
      <c r="S172" s="325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45415</v>
      </c>
      <c r="D173" s="5"/>
      <c r="E173" s="17">
        <f>VLOOKUP(A173,All!A:AM,30,0)</f>
        <v>29.094709676294347</v>
      </c>
      <c r="F173" s="17">
        <f>VLOOKUP(A173,All!A:AM,28,0)</f>
        <v>10.678479999999999</v>
      </c>
      <c r="G173" s="17">
        <f>VLOOKUP(A173,All!A:AM,31,0)</f>
        <v>-48.385514964562866</v>
      </c>
      <c r="H173" s="17">
        <f>VLOOKUP(A173,All!A:AM,29,0)</f>
        <v>-8.4859000000000009</v>
      </c>
      <c r="I173" s="6">
        <f>VLOOKUP(A173,All!A:AM,33,0)</f>
        <v>43.061681719526703</v>
      </c>
      <c r="J173" s="6">
        <f>VLOOKUP(A173,All!A:AM,32,0)</f>
        <v>19.681599999999996</v>
      </c>
      <c r="K173" s="332"/>
      <c r="L173" s="332"/>
      <c r="M173" s="96"/>
      <c r="N173" s="96"/>
      <c r="O173" s="96"/>
      <c r="P173" s="96"/>
      <c r="Q173" s="96"/>
      <c r="R173" s="12">
        <f>VLOOKUP(A173,'SYS Allocations'!A:G,7,0)</f>
        <v>11.200000000000001</v>
      </c>
      <c r="S173" s="325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5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5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1">
        <f>VLOOKUP(A176,All!A:AM,39,0)</f>
        <v>52.56111111111111</v>
      </c>
      <c r="L176" s="331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5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2"/>
      <c r="L177" s="332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5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45415</v>
      </c>
      <c r="D178" s="5"/>
      <c r="E178" s="17">
        <f>VLOOKUP(A178,All!A:AM,30,0)</f>
        <v>64.474309300598975</v>
      </c>
      <c r="F178" s="17">
        <f>VLOOKUP(A178,All!A:AM,28,0)</f>
        <v>21.60596</v>
      </c>
      <c r="G178" s="17">
        <f>VLOOKUP(A178,All!A:AM,31,0)</f>
        <v>56.012813738929317</v>
      </c>
      <c r="H178" s="17">
        <f>VLOOKUP(A178,All!A:AM,29,0)</f>
        <v>15.159700000000001</v>
      </c>
      <c r="I178" s="6">
        <f>VLOOKUP(A178,All!A:AM,33,0)</f>
        <v>48.199491785018111</v>
      </c>
      <c r="J178" s="6">
        <f>VLOOKUP(A178,All!A:AM,32,0)</f>
        <v>11.077400000000001</v>
      </c>
      <c r="K178" s="20">
        <f>VLOOKUP(A178,All!A:AM,39,0)</f>
        <v>46.307692307692314</v>
      </c>
      <c r="L178" s="20">
        <f>VLOOKUP(A178,All!A:AM,38,0)</f>
        <v>18.060000000000002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7</v>
      </c>
      <c r="S178" s="325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45415</v>
      </c>
      <c r="D179" s="19"/>
      <c r="E179" s="17">
        <f>VLOOKUP(A179,All!A:AM,30,0)</f>
        <v>73.038671527166045</v>
      </c>
      <c r="F179" s="17">
        <f>VLOOKUP(A179,All!A:AM,28,0)</f>
        <v>24.475960000000001</v>
      </c>
      <c r="G179" s="17">
        <f>VLOOKUP(A179,All!A:AM,31,0)</f>
        <v>66.617032518372639</v>
      </c>
      <c r="H179" s="17">
        <f>VLOOKUP(A179,All!A:AM,29,0)</f>
        <v>18.029699999999998</v>
      </c>
      <c r="I179" s="6">
        <f>VLOOKUP(A179,All!A:AM,33,0)</f>
        <v>60.687308549150664</v>
      </c>
      <c r="J179" s="6">
        <f>VLOOKUP(A179,All!A:AM,32,0)</f>
        <v>13.9474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7.4</v>
      </c>
      <c r="S179" s="325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1">
        <f>VLOOKUP(A180,All!A:AM,39,0)</f>
        <v>72.180645161290315</v>
      </c>
      <c r="L180" s="331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5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3"/>
      <c r="L181" s="333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5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3"/>
      <c r="L182" s="333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5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2"/>
      <c r="L183" s="332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5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45415</v>
      </c>
      <c r="D184" s="5"/>
      <c r="E184" s="17">
        <f>VLOOKUP(A184,All!A:AM,30,0)</f>
        <v>66.375334291043686</v>
      </c>
      <c r="F184" s="17">
        <f>VLOOKUP(A184,All!A:AM,28,0)</f>
        <v>30.716539999999998</v>
      </c>
      <c r="G184" s="17">
        <f>VLOOKUP(A184,All!A:AM,31,0)</f>
        <v>62.501476035212775</v>
      </c>
      <c r="H184" s="17">
        <f>VLOOKUP(A184,All!A:AM,29,0)</f>
        <v>25.935799999999997</v>
      </c>
      <c r="I184" s="6">
        <f>VLOOKUP(A184,All!A:AM,33,0)</f>
        <v>41.621270784560892</v>
      </c>
      <c r="J184" s="6">
        <f>VLOOKUP(A184,All!A:AM,32,0)</f>
        <v>11.093899999999998</v>
      </c>
      <c r="K184" s="20">
        <f>VLOOKUP(A184,All!A:AM,39,0)</f>
        <v>84.412221387428005</v>
      </c>
      <c r="L184" s="20">
        <f>VLOOKUP(A184,All!A:AM,38,0)</f>
        <v>84.264500000000012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11.8</v>
      </c>
      <c r="S184" s="325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45415</v>
      </c>
      <c r="D185" s="5"/>
      <c r="E185" s="17">
        <f>VLOOKUP(A185,All!A:AM,30,0)</f>
        <v>51.790347870131711</v>
      </c>
      <c r="F185" s="17">
        <f>VLOOKUP(A185,All!A:AM,28,0)</f>
        <v>23.967039999999997</v>
      </c>
      <c r="G185" s="17">
        <f>VLOOKUP(A185,All!A:AM,31,0)</f>
        <v>46.236170453751299</v>
      </c>
      <c r="H185" s="17">
        <f>VLOOKUP(A185,All!A:AM,29,0)</f>
        <v>19.186299999999999</v>
      </c>
      <c r="I185" s="6">
        <f>VLOOKUP(A185,All!A:AM,33,0)</f>
        <v>16.29899753886788</v>
      </c>
      <c r="J185" s="6">
        <f>VLOOKUP(A185,All!A:AM,32,0)</f>
        <v>4.3444000000000003</v>
      </c>
      <c r="K185" s="20">
        <f>VLOOKUP(A185,All!A:AM,39,0)</f>
        <v>77.650889055847728</v>
      </c>
      <c r="L185" s="20">
        <f>VLOOKUP(A185,All!A:AM,38,0)</f>
        <v>77.515000000000001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5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5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45415</v>
      </c>
      <c r="D187" s="5"/>
      <c r="E187" s="17">
        <f>VLOOKUP(A187,All!A:AM,30,0)</f>
        <v>49.405238397883437</v>
      </c>
      <c r="F187" s="17">
        <f>VLOOKUP(A187,All!A:AM,28,0)</f>
        <v>24.440060000000003</v>
      </c>
      <c r="G187" s="17">
        <f>VLOOKUP(A187,All!A:AM,31,0)</f>
        <v>37.484545043548636</v>
      </c>
      <c r="H187" s="17">
        <f>VLOOKUP(A187,All!A:AM,29,0)</f>
        <v>15.007199999999999</v>
      </c>
      <c r="I187" s="6">
        <f>VLOOKUP(A187,All!A:AM,33,0)</f>
        <v>29.603471940956751</v>
      </c>
      <c r="J187" s="6">
        <f>VLOOKUP(A187,All!A:AM,32,0)</f>
        <v>10.5251</v>
      </c>
      <c r="K187" s="20">
        <f>VLOOKUP(A187,All!A:AM,39,0)</f>
        <v>44.128888888888888</v>
      </c>
      <c r="L187" s="20">
        <f>VLOOKUP(A187,All!A:AM,38,0)</f>
        <v>29.786999999999999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10.15</v>
      </c>
      <c r="S187" s="325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45415</v>
      </c>
      <c r="D188" s="5"/>
      <c r="E188" s="17">
        <f>VLOOKUP(A188,All!A:AM,30,0)</f>
        <v>74.358461212535801</v>
      </c>
      <c r="F188" s="17">
        <f>VLOOKUP(A188,All!A:AM,28,0)</f>
        <v>36.784059999999997</v>
      </c>
      <c r="G188" s="17">
        <f>VLOOKUP(A188,All!A:AM,31,0)</f>
        <v>68.317027053354877</v>
      </c>
      <c r="H188" s="17">
        <f>VLOOKUP(A188,All!A:AM,29,0)</f>
        <v>27.351199999999999</v>
      </c>
      <c r="I188" s="6">
        <f>VLOOKUP(A188,All!A:AM,33,0)</f>
        <v>64.322881508482951</v>
      </c>
      <c r="J188" s="6">
        <f>VLOOKUP(A188,All!A:AM,32,0)</f>
        <v>22.869099999999996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5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5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5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5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45415</v>
      </c>
      <c r="D192" s="5"/>
      <c r="E192" s="17">
        <f>VLOOKUP(A192,All!A:AM,30,0)</f>
        <v>39.357058301272559</v>
      </c>
      <c r="F192" s="17">
        <f>VLOOKUP(A192,All!A:AM,28,0)</f>
        <v>5.3194999999999997</v>
      </c>
      <c r="G192" s="17">
        <f>VLOOKUP(A192,All!A:AM,31,0)</f>
        <v>20.845002414292612</v>
      </c>
      <c r="H192" s="17">
        <f>VLOOKUP(A192,All!A:AM,29,0)</f>
        <v>2.1585000000000001</v>
      </c>
      <c r="I192" s="6">
        <f>VLOOKUP(A192,All!A:AM,33,0)</f>
        <v>23.801688234419068</v>
      </c>
      <c r="J192" s="6">
        <f>VLOOKUP(A192,All!A:AM,32,0)</f>
        <v>2.56029999999999</v>
      </c>
      <c r="K192" s="20">
        <f>VLOOKUP(A192,All!A:AM,39,0)</f>
        <v>27.14222222222222</v>
      </c>
      <c r="L192" s="20">
        <f>VLOOKUP(A192,All!A:AM,38,0)</f>
        <v>3.0534999999999997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5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5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45415</v>
      </c>
      <c r="D194" s="5"/>
      <c r="E194" s="17">
        <f>VLOOKUP(A194,All!A:AM,30,0)</f>
        <v>61.573721833446868</v>
      </c>
      <c r="F194" s="17">
        <f>VLOOKUP(A194,All!A:AM,28,0)</f>
        <v>33.407339999999998</v>
      </c>
      <c r="G194" s="17">
        <f>VLOOKUP(A194,All!A:AM,31,0)</f>
        <v>40.636051458151819</v>
      </c>
      <c r="H194" s="17">
        <f>VLOOKUP(A194,All!A:AM,29,0)</f>
        <v>14.2713</v>
      </c>
      <c r="I194" s="6">
        <f>VLOOKUP(A194,All!A:AM,33,0)</f>
        <v>60.906912380180906</v>
      </c>
      <c r="J194" s="6">
        <f>VLOOKUP(A194,All!A:AM,32,0)</f>
        <v>32.481899999999996</v>
      </c>
      <c r="K194" s="20">
        <f>VLOOKUP(A194,All!A:AM,39,0)</f>
        <v>53.67</v>
      </c>
      <c r="L194" s="20">
        <f>VLOOKUP(A194,All!A:AM,38,0)</f>
        <v>24.151500000000002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2.7</v>
      </c>
      <c r="S194" s="325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1">
        <f>VLOOKUP(A195,All!A:AM,39,0)</f>
        <v>53.493333333333332</v>
      </c>
      <c r="L195" s="331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5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2"/>
      <c r="L196" s="332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5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5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5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5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45415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5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5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5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1">
        <f>VLOOKUP(A203,All!A:AM,39,0)</f>
        <v>60.465815085158148</v>
      </c>
      <c r="L203" s="331">
        <f>VLOOKUP(A203,All!A:AM,38,0)</f>
        <v>248.5145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5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41.482231127565655</v>
      </c>
      <c r="F204" s="17">
        <f>VLOOKUP(A204,All!A:AM,28,0)</f>
        <v>40.784500000000001</v>
      </c>
      <c r="G204" s="17">
        <f>VLOOKUP(A204,All!A:AM,31,0)</f>
        <v>36.213864020621415</v>
      </c>
      <c r="H204" s="17">
        <f>VLOOKUP(A204,All!A:AM,29,0)</f>
        <v>32.664000000000001</v>
      </c>
      <c r="I204" s="6">
        <f>VLOOKUP(A204,All!A:AM,33,0)</f>
        <v>32.48192742806193</v>
      </c>
      <c r="J204" s="6">
        <f>VLOOKUP(A204,All!A:AM,32,0)</f>
        <v>27.678500000000199</v>
      </c>
      <c r="K204" s="332"/>
      <c r="L204" s="332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10.5</v>
      </c>
      <c r="S204" s="325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5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5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45415</v>
      </c>
      <c r="D207" s="5"/>
      <c r="E207" s="17">
        <f>VLOOKUP(A207,All!A:AM,30,0)</f>
        <v>56.474096009597851</v>
      </c>
      <c r="F207" s="17">
        <f>VLOOKUP(A207,All!A:AM,28,0)</f>
        <v>26.134540000000001</v>
      </c>
      <c r="G207" s="17">
        <f>VLOOKUP(A207,All!A:AM,31,0)</f>
        <v>44.120478384744061</v>
      </c>
      <c r="H207" s="17">
        <f>VLOOKUP(A207,All!A:AM,29,0)</f>
        <v>15.9038</v>
      </c>
      <c r="I207" s="6">
        <f>VLOOKUP(A207,All!A:AM,33,0)</f>
        <v>43.346102785653208</v>
      </c>
      <c r="J207" s="6">
        <f>VLOOKUP(A207,All!A:AM,32,0)</f>
        <v>15.411099999999999</v>
      </c>
      <c r="K207" s="20">
        <f>VLOOKUP(A207,All!A:AM,39,0)</f>
        <v>68.027777777777786</v>
      </c>
      <c r="L207" s="20">
        <f>VLOOKUP(A207,All!A:AM,38,0)</f>
        <v>42.857500000000002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5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45415</v>
      </c>
      <c r="D208" s="5"/>
      <c r="E208" s="17">
        <f>VLOOKUP(A208,All!A:AM,30,0)</f>
        <v>46.159823532360761</v>
      </c>
      <c r="F208" s="17">
        <f>VLOOKUP(A208,All!A:AM,28,0)</f>
        <v>18.414999999999999</v>
      </c>
      <c r="G208" s="17">
        <f>VLOOKUP(A208,All!A:AM,31,0)</f>
        <v>23.473768593569076</v>
      </c>
      <c r="H208" s="17">
        <f>VLOOKUP(A208,All!A:AM,29,0)</f>
        <v>6.5885000000000007</v>
      </c>
      <c r="I208" s="6">
        <f>VLOOKUP(A208,All!A:AM,33,0)</f>
        <v>39.586989784438146</v>
      </c>
      <c r="J208" s="6">
        <f>VLOOKUP(A208,All!A:AM,32,0)</f>
        <v>14.0746</v>
      </c>
      <c r="K208" s="20">
        <f>VLOOKUP(A208,All!A:AM,39,0)</f>
        <v>80.907555555555561</v>
      </c>
      <c r="L208" s="20">
        <f>VLOOKUP(A208,All!A:AM,38,0)</f>
        <v>91.021000000000001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5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45415</v>
      </c>
      <c r="D209" s="5"/>
      <c r="E209" s="17">
        <f>VLOOKUP(A209,All!A:AM,30,0)</f>
        <v>49.350152905198769</v>
      </c>
      <c r="F209" s="17">
        <f>VLOOKUP(A209,All!A:AM,28,0)</f>
        <v>28.350359999999998</v>
      </c>
      <c r="G209" s="17">
        <f>VLOOKUP(A209,All!A:AM,31,0)</f>
        <v>25.600625939676597</v>
      </c>
      <c r="H209" s="17">
        <f>VLOOKUP(A209,All!A:AM,29,0)</f>
        <v>10.0122</v>
      </c>
      <c r="I209" s="6">
        <f>VLOOKUP(A209,All!A:AM,33,0)</f>
        <v>45.440124206831378</v>
      </c>
      <c r="J209" s="6">
        <f>VLOOKUP(A209,All!A:AM,32,0)</f>
        <v>24.2334</v>
      </c>
      <c r="K209" s="20">
        <f>VLOOKUP(A209,All!A:AM,39,0)</f>
        <v>65.51466666666667</v>
      </c>
      <c r="L209" s="20">
        <f>VLOOKUP(A209,All!A:AM,38,0)</f>
        <v>55.277999999999999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3.7</v>
      </c>
      <c r="S209" s="325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45415</v>
      </c>
      <c r="D210" s="5"/>
      <c r="E210" s="17">
        <f>VLOOKUP(A210,All!A:AM,30,0)</f>
        <v>41.515973211363054</v>
      </c>
      <c r="F210" s="17">
        <f>VLOOKUP(A210,All!A:AM,28,0)</f>
        <v>22.524840000000001</v>
      </c>
      <c r="G210" s="17">
        <f>VLOOKUP(A210,All!A:AM,31,0)</f>
        <v>9.6492576836997941</v>
      </c>
      <c r="H210" s="17">
        <f>VLOOKUP(A210,All!A:AM,29,0)</f>
        <v>3.3887999999999998</v>
      </c>
      <c r="I210" s="6">
        <f>VLOOKUP(A210,All!A:AM,33,0)</f>
        <v>40.501102560640831</v>
      </c>
      <c r="J210" s="6">
        <f>VLOOKUP(A210,All!A:AM,32,0)</f>
        <v>21.599399999999999</v>
      </c>
      <c r="K210" s="20">
        <f>VLOOKUP(A210,All!A:AM,39,0)</f>
        <v>49.633333333333333</v>
      </c>
      <c r="L210" s="20">
        <f>VLOOKUP(A210,All!A:AM,38,0)</f>
        <v>31.268999999999998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5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5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5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45415</v>
      </c>
      <c r="D213" s="5"/>
      <c r="E213" s="17">
        <f>VLOOKUP(A213,All!A:AM,30,0)</f>
        <v>55.081615632074346</v>
      </c>
      <c r="F213" s="17">
        <f>VLOOKUP(A213,All!A:AM,28,0)</f>
        <v>18.492000000000001</v>
      </c>
      <c r="G213" s="17">
        <f>VLOOKUP(A213,All!A:AM,31,0)</f>
        <v>25.216960079345402</v>
      </c>
      <c r="H213" s="17">
        <f>VLOOKUP(A213,All!A:AM,29,0)</f>
        <v>5.085</v>
      </c>
      <c r="I213" s="6">
        <f>VLOOKUP(A213,All!A:AM,33,0)</f>
        <v>57.585167184195129</v>
      </c>
      <c r="J213" s="6">
        <f>VLOOKUP(A213,All!A:AM,32,0)</f>
        <v>20.473600000000001</v>
      </c>
      <c r="K213" s="20">
        <f>VLOOKUP(A213,All!A:AM,39,0)</f>
        <v>66.488888888888894</v>
      </c>
      <c r="L213" s="20">
        <f>VLOOKUP(A213,All!A:AM,38,0)</f>
        <v>29.92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5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  <c r="S214" s="325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45415</v>
      </c>
      <c r="D215" s="5"/>
      <c r="E215" s="17">
        <f>VLOOKUP(A215,All!A:AM,30,0)</f>
        <v>27.549483403747203</v>
      </c>
      <c r="F215" s="17">
        <f>VLOOKUP(A215,All!A:AM,28,0)</f>
        <v>4.8358600000000003</v>
      </c>
      <c r="G215" s="17">
        <f>VLOOKUP(A215,All!A:AM,31,0)</f>
        <v>-43.51083877811255</v>
      </c>
      <c r="H215" s="17">
        <f>VLOOKUP(A215,All!A:AM,29,0)</f>
        <v>-3.8557999999999999</v>
      </c>
      <c r="I215" s="6">
        <f>VLOOKUP(A215,All!A:AM,33,0)</f>
        <v>39.798246610618847</v>
      </c>
      <c r="J215" s="6">
        <f>VLOOKUP(A215,All!A:AM,32,0)</f>
        <v>8.40730000000001</v>
      </c>
      <c r="K215" s="20">
        <f>VLOOKUP(A215,All!A:AM,39,0)</f>
        <v>29.347222222222229</v>
      </c>
      <c r="L215" s="20">
        <f>VLOOKUP(A215,All!A:AM,38,0)</f>
        <v>5.2825000000000006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5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45415</v>
      </c>
      <c r="D216" s="5"/>
      <c r="E216" s="17">
        <f>VLOOKUP(A216,All!A:AM,30,0)</f>
        <v>63.603325598550441</v>
      </c>
      <c r="F216" s="17">
        <f>VLOOKUP(A216,All!A:AM,28,0)</f>
        <v>28.418779999999998</v>
      </c>
      <c r="G216" s="17">
        <f>VLOOKUP(A216,All!A:AM,31,0)</f>
        <v>48.087248536387605</v>
      </c>
      <c r="H216" s="17">
        <f>VLOOKUP(A216,All!A:AM,29,0)</f>
        <v>15.0641</v>
      </c>
      <c r="I216" s="6">
        <f>VLOOKUP(A216,All!A:AM,33,0)</f>
        <v>59.325039518178365</v>
      </c>
      <c r="J216" s="6">
        <f>VLOOKUP(A216,All!A:AM,32,0)</f>
        <v>23.719100000000001</v>
      </c>
      <c r="K216" s="331">
        <f>VLOOKUP(A216,All!A:AM,39,0)</f>
        <v>45.459466666666671</v>
      </c>
      <c r="L216" s="331">
        <f>VLOOKUP(A216,All!A:AM,38,0)</f>
        <v>85.236500000000007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5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45415</v>
      </c>
      <c r="D217" s="5"/>
      <c r="E217" s="17">
        <f>VLOOKUP(A217,All!A:AM,30,0)</f>
        <v>38.058867362146046</v>
      </c>
      <c r="F217" s="17">
        <f>VLOOKUP(A217,All!A:AM,28,0)</f>
        <v>26.722439999999999</v>
      </c>
      <c r="G217" s="17">
        <f>VLOOKUP(A217,All!A:AM,31,0)</f>
        <v>17.765869744435282</v>
      </c>
      <c r="H217" s="17">
        <f>VLOOKUP(A217,All!A:AM,29,0)</f>
        <v>9.3957999999999995</v>
      </c>
      <c r="I217" s="6">
        <f>VLOOKUP(A217,All!A:AM,33,0)</f>
        <v>22.677718040621404</v>
      </c>
      <c r="J217" s="6">
        <f>VLOOKUP(A217,All!A:AM,32,0)</f>
        <v>12.755400000000099</v>
      </c>
      <c r="K217" s="333"/>
      <c r="L217" s="333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5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45415</v>
      </c>
      <c r="D218" s="5"/>
      <c r="E218" s="17">
        <f>VLOOKUP(A218,All!A:AM,30,0)</f>
        <v>57.033315705975681</v>
      </c>
      <c r="F218" s="17">
        <f>VLOOKUP(A218,All!A:AM,28,0)</f>
        <v>56.427120000000002</v>
      </c>
      <c r="G218" s="17">
        <f>VLOOKUP(A218,All!A:AM,31,0)</f>
        <v>53.271028037383175</v>
      </c>
      <c r="H218" s="17">
        <f>VLOOKUP(A218,All!A:AM,29,0)</f>
        <v>48.461399999999998</v>
      </c>
      <c r="I218" s="6">
        <f>VLOOKUP(A218,All!A:AM,33,0)</f>
        <v>20.28936591512533</v>
      </c>
      <c r="J218" s="6">
        <f>VLOOKUP(A218,All!A:AM,32,0)</f>
        <v>10.820399999999999</v>
      </c>
      <c r="K218" s="332"/>
      <c r="L218" s="332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5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45415</v>
      </c>
      <c r="D219" s="19"/>
      <c r="E219" s="17">
        <f>VLOOKUP(A219,All!A:AM,30,0)</f>
        <v>37.541642610983622</v>
      </c>
      <c r="F219" s="17">
        <f>VLOOKUP(A219,All!A:AM,28,0)</f>
        <v>37.142619999999994</v>
      </c>
      <c r="G219" s="17">
        <f>VLOOKUP(A219,All!A:AM,31,0)</f>
        <v>22.163517766372784</v>
      </c>
      <c r="H219" s="17">
        <f>VLOOKUP(A219,All!A:AM,29,0)</f>
        <v>17.595650000000003</v>
      </c>
      <c r="I219" s="6">
        <f>VLOOKUP(A219,All!A:AM,33,0)</f>
        <v>14.34561432690175</v>
      </c>
      <c r="J219" s="6">
        <f>VLOOKUP(A219,All!A:AM,32,0)</f>
        <v>10.349499999999999</v>
      </c>
      <c r="K219" s="331">
        <f>VLOOKUP(A219,All!A:AM,39,0)</f>
        <v>37.729585006693448</v>
      </c>
      <c r="L219" s="331">
        <f>VLOOKUP(A219,All!A:AM,38,0)</f>
        <v>140.92000000000002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17.05</v>
      </c>
      <c r="S219" s="325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45415</v>
      </c>
      <c r="D220" s="19"/>
      <c r="E220" s="17">
        <f>VLOOKUP(A220,All!A:AM,30,0)</f>
        <v>39.680928269437821</v>
      </c>
      <c r="F220" s="17">
        <f>VLOOKUP(A220,All!A:AM,28,0)</f>
        <v>39.892380000000003</v>
      </c>
      <c r="G220" s="17">
        <f>VLOOKUP(A220,All!A:AM,31,0)</f>
        <v>14.790188024916359</v>
      </c>
      <c r="H220" s="17">
        <f>VLOOKUP(A220,All!A:AM,29,0)</f>
        <v>10.525600000000001</v>
      </c>
      <c r="I220" s="6">
        <f>VLOOKUP(A220,All!A:AM,33,0)</f>
        <v>31.775685162684102</v>
      </c>
      <c r="J220" s="6">
        <f>VLOOKUP(A220,All!A:AM,32,0)</f>
        <v>28.2435000000002</v>
      </c>
      <c r="K220" s="333"/>
      <c r="L220" s="333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16.55</v>
      </c>
      <c r="S220" s="325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45415</v>
      </c>
      <c r="D221" s="19"/>
      <c r="E221" s="17">
        <f>VLOOKUP(A221,All!A:AM,30,0)</f>
        <v>51.39187508870338</v>
      </c>
      <c r="F221" s="17">
        <f>VLOOKUP(A221,All!A:AM,28,0)</f>
        <v>58.226460000000003</v>
      </c>
      <c r="G221" s="17">
        <f>VLOOKUP(A221,All!A:AM,31,0)</f>
        <v>27.748849767198394</v>
      </c>
      <c r="H221" s="17">
        <f>VLOOKUP(A221,All!A:AM,29,0)</f>
        <v>21.151199999999999</v>
      </c>
      <c r="I221" s="6">
        <f>VLOOKUP(A221,All!A:AM,33,0)</f>
        <v>48.36669141802809</v>
      </c>
      <c r="J221" s="6">
        <f>VLOOKUP(A221,All!A:AM,32,0)</f>
        <v>51.588300000000103</v>
      </c>
      <c r="K221" s="333"/>
      <c r="L221" s="333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5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45415</v>
      </c>
      <c r="D222" s="19"/>
      <c r="E222" s="17">
        <f>VLOOKUP(A222,All!A:AM,30,0)</f>
        <v>51.39187508870338</v>
      </c>
      <c r="F222" s="17">
        <f>VLOOKUP(A222,All!A:AM,28,0)</f>
        <v>58.226460000000003</v>
      </c>
      <c r="G222" s="17">
        <f>VLOOKUP(A222,All!A:AM,31,0)</f>
        <v>27.748849767198394</v>
      </c>
      <c r="H222" s="17">
        <f>VLOOKUP(A222,All!A:AM,29,0)</f>
        <v>21.151199999999999</v>
      </c>
      <c r="I222" s="6">
        <f>VLOOKUP(A222,All!A:AM,33,0)</f>
        <v>48.36669141802809</v>
      </c>
      <c r="J222" s="6">
        <f>VLOOKUP(A222,All!A:AM,32,0)</f>
        <v>51.588300000000103</v>
      </c>
      <c r="K222" s="332"/>
      <c r="L222" s="332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5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45415</v>
      </c>
      <c r="D223" s="19"/>
      <c r="E223" s="17">
        <f>VLOOKUP(A223,All!A:AM,30,0)</f>
        <v>66.157476403378041</v>
      </c>
      <c r="F223" s="17">
        <f>VLOOKUP(A223,All!A:AM,28,0)</f>
        <v>11.61286</v>
      </c>
      <c r="G223" s="17">
        <f>VLOOKUP(A223,All!A:AM,31,0)</f>
        <v>71.921689850592472</v>
      </c>
      <c r="H223" s="17">
        <f>VLOOKUP(A223,All!A:AM,29,0)</f>
        <v>15.2164</v>
      </c>
      <c r="I223" s="6">
        <f>VLOOKUP(A223,All!A:AM,33,0)</f>
        <v>54.047928463133296</v>
      </c>
      <c r="J223" s="6">
        <f>VLOOKUP(A223,All!A:AM,32,0)</f>
        <v>6.9871000000000203</v>
      </c>
      <c r="K223" s="20">
        <f>VLOOKUP(A223,All!A:AM,39,0)</f>
        <v>47.195555555555551</v>
      </c>
      <c r="L223" s="20">
        <f>VLOOKUP(A223,All!A:AM,38,0)</f>
        <v>5.3094999999999999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5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5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45415</v>
      </c>
      <c r="D225" s="19"/>
      <c r="E225" s="17">
        <f>VLOOKUP(A225,All!A:AM,30,0)</f>
        <v>7.2611865889050451</v>
      </c>
      <c r="F225" s="17">
        <f>VLOOKUP(A225,All!A:AM,28,0)</f>
        <v>1.0428400000000004</v>
      </c>
      <c r="G225" s="17">
        <f>VLOOKUP(A225,All!A:AM,31,0)</f>
        <v>-94.884626077286626</v>
      </c>
      <c r="H225" s="17">
        <f>VLOOKUP(A225,All!A:AM,29,0)</f>
        <v>-6.4847000000000001</v>
      </c>
      <c r="I225" s="6">
        <f>VLOOKUP(A225,All!A:AM,33,0)</f>
        <v>23.496231963973788</v>
      </c>
      <c r="J225" s="6">
        <f>VLOOKUP(A225,All!A:AM,32,0)</f>
        <v>4.0905999999999807</v>
      </c>
      <c r="K225" s="20">
        <f>VLOOKUP(A225,All!A:AM,39,0)</f>
        <v>55.603333333333339</v>
      </c>
      <c r="L225" s="20">
        <f>VLOOKUP(A225,All!A:AM,38,0)</f>
        <v>16.681000000000001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5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5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1">
        <f>VLOOKUP(A227,All!A:AM,39,0)</f>
        <v>17.569607843137256</v>
      </c>
      <c r="L227" s="331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5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3"/>
      <c r="L228" s="333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5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3"/>
      <c r="L229" s="333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5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2"/>
      <c r="L230" s="332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5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5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45415</v>
      </c>
      <c r="D232" s="19"/>
      <c r="E232" s="17">
        <f>VLOOKUP(A232,All!A:AM,30,0)</f>
        <v>53.241088885546709</v>
      </c>
      <c r="F232" s="17">
        <f>VLOOKUP(A232,All!A:AM,28,0)</f>
        <v>42.480000000000004</v>
      </c>
      <c r="G232" s="17">
        <f>VLOOKUP(A232,All!A:AM,31,0)</f>
        <v>44.345491161333641</v>
      </c>
      <c r="H232" s="17">
        <f>VLOOKUP(A232,All!A:AM,29,0)</f>
        <v>29.727000000000004</v>
      </c>
      <c r="I232" s="6">
        <f>VLOOKUP(A232,All!A:AM,33,0)</f>
        <v>30.043652400882046</v>
      </c>
      <c r="J232" s="6">
        <f>VLOOKUP(A232,All!A:AM,32,0)</f>
        <v>16.022399999999998</v>
      </c>
      <c r="K232" s="331">
        <f>VLOOKUP(A232,All!A:AM,39,0)</f>
        <v>11.994526546250688</v>
      </c>
      <c r="L232" s="331">
        <f>VLOOKUP(A232,All!A:AM,38,0)</f>
        <v>10.957000000000004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5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45415</v>
      </c>
      <c r="D233" s="19"/>
      <c r="E233" s="17">
        <f>VLOOKUP(A233,All!A:AM,30,0)</f>
        <v>46.000651727076765</v>
      </c>
      <c r="F233" s="17">
        <f>VLOOKUP(A233,All!A:AM,28,0)</f>
        <v>36.703000000000003</v>
      </c>
      <c r="G233" s="17">
        <f>VLOOKUP(A233,All!A:AM,31,0)</f>
        <v>35.727604982471846</v>
      </c>
      <c r="H233" s="17">
        <f>VLOOKUP(A233,All!A:AM,29,0)</f>
        <v>23.950000000000003</v>
      </c>
      <c r="I233" s="6">
        <f>VLOOKUP(A233,All!A:AM,33,0)</f>
        <v>19.211181614988821</v>
      </c>
      <c r="J233" s="6">
        <f>VLOOKUP(A233,All!A:AM,32,0)</f>
        <v>10.245399999999998</v>
      </c>
      <c r="K233" s="332"/>
      <c r="L233" s="332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5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5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45415</v>
      </c>
      <c r="D235" s="5"/>
      <c r="E235" s="17">
        <f>VLOOKUP(A235,All!A:AM,30,0)</f>
        <v>59.214835982019025</v>
      </c>
      <c r="F235" s="17">
        <f>VLOOKUP(A235,All!A:AM,28,0)</f>
        <v>19.84346</v>
      </c>
      <c r="G235" s="17">
        <f>VLOOKUP(A235,All!A:AM,31,0)</f>
        <v>49.500641056431448</v>
      </c>
      <c r="H235" s="17">
        <f>VLOOKUP(A235,All!A:AM,29,0)</f>
        <v>13.3972</v>
      </c>
      <c r="I235" s="6">
        <f>VLOOKUP(A235,All!A:AM,33,0)</f>
        <v>40.530579922027293</v>
      </c>
      <c r="J235" s="6">
        <f>VLOOKUP(A235,All!A:AM,32,0)</f>
        <v>9.3148999999999997</v>
      </c>
      <c r="K235" s="20">
        <f>VLOOKUP(A235,All!A:AM,39,0)</f>
        <v>59.503703703703707</v>
      </c>
      <c r="L235" s="20">
        <f>VLOOKUP(A235,All!A:AM,38,0)</f>
        <v>20.082500000000003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7.4</v>
      </c>
      <c r="S235" s="325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45415</v>
      </c>
      <c r="D236" s="5"/>
      <c r="E236" s="17">
        <f>VLOOKUP(A236,All!A:AM,30,0)</f>
        <v>64.662307495816307</v>
      </c>
      <c r="F236" s="17">
        <f>VLOOKUP(A236,All!A:AM,28,0)</f>
        <v>21.668960000000002</v>
      </c>
      <c r="G236" s="17">
        <f>VLOOKUP(A236,All!A:AM,31,0)</f>
        <v>56.245589273112216</v>
      </c>
      <c r="H236" s="17">
        <f>VLOOKUP(A236,All!A:AM,29,0)</f>
        <v>15.2227</v>
      </c>
      <c r="I236" s="6">
        <f>VLOOKUP(A236,All!A:AM,33,0)</f>
        <v>48.473614592035652</v>
      </c>
      <c r="J236" s="6">
        <f>VLOOKUP(A236,All!A:AM,32,0)</f>
        <v>11.1404</v>
      </c>
      <c r="K236" s="20">
        <f>VLOOKUP(A236,All!A:AM,39,0)</f>
        <v>64.912592592592588</v>
      </c>
      <c r="L236" s="20">
        <f>VLOOKUP(A236,All!A:AM,38,0)</f>
        <v>21.908000000000001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5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45415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5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44627.604166666701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5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5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45415</v>
      </c>
      <c r="D240" s="5"/>
      <c r="E240" s="17">
        <f>VLOOKUP(A240,All!A:AM,30,0)</f>
        <v>37.440752083931507</v>
      </c>
      <c r="F240" s="17">
        <f>VLOOKUP(A240,All!A:AM,28,0)</f>
        <v>39.432659999999998</v>
      </c>
      <c r="G240" s="17">
        <f>VLOOKUP(A240,All!A:AM,31,0)</f>
        <v>14.598406744246939</v>
      </c>
      <c r="H240" s="17">
        <f>VLOOKUP(A240,All!A:AM,29,0)</f>
        <v>11.262700000000002</v>
      </c>
      <c r="I240" s="6">
        <f>VLOOKUP(A240,All!A:AM,33,0)</f>
        <v>25.87248548670194</v>
      </c>
      <c r="J240" s="6">
        <f>VLOOKUP(A240,All!A:AM,32,0)</f>
        <v>22.996500000000204</v>
      </c>
      <c r="K240" s="331">
        <f>VLOOKUP(A240,All!A:AM,39,0)</f>
        <v>-11.675999999999995</v>
      </c>
      <c r="L240" s="331">
        <f>VLOOKUP(A240,All!A:AM,38,0)</f>
        <v>-13.135499999999993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10.024999999999999</v>
      </c>
      <c r="S240" s="325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45415</v>
      </c>
      <c r="D241" s="5"/>
      <c r="E241" s="17">
        <f>VLOOKUP(A241,All!A:AM,30,0)</f>
        <v>43.270120364420265</v>
      </c>
      <c r="F241" s="17">
        <f>VLOOKUP(A241,All!A:AM,28,0)</f>
        <v>45.572160000000004</v>
      </c>
      <c r="G241" s="17">
        <f>VLOOKUP(A241,All!A:AM,31,0)</f>
        <v>22.556260385585521</v>
      </c>
      <c r="H241" s="17">
        <f>VLOOKUP(A241,All!A:AM,29,0)</f>
        <v>17.402200000000001</v>
      </c>
      <c r="I241" s="6">
        <f>VLOOKUP(A241,All!A:AM,33,0)</f>
        <v>32.779802889159058</v>
      </c>
      <c r="J241" s="6">
        <f>VLOOKUP(A241,All!A:AM,32,0)</f>
        <v>29.136000000000202</v>
      </c>
      <c r="K241" s="332"/>
      <c r="L241" s="332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11.024999999999999</v>
      </c>
      <c r="S241" s="325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45415</v>
      </c>
      <c r="D242" s="5"/>
      <c r="E242" s="17">
        <f>VLOOKUP(A242,All!A:AM,30,0)</f>
        <v>66.885233155999003</v>
      </c>
      <c r="F242" s="17">
        <f>VLOOKUP(A242,All!A:AM,28,0)</f>
        <v>62.972340000000003</v>
      </c>
      <c r="G242" s="17">
        <f>VLOOKUP(A242,All!A:AM,31,0)</f>
        <v>67.669027908698652</v>
      </c>
      <c r="H242" s="17">
        <f>VLOOKUP(A242,All!A:AM,29,0)</f>
        <v>65.254800000000003</v>
      </c>
      <c r="I242" s="6">
        <f>VLOOKUP(A242,All!A:AM,33,0)</f>
        <v>9.0483441853952211</v>
      </c>
      <c r="J242" s="6">
        <f>VLOOKUP(A242,All!A:AM,32,0)</f>
        <v>3.1016999999999992</v>
      </c>
      <c r="K242" s="331">
        <f>VLOOKUP(A242,All!A:AM,39,0)</f>
        <v>30.958888888888882</v>
      </c>
      <c r="L242" s="331">
        <f>VLOOKUP(A242,All!A:AM,38,0)</f>
        <v>27.862999999999996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5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45415</v>
      </c>
      <c r="D243" s="5"/>
      <c r="E243" s="17">
        <f>VLOOKUP(A243,All!A:AM,30,0)</f>
        <v>67.116778955758193</v>
      </c>
      <c r="F243" s="17">
        <f>VLOOKUP(A243,All!A:AM,28,0)</f>
        <v>63.190340000000006</v>
      </c>
      <c r="G243" s="17">
        <f>VLOOKUP(A243,All!A:AM,31,0)</f>
        <v>67.895093241579858</v>
      </c>
      <c r="H243" s="17">
        <f>VLOOKUP(A243,All!A:AM,29,0)</f>
        <v>65.472800000000007</v>
      </c>
      <c r="I243" s="6">
        <f>VLOOKUP(A243,All!A:AM,33,0)</f>
        <v>9.6842983500198336</v>
      </c>
      <c r="J243" s="6">
        <f>VLOOKUP(A243,All!A:AM,32,0)</f>
        <v>3.3196999999999992</v>
      </c>
      <c r="K243" s="332"/>
      <c r="L243" s="332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5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5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45415</v>
      </c>
      <c r="D245" s="5"/>
      <c r="E245" s="17">
        <f>VLOOKUP(A245,All!A:AM,30,0)</f>
        <v>23.129626844471179</v>
      </c>
      <c r="F245" s="17">
        <f>VLOOKUP(A245,All!A:AM,28,0)</f>
        <v>1.1072799999999998</v>
      </c>
      <c r="G245" s="17">
        <f>VLOOKUP(A245,All!A:AM,31,0)</f>
        <v>5.0310286513563227</v>
      </c>
      <c r="H245" s="17">
        <f>VLOOKUP(A245,All!A:AM,29,0)</f>
        <v>0.19494983649999997</v>
      </c>
      <c r="I245" s="6">
        <f>VLOOKUP(A245,All!A:AM,33,0)</f>
        <v>12.630579297245966</v>
      </c>
      <c r="J245" s="6">
        <f>VLOOKUP(A245,All!A:AM,32,0)</f>
        <v>0.53200000000000003</v>
      </c>
      <c r="K245" s="20">
        <f>VLOOKUP(A245,All!A:AM,39,0)</f>
        <v>26.766169154228859</v>
      </c>
      <c r="L245" s="20">
        <f>VLOOKUP(A245,All!A:AM,38,0)</f>
        <v>1.3450000000000002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5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44720.583333333299</v>
      </c>
      <c r="D246" s="5"/>
      <c r="E246" s="17">
        <f>VLOOKUP(A246,All!A:AM,30,0)</f>
        <v>71.875</v>
      </c>
      <c r="F246" s="17">
        <f>VLOOKUP(A246,All!A:AM,28,0)</f>
        <v>1.2535000000000001</v>
      </c>
      <c r="G246" s="17">
        <f>VLOOKUP(A246,All!A:AM,31,0)</f>
        <v>10</v>
      </c>
      <c r="H246" s="17">
        <f>VLOOKUP(A246,All!A:AM,29,0)</f>
        <v>5.45E-2</v>
      </c>
      <c r="I246" s="6">
        <f>VLOOKUP(A246,All!A:AM,33,0)</f>
        <v>81.760374832663999</v>
      </c>
      <c r="J246" s="6">
        <f>VLOOKUP(A246,All!A:AM,32,0)</f>
        <v>2.1987000000000001</v>
      </c>
      <c r="K246" s="20">
        <f>VLOOKUP(A246,All!A:AM,39,0)</f>
        <v>91.825000000000003</v>
      </c>
      <c r="L246" s="20">
        <f>VLOOKUP(A246,All!A:AM,38,0)</f>
        <v>5.5095000000000001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5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5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72.216527428971702</v>
      </c>
      <c r="H248" s="17">
        <f>VLOOKUP(A248,All!A:AM,29,0)</f>
        <v>25.362300000000001</v>
      </c>
      <c r="I248" s="6">
        <f>VLOOKUP(A248,All!A:AM,33,0)</f>
        <v>81.703681202466143</v>
      </c>
      <c r="J248" s="6">
        <f>VLOOKUP(A248,All!A:AM,32,0)</f>
        <v>43.572900000000004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5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45356</v>
      </c>
      <c r="D249" s="5"/>
      <c r="E249" s="17">
        <f>VLOOKUP(A249,All!A:AM,30,0)</f>
        <v>88.9908256880734</v>
      </c>
      <c r="F249" s="17">
        <f>VLOOKUP(A249,All!A:AM,28,0)</f>
        <v>7.2750000000000004</v>
      </c>
      <c r="G249" s="17">
        <f>VLOOKUP(A249,All!A:AM,31,0)</f>
        <v>88.902041800518376</v>
      </c>
      <c r="H249" s="17">
        <f>VLOOKUP(A249,All!A:AM,29,0)</f>
        <v>7.2095998364999989</v>
      </c>
      <c r="I249" s="6">
        <f>VLOOKUP(A249,All!A:AM,33,0)</f>
        <v>78.632478632478637</v>
      </c>
      <c r="J249" s="6">
        <f>VLOOKUP(A249,All!A:AM,32,0)</f>
        <v>3.3119999999999998</v>
      </c>
      <c r="K249" s="20">
        <f>VLOOKUP(A249,All!A:AM,39,0)</f>
        <v>85</v>
      </c>
      <c r="L249" s="20">
        <f>VLOOKUP(A249,All!A:AM,38,0)</f>
        <v>5.0999999999999996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0.9</v>
      </c>
      <c r="S249" s="325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32.678065054211842</v>
      </c>
      <c r="F250" s="17">
        <f>VLOOKUP(A250,All!A:AM,28,0)</f>
        <v>19.590500000000002</v>
      </c>
      <c r="G250" s="17">
        <f>VLOOKUP(A250,All!A:AM,31,0)</f>
        <v>4.4462858833974561</v>
      </c>
      <c r="H250" s="17">
        <f>VLOOKUP(A250,All!A:AM,29,0)</f>
        <v>1.8780000000000001</v>
      </c>
      <c r="I250" s="6">
        <f>VLOOKUP(A250,All!A:AM,33,0)</f>
        <v>24.321775197635869</v>
      </c>
      <c r="J250" s="6">
        <f>VLOOKUP(A250,All!A:AM,32,0)</f>
        <v>12.9709</v>
      </c>
      <c r="K250" s="20">
        <f>VLOOKUP(A250,All!A:AM,39,0)</f>
        <v>42.752482269503545</v>
      </c>
      <c r="L250" s="20">
        <f>VLOOKUP(A250,All!A:AM,38,0)</f>
        <v>30.140499999999999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2.7</v>
      </c>
      <c r="S250" s="325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5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5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5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5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5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5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5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5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5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5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5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5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5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5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5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5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5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5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5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5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5"/>
    </row>
    <row r="272" spans="1:19">
      <c r="S272" s="325"/>
    </row>
    <row r="273" spans="19:19">
      <c r="S273" s="325"/>
    </row>
    <row r="274" spans="19:19">
      <c r="S274" s="325"/>
    </row>
    <row r="275" spans="19:19">
      <c r="S275" s="325"/>
    </row>
    <row r="276" spans="19:19">
      <c r="S276" s="325"/>
    </row>
    <row r="277" spans="19:19">
      <c r="S277" s="325"/>
    </row>
    <row r="278" spans="19:19">
      <c r="S278" s="325"/>
    </row>
    <row r="279" spans="19:19">
      <c r="S279" s="325"/>
    </row>
    <row r="280" spans="19:19">
      <c r="S280" s="325"/>
    </row>
    <row r="281" spans="19:19">
      <c r="S281" s="325"/>
    </row>
    <row r="282" spans="19:19">
      <c r="S282" s="325"/>
    </row>
    <row r="283" spans="19:19">
      <c r="S283" s="325"/>
    </row>
    <row r="284" spans="19:19">
      <c r="S284" s="325"/>
    </row>
    <row r="285" spans="19:19">
      <c r="S285" s="325"/>
    </row>
    <row r="286" spans="19:19">
      <c r="S286" s="325"/>
    </row>
    <row r="287" spans="19:19">
      <c r="S287" s="325"/>
    </row>
    <row r="288" spans="19:19">
      <c r="S288" s="325"/>
    </row>
    <row r="289" spans="19:19">
      <c r="S289" s="325"/>
    </row>
    <row r="290" spans="19:19">
      <c r="S290" s="325"/>
    </row>
    <row r="291" spans="19:19">
      <c r="S291" s="325"/>
    </row>
  </sheetData>
  <sheetProtection algorithmName="SHA-512" hashValue="MvanTEOOU75ZMcd2Du4o4GddyjOrOKWHBTeoBZx2u0aTgZurz9VBiMbPtpuka9GHAipGfk/Zo5ywMawobG23EA==" saltValue="6ADhEzaThLil61cA+MgN2w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8:K12 K14:K22 K24:K36 K40:K41 K43:K51 K53:K70 K72 K74:K76 K78:K104 K106:K109 K111:K117 K119 K121:K141 K143 K145:K154 K157 K159 K161:K172 K174:K176 K178:K180 K184:K195 K197:K203 K205:K216 K219 K223:K227 K231:K232 K234:K240 K242 K244:K255 D256:L270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D3" sqref="D3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5.6">
      <c r="A2" s="329" t="s">
        <v>275</v>
      </c>
      <c r="B2" s="58">
        <f>VLOOKUP(A2,Space!A:D,4,0)</f>
        <v>5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BHMN05;DC SYS A</v>
      </c>
      <c r="B6" s="22">
        <f>VLOOKUP(A6,All!A:AM,30,0)</f>
        <v>63.647739786295759</v>
      </c>
      <c r="C6" s="54">
        <f>VLOOKUP(A6,All!A:AM,28,0)</f>
        <v>58.908580000000001</v>
      </c>
      <c r="D6" s="54">
        <f>VLOOKUP(A6,All!A:AM,31,0)</f>
        <v>60.242875846650506</v>
      </c>
      <c r="E6" s="54">
        <f>VLOOKUP(A6,All!A:AM,29,0)</f>
        <v>50.982100000000003</v>
      </c>
      <c r="F6" s="55">
        <f>VLOOKUP(A6,All!A:AM,33,0)</f>
        <v>30.005300753256176</v>
      </c>
      <c r="G6" s="55">
        <f>VLOOKUP(A6,All!A:AM,32,0)</f>
        <v>14.42314</v>
      </c>
      <c r="H6" s="94">
        <f>VLOOKUP(A6,All!A:AM,39,0)</f>
        <v>59.217575757575766</v>
      </c>
      <c r="I6" s="94">
        <f>VLOOKUP(A6,All!A:AM,38,0)</f>
        <v>48.854500000000002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</v>
      </c>
      <c r="N6" s="80"/>
      <c r="O6" s="108" t="str">
        <f>IF(VLOOKUP(A6,All!A:AO,41,0)="","",VLOOKUP(A6,All!A:AO,41,0))</f>
        <v>Dual</v>
      </c>
      <c r="P6" s="108" t="str">
        <f>IF(VLOOKUP(A6,All!A:AN,40,0)="","",VLOOKUP(A6,All!A:AN,40,0))</f>
        <v>Capped</v>
      </c>
      <c r="Q6" s="108" t="str">
        <f>IF(VLOOKUP(A6,All!A:AN,26,0)="","",VLOOKUP(A6,All!A:AN,26,0))</f>
        <v>Space</v>
      </c>
    </row>
    <row r="7" spans="1:25">
      <c r="A7" s="58" t="str" cm="1">
        <f t="array" ref="A7">IFERROR(INDEX(All!A$1:A$264,SMALL(IF(All!E$1:E$264='Site check'!A$2,ROW(All!A$1:A$264)),ROWS(A$2:A3))),"")</f>
        <v>BHMN05;DC SYS B</v>
      </c>
      <c r="B7" s="22">
        <f>VLOOKUP(A7,All!A:AM,30,0)</f>
        <v>59.054749396244887</v>
      </c>
      <c r="C7" s="54">
        <f>VLOOKUP(A7,All!A:AM,28,0)</f>
        <v>54.657580000000003</v>
      </c>
      <c r="D7" s="54">
        <f>VLOOKUP(A7,All!A:AM,31,0)</f>
        <v>54.337495150170021</v>
      </c>
      <c r="E7" s="54">
        <f>VLOOKUP(A7,All!A:AM,29,0)</f>
        <v>45.0961</v>
      </c>
      <c r="F7" s="55">
        <f>VLOOKUP(A7,All!A:AM,33,0)</f>
        <v>28.94015420848147</v>
      </c>
      <c r="G7" s="55">
        <f>VLOOKUP(A7,All!A:AM,32,0)</f>
        <v>15.433900000000001</v>
      </c>
      <c r="H7" s="94">
        <f>VLOOKUP(A7,All!A:AM,39,0)</f>
        <v>54.064848484848483</v>
      </c>
      <c r="I7" s="94">
        <f>VLOOKUP(A7,All!A:AM,38,0)</f>
        <v>44.603499999999997</v>
      </c>
      <c r="J7" s="5">
        <f>VLOOKUP(A7,'SYS Allocations'!A:G,2,0)</f>
        <v>0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1</v>
      </c>
      <c r="N7" s="80"/>
      <c r="O7" s="108" t="str">
        <f>IF(VLOOKUP(A7,All!A:AO,41,0)="","",VLOOKUP(A7,All!A:AO,41,0))</f>
        <v>Dual</v>
      </c>
      <c r="P7" s="108" t="str">
        <f>IF(VLOOKUP(A7,All!A:AN,40,0)="","",VLOOKUP(A7,All!A:AN,40,0))</f>
        <v>Capped</v>
      </c>
      <c r="Q7" s="108" t="str">
        <f>IF(VLOOKUP(A7,All!A:AN,26,0)="","",VLOOKUP(A7,All!A:AN,26,0))</f>
        <v>Space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4" t="s">
        <v>285</v>
      </c>
      <c r="B12" s="334" t="s">
        <v>286</v>
      </c>
      <c r="C12" s="334" t="s">
        <v>271</v>
      </c>
      <c r="D12" s="336" t="s">
        <v>287</v>
      </c>
      <c r="E12" s="336" t="s">
        <v>288</v>
      </c>
      <c r="F12" s="336" t="s">
        <v>289</v>
      </c>
      <c r="G12" s="336" t="s">
        <v>290</v>
      </c>
      <c r="H12" s="336" t="s">
        <v>291</v>
      </c>
      <c r="I12" s="340" t="s">
        <v>292</v>
      </c>
      <c r="J12" s="341"/>
      <c r="K12" s="341"/>
      <c r="L12" s="341"/>
      <c r="M12" s="341"/>
      <c r="N12" s="342"/>
      <c r="O12" s="267"/>
      <c r="P12" s="337" t="s">
        <v>293</v>
      </c>
      <c r="Q12" s="338"/>
    </row>
    <row r="13" spans="1:25" ht="26.45">
      <c r="A13" s="335"/>
      <c r="B13" s="335"/>
      <c r="C13" s="335"/>
      <c r="D13" s="335"/>
      <c r="E13" s="335"/>
      <c r="F13" s="339"/>
      <c r="G13" s="339"/>
      <c r="H13" s="339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BHMN05_SEC_DCDB_AG01</v>
      </c>
      <c r="B14" s="58" t="str">
        <f>VLOOKUP($A14,'DC Dist Allocations'!$A:$X,2,0)</f>
        <v>BHMN05;DC SYS A</v>
      </c>
      <c r="C14" s="58" t="str">
        <f>VLOOKUP($A14,'DC Dist Allocations'!$A:$X,3,0)</f>
        <v>BHMN05</v>
      </c>
      <c r="D14" s="58">
        <f>VLOOKUP($A14,'DC Dist Allocations'!$A:$X,5,0)</f>
        <v>260</v>
      </c>
      <c r="E14" s="58">
        <f>VLOOKUP($A14,'DC Dist Allocations'!$A:$X,6,0)</f>
        <v>280</v>
      </c>
      <c r="F14" s="61">
        <f>VLOOKUP($A14,'DC Dist Allocations'!$A:$X,7,0)</f>
        <v>44958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0</v>
      </c>
      <c r="L14" s="58">
        <f>VLOOKUP($A14,'DC Dist Allocations'!$A:$X,13,0)</f>
        <v>5</v>
      </c>
      <c r="M14" s="58">
        <f>VLOOKUP($A14,'DC Dist Allocations'!$A:$X,14,0)</f>
        <v>6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0</v>
      </c>
      <c r="Q14" s="60">
        <f>VLOOKUP(A14,'DC Dist Allocations'!$A:$BC,51,0)</f>
        <v>0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BHMN05_SEC_WALL_DCDB_A</v>
      </c>
      <c r="B15" s="58" t="str">
        <f>VLOOKUP($A15,'DC Dist Allocations'!$A:$X,2,0)</f>
        <v>BHMN05;DC SYS A</v>
      </c>
      <c r="C15" s="58" t="str">
        <f>VLOOKUP($A15,'DC Dist Allocations'!$A:$X,3,0)</f>
        <v>BHMN05</v>
      </c>
      <c r="D15" s="58">
        <f>VLOOKUP($A15,'DC Dist Allocations'!$A:$X,5,0)</f>
        <v>120</v>
      </c>
      <c r="E15" s="58">
        <f>VLOOKUP($A15,'DC Dist Allocations'!$A:$X,6,0)</f>
        <v>120</v>
      </c>
      <c r="F15" s="61">
        <f>VLOOKUP($A15,'DC Dist Allocations'!$A:$X,7,0)</f>
        <v>44958</v>
      </c>
      <c r="G15" s="58">
        <f>VLOOKUP($A15,'DC Dist Allocations'!$A:$X,8,0)</f>
        <v>200</v>
      </c>
      <c r="H15" s="58">
        <f>VLOOKUP($A15,'DC Dist Allocations'!$A:$X,9,0)</f>
        <v>200</v>
      </c>
      <c r="I15" s="58">
        <f>VLOOKUP($A15,'DC Dist Allocations'!$A:$X,10,0)</f>
        <v>4</v>
      </c>
      <c r="J15" s="58">
        <f>VLOOKUP($A15,'DC Dist Allocations'!$A:$X,11,0)</f>
        <v>1</v>
      </c>
      <c r="K15" s="58">
        <f>VLOOKUP($A15,'DC Dist Allocations'!$A:$X,12,0)</f>
        <v>1</v>
      </c>
      <c r="L15" s="58">
        <f>VLOOKUP($A15,'DC Dist Allocations'!$A:$X,13,0)</f>
        <v>0</v>
      </c>
      <c r="M15" s="58">
        <f>VLOOKUP($A15,'DC Dist Allocations'!$A:$X,14,0)</f>
        <v>3</v>
      </c>
      <c r="N15" s="58">
        <f>VLOOKUP($A15,'DC Dist Allocations'!$A:$X,15,0)</f>
        <v>0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200</v>
      </c>
      <c r="U15" s="58">
        <f t="shared" ref="U15:U38" si="2">H15</f>
        <v>200</v>
      </c>
      <c r="V15" s="60">
        <f t="shared" ref="V15:V38" si="3">SUM(G15/100)*90</f>
        <v>180</v>
      </c>
      <c r="W15" s="60">
        <f t="shared" ref="W15:W38" si="4">SUM(G15/100)*75</f>
        <v>150</v>
      </c>
      <c r="X15" s="60">
        <f t="shared" ref="X15:X38" si="5">SUM(G15/100)*74.99</f>
        <v>149.97999999999999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BHMN05_SEC_WALL_DCDB_B</v>
      </c>
      <c r="B16" s="58" t="str">
        <f>VLOOKUP($A16,'DC Dist Allocations'!$A:$X,2,0)</f>
        <v>BHMN05;DC SYS A</v>
      </c>
      <c r="C16" s="58" t="str">
        <f>VLOOKUP($A16,'DC Dist Allocations'!$A:$X,3,0)</f>
        <v>BHMN05</v>
      </c>
      <c r="D16" s="58">
        <f>VLOOKUP($A16,'DC Dist Allocations'!$A:$X,5,0)</f>
        <v>95</v>
      </c>
      <c r="E16" s="58">
        <f>VLOOKUP($A16,'DC Dist Allocations'!$A:$X,6,0)</f>
        <v>95</v>
      </c>
      <c r="F16" s="61">
        <f>VLOOKUP($A16,'DC Dist Allocations'!$A:$X,7,0)</f>
        <v>44958</v>
      </c>
      <c r="G16" s="58">
        <f>VLOOKUP($A16,'DC Dist Allocations'!$A:$X,8,0)</f>
        <v>200</v>
      </c>
      <c r="H16" s="58">
        <f>VLOOKUP($A16,'DC Dist Allocations'!$A:$X,9,0)</f>
        <v>200</v>
      </c>
      <c r="I16" s="58">
        <f>VLOOKUP($A16,'DC Dist Allocations'!$A:$X,10,0)</f>
        <v>6</v>
      </c>
      <c r="J16" s="58">
        <f>VLOOKUP($A16,'DC Dist Allocations'!$A:$X,11,0)</f>
        <v>0</v>
      </c>
      <c r="K16" s="58">
        <f>VLOOKUP($A16,'DC Dist Allocations'!$A:$X,12,0)</f>
        <v>0</v>
      </c>
      <c r="L16" s="58">
        <f>VLOOKUP($A16,'DC Dist Allocations'!$A:$X,13,0)</f>
        <v>0</v>
      </c>
      <c r="M16" s="58">
        <f>VLOOKUP($A16,'DC Dist Allocations'!$A:$X,14,0)</f>
        <v>7</v>
      </c>
      <c r="N16" s="58">
        <f>VLOOKUP($A16,'DC Dist Allocations'!$A:$X,15,0)</f>
        <v>0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200</v>
      </c>
      <c r="U16" s="58">
        <f t="shared" si="2"/>
        <v>200</v>
      </c>
      <c r="V16" s="60">
        <f t="shared" si="3"/>
        <v>180</v>
      </c>
      <c r="W16" s="60">
        <f t="shared" si="4"/>
        <v>150</v>
      </c>
      <c r="X16" s="60">
        <f t="shared" si="5"/>
        <v>149.97999999999999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BHMN05_SEC_WALL_DCDB_C</v>
      </c>
      <c r="B17" s="58" t="str">
        <f>VLOOKUP($A17,'DC Dist Allocations'!$A:$X,2,0)</f>
        <v>BHMN05;DC SYS A</v>
      </c>
      <c r="C17" s="58" t="str">
        <f>VLOOKUP($A17,'DC Dist Allocations'!$A:$X,3,0)</f>
        <v>BHMN05</v>
      </c>
      <c r="D17" s="58">
        <f>VLOOKUP($A17,'DC Dist Allocations'!$A:$X,5,0)</f>
        <v>90</v>
      </c>
      <c r="E17" s="58">
        <f>VLOOKUP($A17,'DC Dist Allocations'!$A:$X,6,0)</f>
        <v>105</v>
      </c>
      <c r="F17" s="61">
        <f>VLOOKUP($A17,'DC Dist Allocations'!$A:$X,7,0)</f>
        <v>44958</v>
      </c>
      <c r="G17" s="58">
        <f>VLOOKUP($A17,'DC Dist Allocations'!$A:$X,8,0)</f>
        <v>200</v>
      </c>
      <c r="H17" s="58">
        <f>VLOOKUP($A17,'DC Dist Allocations'!$A:$X,9,0)</f>
        <v>200</v>
      </c>
      <c r="I17" s="58">
        <f>VLOOKUP($A17,'DC Dist Allocations'!$A:$X,10,0)</f>
        <v>6</v>
      </c>
      <c r="J17" s="58">
        <f>VLOOKUP($A17,'DC Dist Allocations'!$A:$X,11,0)</f>
        <v>1</v>
      </c>
      <c r="K17" s="58">
        <f>VLOOKUP($A17,'DC Dist Allocations'!$A:$X,12,0)</f>
        <v>0</v>
      </c>
      <c r="L17" s="58">
        <f>VLOOKUP($A17,'DC Dist Allocations'!$A:$X,13,0)</f>
        <v>1</v>
      </c>
      <c r="M17" s="58">
        <f>VLOOKUP($A17,'DC Dist Allocations'!$A:$X,14,0)</f>
        <v>2</v>
      </c>
      <c r="N17" s="58">
        <f>VLOOKUP($A17,'DC Dist Allocations'!$A:$X,15,0)</f>
        <v>0</v>
      </c>
      <c r="O17" s="58">
        <f t="shared" si="0"/>
        <v>0</v>
      </c>
      <c r="P17" s="60">
        <f>VLOOKUP(A17,'DC Dist Allocations'!$A:$BC,50,0)</f>
        <v>2</v>
      </c>
      <c r="Q17" s="60">
        <f>VLOOKUP(A17,'DC Dist Allocations'!$A:$BC,51,0)</f>
        <v>41.666666666666664</v>
      </c>
      <c r="T17" s="58">
        <f t="shared" si="1"/>
        <v>200</v>
      </c>
      <c r="U17" s="58">
        <f t="shared" si="2"/>
        <v>200</v>
      </c>
      <c r="V17" s="60">
        <f t="shared" si="3"/>
        <v>180</v>
      </c>
      <c r="W17" s="60">
        <f t="shared" si="4"/>
        <v>150</v>
      </c>
      <c r="X17" s="60">
        <f t="shared" si="5"/>
        <v>149.97999999999999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BHMN05_SEC_WALL_DCDB_D</v>
      </c>
      <c r="B18" s="58" t="str">
        <f>VLOOKUP($A18,'DC Dist Allocations'!$A:$X,2,0)</f>
        <v>BHMN05;DC SYS A</v>
      </c>
      <c r="C18" s="58" t="str">
        <f>VLOOKUP($A18,'DC Dist Allocations'!$A:$X,3,0)</f>
        <v>BHMN05</v>
      </c>
      <c r="D18" s="58">
        <f>VLOOKUP($A18,'DC Dist Allocations'!$A:$X,5,0)</f>
        <v>100</v>
      </c>
      <c r="E18" s="58">
        <f>VLOOKUP($A18,'DC Dist Allocations'!$A:$X,6,0)</f>
        <v>120</v>
      </c>
      <c r="F18" s="61">
        <f>VLOOKUP($A18,'DC Dist Allocations'!$A:$X,7,0)</f>
        <v>44958</v>
      </c>
      <c r="G18" s="58">
        <f>VLOOKUP($A18,'DC Dist Allocations'!$A:$X,8,0)</f>
        <v>200</v>
      </c>
      <c r="H18" s="58">
        <f>VLOOKUP($A18,'DC Dist Allocations'!$A:$X,9,0)</f>
        <v>200</v>
      </c>
      <c r="I18" s="58">
        <f>VLOOKUP($A18,'DC Dist Allocations'!$A:$X,10,0)</f>
        <v>0</v>
      </c>
      <c r="J18" s="58">
        <f>VLOOKUP($A18,'DC Dist Allocations'!$A:$X,11,0)</f>
        <v>1</v>
      </c>
      <c r="K18" s="58">
        <f>VLOOKUP($A18,'DC Dist Allocations'!$A:$X,12,0)</f>
        <v>0</v>
      </c>
      <c r="L18" s="58">
        <f>VLOOKUP($A18,'DC Dist Allocations'!$A:$X,13,0)</f>
        <v>0</v>
      </c>
      <c r="M18" s="58">
        <f>VLOOKUP($A18,'DC Dist Allocations'!$A:$X,14,0)</f>
        <v>9</v>
      </c>
      <c r="N18" s="58">
        <f>VLOOKUP($A18,'DC Dist Allocations'!$A:$X,15,0)</f>
        <v>1</v>
      </c>
      <c r="O18" s="58">
        <f t="shared" si="0"/>
        <v>0</v>
      </c>
      <c r="P18" s="60">
        <f>VLOOKUP(A18,'DC Dist Allocations'!$A:$BC,50,0)</f>
        <v>0</v>
      </c>
      <c r="Q18" s="60">
        <f>VLOOKUP(A18,'DC Dist Allocations'!$A:$BC,51,0)</f>
        <v>0</v>
      </c>
      <c r="T18" s="58">
        <f t="shared" si="1"/>
        <v>200</v>
      </c>
      <c r="U18" s="58">
        <f t="shared" si="2"/>
        <v>200</v>
      </c>
      <c r="V18" s="60">
        <f t="shared" si="3"/>
        <v>180</v>
      </c>
      <c r="W18" s="60">
        <f t="shared" si="4"/>
        <v>150</v>
      </c>
      <c r="X18" s="60">
        <f t="shared" si="5"/>
        <v>149.97999999999999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9" operator="between">
      <formula>10</formula>
      <formula>24.99999999999</formula>
    </cfRule>
    <cfRule type="cellIs" dxfId="161" priority="211" operator="between">
      <formula>25</formula>
      <formula>100</formula>
    </cfRule>
    <cfRule type="cellIs" dxfId="160" priority="205" operator="lessThan">
      <formula>0</formula>
    </cfRule>
    <cfRule type="cellIs" dxfId="159" priority="207" operator="between">
      <formula>0</formula>
      <formula>9.999999999999</formula>
    </cfRule>
  </conditionalFormatting>
  <conditionalFormatting sqref="D14:D47">
    <cfRule type="cellIs" dxfId="158" priority="55" operator="between">
      <formula>W14</formula>
      <formula>V14-1</formula>
    </cfRule>
    <cfRule type="cellIs" dxfId="157" priority="56" operator="between">
      <formula>0</formula>
      <formula>X14-1</formula>
    </cfRule>
    <cfRule type="cellIs" dxfId="156" priority="54" operator="between">
      <formula>U14-1</formula>
      <formula>V14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40" stopIfTrue="1" operator="between">
      <formula>W14</formula>
      <formula>V14-0.5</formula>
    </cfRule>
    <cfRule type="cellIs" dxfId="140" priority="39" stopIfTrue="1" operator="between">
      <formula>U14-1</formula>
      <formula>V14</formula>
    </cfRule>
    <cfRule type="cellIs" dxfId="139" priority="38" stopIfTrue="1" operator="greaterThan">
      <formula>T14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I129" activePane="bottomRight" state="frozen"/>
      <selection pane="bottomRight" activeCell="A123" sqref="A123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5" t="s">
        <v>301</v>
      </c>
      <c r="E1" s="345"/>
      <c r="F1" s="345"/>
      <c r="G1" s="345"/>
      <c r="H1" s="345"/>
    </row>
    <row r="2" spans="1:48">
      <c r="A2" s="27" t="s">
        <v>3</v>
      </c>
      <c r="B2" s="47"/>
      <c r="C2" s="47"/>
      <c r="D2" s="319">
        <v>441</v>
      </c>
      <c r="E2" s="273" t="s">
        <v>302</v>
      </c>
      <c r="F2" s="273"/>
      <c r="G2" s="275">
        <f>SUM(D2*54.5)/1000</f>
        <v>24.034500000000001</v>
      </c>
      <c r="H2" s="274" t="s">
        <v>303</v>
      </c>
      <c r="I2" s="270" t="s">
        <v>304</v>
      </c>
      <c r="J2" s="343" t="s">
        <v>305</v>
      </c>
      <c r="K2" s="344"/>
      <c r="L2" s="344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7" t="s">
        <v>307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6" t="s">
        <v>22</v>
      </c>
      <c r="H7" s="11" t="s">
        <v>309</v>
      </c>
      <c r="I7" s="13" t="s">
        <v>310</v>
      </c>
      <c r="J7" s="278" t="s">
        <v>311</v>
      </c>
      <c r="K7" s="13" t="s">
        <v>310</v>
      </c>
      <c r="L7" s="278" t="s">
        <v>311</v>
      </c>
      <c r="M7" s="13" t="s">
        <v>310</v>
      </c>
      <c r="N7" s="278" t="s">
        <v>311</v>
      </c>
      <c r="O7" s="13" t="s">
        <v>310</v>
      </c>
      <c r="P7" s="278" t="s">
        <v>311</v>
      </c>
      <c r="Q7" s="13" t="s">
        <v>310</v>
      </c>
      <c r="R7" s="278" t="s">
        <v>311</v>
      </c>
      <c r="S7" s="13" t="s">
        <v>310</v>
      </c>
      <c r="T7" s="278" t="s">
        <v>311</v>
      </c>
      <c r="U7" s="13" t="s">
        <v>310</v>
      </c>
      <c r="V7" s="278" t="s">
        <v>311</v>
      </c>
      <c r="W7" s="13" t="s">
        <v>310</v>
      </c>
      <c r="X7" s="278" t="s">
        <v>311</v>
      </c>
      <c r="Y7" s="13" t="s">
        <v>310</v>
      </c>
      <c r="Z7" s="278" t="s">
        <v>311</v>
      </c>
      <c r="AA7" s="13" t="s">
        <v>310</v>
      </c>
      <c r="AB7" s="278" t="s">
        <v>311</v>
      </c>
      <c r="AC7" s="13" t="s">
        <v>310</v>
      </c>
      <c r="AD7" s="278" t="s">
        <v>311</v>
      </c>
      <c r="AE7" s="13" t="s">
        <v>310</v>
      </c>
      <c r="AF7" s="278" t="s">
        <v>311</v>
      </c>
      <c r="AG7" s="13" t="s">
        <v>310</v>
      </c>
      <c r="AH7" s="278" t="s">
        <v>311</v>
      </c>
      <c r="AI7" s="13" t="s">
        <v>310</v>
      </c>
      <c r="AJ7" s="278" t="s">
        <v>311</v>
      </c>
      <c r="AK7" s="13" t="s">
        <v>310</v>
      </c>
      <c r="AL7" s="278" t="s">
        <v>311</v>
      </c>
      <c r="AM7" s="13" t="s">
        <v>310</v>
      </c>
      <c r="AN7" s="278" t="s">
        <v>311</v>
      </c>
      <c r="AO7" s="13" t="s">
        <v>310</v>
      </c>
      <c r="AP7" s="278" t="s">
        <v>311</v>
      </c>
      <c r="AQ7" s="13" t="s">
        <v>310</v>
      </c>
      <c r="AR7" s="278" t="s">
        <v>311</v>
      </c>
      <c r="AS7" s="13" t="s">
        <v>310</v>
      </c>
      <c r="AT7" s="278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79">
        <v>0.5</v>
      </c>
      <c r="K9" s="87" t="s">
        <v>314</v>
      </c>
      <c r="L9" s="281">
        <v>2</v>
      </c>
      <c r="M9" s="87" t="s">
        <v>315</v>
      </c>
      <c r="N9" s="281">
        <v>2</v>
      </c>
      <c r="O9" s="87" t="s">
        <v>316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0">
        <v>1</v>
      </c>
      <c r="K10" s="87" t="s">
        <v>318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79">
        <v>4</v>
      </c>
      <c r="K11" s="87" t="s">
        <v>320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6.85</v>
      </c>
      <c r="H12" s="136">
        <f t="shared" si="1"/>
        <v>125.68807339449542</v>
      </c>
      <c r="I12" s="81" t="s">
        <v>322</v>
      </c>
      <c r="J12" s="279">
        <v>1.3</v>
      </c>
      <c r="K12" s="81" t="s">
        <v>323</v>
      </c>
      <c r="L12" s="279">
        <v>2.95</v>
      </c>
      <c r="M12" s="87" t="s">
        <v>324</v>
      </c>
      <c r="N12" s="281">
        <v>0.8</v>
      </c>
      <c r="O12" s="87" t="s">
        <v>325</v>
      </c>
      <c r="P12" s="281">
        <v>0.8</v>
      </c>
      <c r="Q12" s="101" t="s">
        <v>326</v>
      </c>
      <c r="R12" s="289">
        <v>0.5</v>
      </c>
      <c r="S12" s="83" t="s">
        <v>327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5.55</v>
      </c>
      <c r="H13" s="136">
        <f t="shared" ref="H13" si="3">SUM(G13*1000)/54.5</f>
        <v>101.8348623853211</v>
      </c>
      <c r="I13" s="81" t="s">
        <v>322</v>
      </c>
      <c r="J13" s="279">
        <v>0.5</v>
      </c>
      <c r="K13" s="81" t="s">
        <v>323</v>
      </c>
      <c r="L13" s="279">
        <v>2.25</v>
      </c>
      <c r="M13" s="87" t="s">
        <v>324</v>
      </c>
      <c r="N13" s="281">
        <v>0.8</v>
      </c>
      <c r="O13" s="87" t="s">
        <v>325</v>
      </c>
      <c r="P13" s="281">
        <v>1</v>
      </c>
      <c r="Q13" s="101" t="s">
        <v>326</v>
      </c>
      <c r="R13" s="289">
        <v>0.5</v>
      </c>
      <c r="S13" s="83" t="s">
        <v>327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79">
        <v>2.4</v>
      </c>
      <c r="K18" s="81" t="s">
        <v>331</v>
      </c>
      <c r="L18" s="279">
        <v>0.5</v>
      </c>
      <c r="M18" s="87" t="s">
        <v>332</v>
      </c>
      <c r="N18" s="281">
        <v>2</v>
      </c>
      <c r="O18" s="87" t="s">
        <v>333</v>
      </c>
      <c r="P18" s="281">
        <v>1</v>
      </c>
      <c r="Q18" s="87" t="s">
        <v>334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5.5</v>
      </c>
      <c r="H21" s="136">
        <f t="shared" si="1"/>
        <v>100.91743119266054</v>
      </c>
      <c r="I21" s="87" t="s">
        <v>336</v>
      </c>
      <c r="J21" s="281">
        <v>2</v>
      </c>
      <c r="K21" s="85" t="s">
        <v>337</v>
      </c>
      <c r="L21" s="280">
        <v>2</v>
      </c>
      <c r="M21" s="295" t="s">
        <v>338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79">
        <v>2</v>
      </c>
      <c r="K22" s="81" t="s">
        <v>340</v>
      </c>
      <c r="L22" s="279">
        <v>0.3</v>
      </c>
      <c r="M22" s="81" t="s">
        <v>341</v>
      </c>
      <c r="N22" s="279">
        <v>1.2</v>
      </c>
      <c r="O22" s="81" t="s">
        <v>342</v>
      </c>
      <c r="P22" s="279">
        <v>1.45</v>
      </c>
      <c r="Q22" s="81" t="s">
        <v>343</v>
      </c>
      <c r="R22" s="279">
        <v>1.1499999999999999</v>
      </c>
      <c r="S22" s="81" t="s">
        <v>344</v>
      </c>
      <c r="T22" s="279">
        <v>1.75</v>
      </c>
      <c r="U22" s="87" t="s">
        <v>345</v>
      </c>
      <c r="V22" s="281">
        <v>1</v>
      </c>
      <c r="W22" s="87" t="s">
        <v>346</v>
      </c>
      <c r="X22" s="281">
        <v>2.2000000000000002</v>
      </c>
      <c r="Y22" s="85" t="s">
        <v>347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11.65</v>
      </c>
      <c r="H23" s="136">
        <f t="shared" si="1"/>
        <v>213.76146788990826</v>
      </c>
      <c r="I23" s="81" t="s">
        <v>339</v>
      </c>
      <c r="J23" s="279">
        <v>2</v>
      </c>
      <c r="K23" s="81" t="s">
        <v>340</v>
      </c>
      <c r="L23" s="279">
        <v>0.4</v>
      </c>
      <c r="M23" s="81" t="s">
        <v>341</v>
      </c>
      <c r="N23" s="279">
        <v>0.4</v>
      </c>
      <c r="O23" s="81" t="s">
        <v>342</v>
      </c>
      <c r="P23" s="279">
        <v>1.45</v>
      </c>
      <c r="Q23" s="81" t="s">
        <v>343</v>
      </c>
      <c r="R23" s="279">
        <v>0.95</v>
      </c>
      <c r="S23" s="81" t="s">
        <v>344</v>
      </c>
      <c r="T23" s="279">
        <v>1.75</v>
      </c>
      <c r="U23" s="87" t="s">
        <v>345</v>
      </c>
      <c r="V23" s="281">
        <v>1</v>
      </c>
      <c r="W23" s="87" t="s">
        <v>346</v>
      </c>
      <c r="X23" s="281">
        <v>2.2999999999999998</v>
      </c>
      <c r="Y23" s="85" t="s">
        <v>348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18.399999999999999</v>
      </c>
      <c r="H25" s="136">
        <f t="shared" si="1"/>
        <v>337.61467889908255</v>
      </c>
      <c r="I25" s="81" t="s">
        <v>349</v>
      </c>
      <c r="J25" s="279">
        <v>2.4</v>
      </c>
      <c r="K25" s="260" t="s">
        <v>350</v>
      </c>
      <c r="L25" s="281">
        <v>1</v>
      </c>
      <c r="M25" s="85" t="s">
        <v>351</v>
      </c>
      <c r="N25" s="280">
        <v>5</v>
      </c>
      <c r="O25" s="322" t="s">
        <v>352</v>
      </c>
      <c r="P25" s="323">
        <v>5</v>
      </c>
      <c r="Q25" s="322" t="s">
        <v>353</v>
      </c>
      <c r="R25" s="323">
        <v>5</v>
      </c>
      <c r="S25" s="81"/>
      <c r="T25" s="279"/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14.2</v>
      </c>
      <c r="H26" s="136">
        <f t="shared" si="1"/>
        <v>260.55045871559633</v>
      </c>
      <c r="I26" s="81" t="s">
        <v>354</v>
      </c>
      <c r="J26" s="279">
        <v>1.7</v>
      </c>
      <c r="K26" s="81" t="s">
        <v>355</v>
      </c>
      <c r="L26" s="279">
        <v>2</v>
      </c>
      <c r="M26" s="81" t="s">
        <v>356</v>
      </c>
      <c r="N26" s="279">
        <v>1</v>
      </c>
      <c r="O26" s="87" t="s">
        <v>357</v>
      </c>
      <c r="P26" s="281">
        <v>1</v>
      </c>
      <c r="Q26" s="85" t="s">
        <v>358</v>
      </c>
      <c r="R26" s="280">
        <v>2.5</v>
      </c>
      <c r="S26" s="85" t="s">
        <v>359</v>
      </c>
      <c r="T26" s="280">
        <v>2.5</v>
      </c>
      <c r="U26" s="85" t="s">
        <v>360</v>
      </c>
      <c r="V26" s="280">
        <v>3.5</v>
      </c>
      <c r="W26" s="81"/>
      <c r="X26" s="279"/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361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361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7.85</v>
      </c>
      <c r="H30" s="136">
        <f t="shared" si="1"/>
        <v>144.03669724770643</v>
      </c>
      <c r="I30" s="85" t="s">
        <v>362</v>
      </c>
      <c r="J30" s="280">
        <v>0.3</v>
      </c>
      <c r="K30" s="81" t="s">
        <v>363</v>
      </c>
      <c r="L30" s="279">
        <v>1.2</v>
      </c>
      <c r="M30" s="81" t="s">
        <v>364</v>
      </c>
      <c r="N30" s="279">
        <v>0.9</v>
      </c>
      <c r="O30" s="81" t="s">
        <v>365</v>
      </c>
      <c r="P30" s="279">
        <v>1.55</v>
      </c>
      <c r="Q30" s="81" t="s">
        <v>366</v>
      </c>
      <c r="R30" s="279">
        <v>0.8</v>
      </c>
      <c r="S30" s="81" t="s">
        <v>367</v>
      </c>
      <c r="T30" s="279">
        <v>1.3</v>
      </c>
      <c r="U30" s="81" t="s">
        <v>368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8.2799999999999994</v>
      </c>
      <c r="H31" s="136">
        <f t="shared" si="1"/>
        <v>151.92660550458714</v>
      </c>
      <c r="I31" s="85" t="s">
        <v>362</v>
      </c>
      <c r="J31" s="280">
        <v>0.5</v>
      </c>
      <c r="K31" s="81" t="s">
        <v>363</v>
      </c>
      <c r="L31" s="279">
        <v>1.4</v>
      </c>
      <c r="M31" s="81" t="s">
        <v>364</v>
      </c>
      <c r="N31" s="279">
        <v>0.93</v>
      </c>
      <c r="O31" s="81" t="s">
        <v>365</v>
      </c>
      <c r="P31" s="279">
        <v>1.55</v>
      </c>
      <c r="Q31" s="81" t="s">
        <v>366</v>
      </c>
      <c r="R31" s="279">
        <v>0.8</v>
      </c>
      <c r="S31" s="81" t="s">
        <v>367</v>
      </c>
      <c r="T31" s="279">
        <v>1.3</v>
      </c>
      <c r="U31" s="81" t="s">
        <v>368</v>
      </c>
      <c r="V31" s="279">
        <v>1.8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369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369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370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336</v>
      </c>
      <c r="J36" s="279">
        <v>1</v>
      </c>
      <c r="K36" s="87" t="s">
        <v>371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372</v>
      </c>
      <c r="J37" s="282">
        <v>19</v>
      </c>
      <c r="K37" s="89" t="s">
        <v>373</v>
      </c>
      <c r="L37" s="282">
        <v>2</v>
      </c>
      <c r="M37" s="89" t="s">
        <v>374</v>
      </c>
      <c r="N37" s="282">
        <v>2.9</v>
      </c>
      <c r="O37" s="89" t="s">
        <v>375</v>
      </c>
      <c r="P37" s="282">
        <v>3.9</v>
      </c>
      <c r="Q37" s="83" t="s">
        <v>376</v>
      </c>
      <c r="R37" s="284">
        <v>5</v>
      </c>
      <c r="S37" s="83" t="s">
        <v>377</v>
      </c>
      <c r="T37" s="284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372</v>
      </c>
      <c r="J38" s="282">
        <v>19</v>
      </c>
      <c r="K38" s="83" t="s">
        <v>378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62.650000000000013</v>
      </c>
      <c r="H39" s="136">
        <f>SUM(G39*1000)/54.5</f>
        <v>1149.54128440367</v>
      </c>
      <c r="I39" s="81" t="s">
        <v>379</v>
      </c>
      <c r="J39" s="279">
        <v>17.100000000000001</v>
      </c>
      <c r="K39" s="81" t="s">
        <v>380</v>
      </c>
      <c r="L39" s="279">
        <v>26.75</v>
      </c>
      <c r="M39" s="81" t="s">
        <v>381</v>
      </c>
      <c r="N39" s="279">
        <v>1</v>
      </c>
      <c r="O39" s="81" t="s">
        <v>382</v>
      </c>
      <c r="P39" s="279">
        <v>0.4</v>
      </c>
      <c r="Q39" s="87" t="s">
        <v>383</v>
      </c>
      <c r="R39" s="281">
        <v>0.35</v>
      </c>
      <c r="S39" s="87" t="s">
        <v>384</v>
      </c>
      <c r="T39" s="281">
        <v>0.5</v>
      </c>
      <c r="U39" s="81" t="s">
        <v>385</v>
      </c>
      <c r="V39" s="279">
        <v>0.45</v>
      </c>
      <c r="W39" s="81" t="s">
        <v>386</v>
      </c>
      <c r="X39" s="279">
        <v>0.22500000000000001</v>
      </c>
      <c r="Y39" s="81" t="s">
        <v>387</v>
      </c>
      <c r="Z39" s="279">
        <v>0.22500000000000001</v>
      </c>
      <c r="AA39" s="89" t="s">
        <v>388</v>
      </c>
      <c r="AB39" s="282">
        <v>0.7</v>
      </c>
      <c r="AC39" s="89" t="s">
        <v>389</v>
      </c>
      <c r="AD39" s="282">
        <v>0.5</v>
      </c>
      <c r="AE39" s="81" t="s">
        <v>390</v>
      </c>
      <c r="AF39" s="279">
        <v>0.95</v>
      </c>
      <c r="AG39" s="253" t="s">
        <v>391</v>
      </c>
      <c r="AH39" s="293">
        <v>1</v>
      </c>
      <c r="AI39" s="111" t="s">
        <v>392</v>
      </c>
      <c r="AJ39" s="292">
        <v>1</v>
      </c>
      <c r="AK39" s="111" t="s">
        <v>393</v>
      </c>
      <c r="AL39" s="292">
        <v>1</v>
      </c>
      <c r="AM39" s="253" t="s">
        <v>394</v>
      </c>
      <c r="AN39" s="300">
        <v>6.05</v>
      </c>
      <c r="AO39" s="83" t="s">
        <v>395</v>
      </c>
      <c r="AP39" s="284">
        <v>2</v>
      </c>
      <c r="AQ39" s="83" t="s">
        <v>396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62.650000000000013</v>
      </c>
      <c r="H40" s="136">
        <f>SUM(G40*1000)/54.5</f>
        <v>1149.54128440367</v>
      </c>
      <c r="I40" s="81" t="s">
        <v>379</v>
      </c>
      <c r="J40" s="279">
        <v>17.100000000000001</v>
      </c>
      <c r="K40" s="81" t="s">
        <v>380</v>
      </c>
      <c r="L40" s="279">
        <v>26.75</v>
      </c>
      <c r="M40" s="81" t="s">
        <v>381</v>
      </c>
      <c r="N40" s="279">
        <v>1</v>
      </c>
      <c r="O40" s="81" t="s">
        <v>382</v>
      </c>
      <c r="P40" s="279">
        <v>0.4</v>
      </c>
      <c r="Q40" s="87" t="s">
        <v>383</v>
      </c>
      <c r="R40" s="281">
        <v>0.35</v>
      </c>
      <c r="S40" s="87" t="s">
        <v>384</v>
      </c>
      <c r="T40" s="281">
        <v>0.5</v>
      </c>
      <c r="U40" s="81" t="s">
        <v>385</v>
      </c>
      <c r="V40" s="279">
        <v>0.45</v>
      </c>
      <c r="W40" s="81" t="s">
        <v>386</v>
      </c>
      <c r="X40" s="279">
        <v>0.22500000000000001</v>
      </c>
      <c r="Y40" s="81" t="s">
        <v>387</v>
      </c>
      <c r="Z40" s="279">
        <v>0.22500000000000001</v>
      </c>
      <c r="AA40" s="89" t="s">
        <v>388</v>
      </c>
      <c r="AB40" s="282">
        <v>0.7</v>
      </c>
      <c r="AC40" s="89" t="s">
        <v>389</v>
      </c>
      <c r="AD40" s="282">
        <v>0.5</v>
      </c>
      <c r="AE40" s="81" t="s">
        <v>390</v>
      </c>
      <c r="AF40" s="279">
        <v>0.95</v>
      </c>
      <c r="AG40" s="253" t="s">
        <v>391</v>
      </c>
      <c r="AH40" s="293">
        <v>1</v>
      </c>
      <c r="AI40" s="111" t="s">
        <v>392</v>
      </c>
      <c r="AJ40" s="292">
        <v>1</v>
      </c>
      <c r="AK40" s="111" t="s">
        <v>393</v>
      </c>
      <c r="AL40" s="292">
        <v>1</v>
      </c>
      <c r="AM40" s="253" t="s">
        <v>394</v>
      </c>
      <c r="AN40" s="300">
        <v>6.05</v>
      </c>
      <c r="AO40" s="83" t="s">
        <v>395</v>
      </c>
      <c r="AP40" s="284">
        <v>2</v>
      </c>
      <c r="AQ40" s="83" t="s">
        <v>396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397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398</v>
      </c>
      <c r="J44" s="279">
        <v>1</v>
      </c>
      <c r="K44" s="320" t="s">
        <v>399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400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401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4</v>
      </c>
      <c r="H47" s="136">
        <f t="shared" si="1"/>
        <v>73.394495412844037</v>
      </c>
      <c r="I47" s="260" t="s">
        <v>402</v>
      </c>
      <c r="J47" s="283">
        <v>3</v>
      </c>
      <c r="K47" s="87" t="s">
        <v>403</v>
      </c>
      <c r="L47" s="281">
        <v>1</v>
      </c>
      <c r="M47" s="81"/>
      <c r="N47" s="279"/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404</v>
      </c>
      <c r="J48" s="279">
        <v>0.5</v>
      </c>
      <c r="K48" s="87" t="s">
        <v>405</v>
      </c>
      <c r="L48" s="281">
        <v>0.2</v>
      </c>
      <c r="M48" s="87" t="s">
        <v>406</v>
      </c>
      <c r="N48" s="281">
        <v>1.5</v>
      </c>
      <c r="O48" s="87" t="s">
        <v>407</v>
      </c>
      <c r="P48" s="281">
        <v>1.4</v>
      </c>
      <c r="Q48" s="87" t="s">
        <v>408</v>
      </c>
      <c r="R48" s="281">
        <v>1.3</v>
      </c>
      <c r="S48" s="87" t="s">
        <v>409</v>
      </c>
      <c r="T48" s="281">
        <v>1.4</v>
      </c>
      <c r="U48" s="87" t="s">
        <v>410</v>
      </c>
      <c r="V48" s="281">
        <v>0.7</v>
      </c>
      <c r="W48" s="89" t="s">
        <v>411</v>
      </c>
      <c r="X48" s="282">
        <v>1</v>
      </c>
      <c r="Y48" s="89" t="s">
        <v>412</v>
      </c>
      <c r="Z48" s="282">
        <v>1.1000000000000001</v>
      </c>
      <c r="AA48" s="89" t="s">
        <v>413</v>
      </c>
      <c r="AB48" s="282">
        <v>2</v>
      </c>
      <c r="AC48" s="81" t="s">
        <v>414</v>
      </c>
      <c r="AD48" s="279">
        <v>2.2000000000000002</v>
      </c>
      <c r="AE48" s="87" t="s">
        <v>415</v>
      </c>
      <c r="AF48" s="281">
        <v>4</v>
      </c>
      <c r="AG48" s="263" t="s">
        <v>416</v>
      </c>
      <c r="AH48" s="283">
        <v>1.1000000000000001</v>
      </c>
      <c r="AI48" s="89" t="s">
        <v>417</v>
      </c>
      <c r="AJ48" s="282">
        <v>2</v>
      </c>
      <c r="AK48" s="81" t="s">
        <v>418</v>
      </c>
      <c r="AL48" s="279">
        <v>0.4</v>
      </c>
      <c r="AM48" s="81"/>
      <c r="AN48" s="279"/>
      <c r="AO48" s="81"/>
      <c r="AP48" s="279"/>
      <c r="AQ48" s="81"/>
      <c r="AR48" s="279"/>
      <c r="AS48" s="81"/>
      <c r="AT48" s="279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404</v>
      </c>
      <c r="J49" s="279">
        <v>1.7</v>
      </c>
      <c r="K49" s="87" t="s">
        <v>405</v>
      </c>
      <c r="L49" s="281">
        <v>0.5</v>
      </c>
      <c r="M49" s="87" t="s">
        <v>406</v>
      </c>
      <c r="N49" s="281">
        <v>1.5</v>
      </c>
      <c r="O49" s="87" t="s">
        <v>407</v>
      </c>
      <c r="P49" s="281">
        <v>1.3</v>
      </c>
      <c r="Q49" s="87" t="s">
        <v>408</v>
      </c>
      <c r="R49" s="281">
        <v>1.3</v>
      </c>
      <c r="S49" s="87" t="s">
        <v>409</v>
      </c>
      <c r="T49" s="281">
        <v>1.5</v>
      </c>
      <c r="U49" s="87" t="s">
        <v>410</v>
      </c>
      <c r="V49" s="281">
        <v>0.7</v>
      </c>
      <c r="W49" s="89" t="s">
        <v>411</v>
      </c>
      <c r="X49" s="282">
        <v>0.7</v>
      </c>
      <c r="Y49" s="89" t="s">
        <v>412</v>
      </c>
      <c r="Z49" s="282">
        <v>1.1000000000000001</v>
      </c>
      <c r="AA49" s="89" t="s">
        <v>413</v>
      </c>
      <c r="AB49" s="282">
        <v>2</v>
      </c>
      <c r="AC49" s="81" t="s">
        <v>414</v>
      </c>
      <c r="AD49" s="279">
        <v>2.2000000000000002</v>
      </c>
      <c r="AE49" s="87" t="s">
        <v>415</v>
      </c>
      <c r="AF49" s="281">
        <v>4</v>
      </c>
      <c r="AG49" s="263" t="s">
        <v>416</v>
      </c>
      <c r="AH49" s="283">
        <v>1.2</v>
      </c>
      <c r="AI49" s="89" t="s">
        <v>417</v>
      </c>
      <c r="AJ49" s="282">
        <v>2</v>
      </c>
      <c r="AK49" s="81" t="s">
        <v>418</v>
      </c>
      <c r="AL49" s="279">
        <v>0.4</v>
      </c>
      <c r="AM49" s="81" t="s">
        <v>419</v>
      </c>
      <c r="AN49" s="279">
        <v>1.2</v>
      </c>
      <c r="AO49" s="81"/>
      <c r="AP49" s="279"/>
      <c r="AQ49" s="81"/>
      <c r="AR49" s="279"/>
      <c r="AS49" s="81"/>
      <c r="AT49" s="279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420</v>
      </c>
      <c r="J50" s="281">
        <v>0.8</v>
      </c>
      <c r="K50" s="87" t="s">
        <v>421</v>
      </c>
      <c r="L50" s="281">
        <v>1</v>
      </c>
      <c r="M50" s="87" t="s">
        <v>422</v>
      </c>
      <c r="N50" s="281">
        <v>1.8</v>
      </c>
      <c r="O50" s="81"/>
      <c r="P50" s="279"/>
      <c r="Q50" s="81"/>
      <c r="R50" s="279"/>
      <c r="S50" s="81"/>
      <c r="T50" s="279"/>
      <c r="U50" s="81"/>
      <c r="V50" s="279"/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5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16.599999999999998</v>
      </c>
      <c r="H51" s="136">
        <f t="shared" si="1"/>
        <v>304.58715596330268</v>
      </c>
      <c r="I51" s="85" t="s">
        <v>423</v>
      </c>
      <c r="J51" s="280">
        <v>2</v>
      </c>
      <c r="K51" s="83" t="s">
        <v>424</v>
      </c>
      <c r="L51" s="284">
        <v>2</v>
      </c>
      <c r="M51" s="83" t="s">
        <v>425</v>
      </c>
      <c r="N51" s="284">
        <v>8.6999999999999993</v>
      </c>
      <c r="O51" s="83" t="s">
        <v>419</v>
      </c>
      <c r="P51" s="284">
        <v>0.6</v>
      </c>
      <c r="Q51" s="83" t="s">
        <v>426</v>
      </c>
      <c r="R51" s="284">
        <v>1.1000000000000001</v>
      </c>
      <c r="S51" s="83" t="s">
        <v>427</v>
      </c>
      <c r="T51" s="284">
        <v>1.1000000000000001</v>
      </c>
      <c r="U51" s="83" t="s">
        <v>428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5" t="s">
        <v>68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14.599999999999998</v>
      </c>
      <c r="H52" s="136">
        <f t="shared" si="1"/>
        <v>267.88990825688069</v>
      </c>
      <c r="I52" s="85"/>
      <c r="J52" s="280"/>
      <c r="K52" s="83" t="s">
        <v>424</v>
      </c>
      <c r="L52" s="284">
        <v>2</v>
      </c>
      <c r="M52" s="83" t="s">
        <v>425</v>
      </c>
      <c r="N52" s="284">
        <v>8.6999999999999993</v>
      </c>
      <c r="O52" s="83" t="s">
        <v>419</v>
      </c>
      <c r="P52" s="284">
        <v>0.6</v>
      </c>
      <c r="Q52" s="83" t="s">
        <v>426</v>
      </c>
      <c r="R52" s="284">
        <v>1.1000000000000001</v>
      </c>
      <c r="S52" s="83" t="s">
        <v>427</v>
      </c>
      <c r="T52" s="284">
        <v>1.1000000000000001</v>
      </c>
      <c r="U52" s="83" t="s">
        <v>428</v>
      </c>
      <c r="V52" s="284">
        <v>1.1000000000000001</v>
      </c>
      <c r="W52" s="81"/>
      <c r="X52" s="279"/>
      <c r="Y52" s="81"/>
      <c r="Z52" s="279"/>
      <c r="AA52" s="81"/>
      <c r="AB52" s="279"/>
      <c r="AC52" s="81"/>
      <c r="AD52" s="279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4"/>
      <c r="K53" s="83"/>
      <c r="L53" s="284"/>
      <c r="M53" s="83"/>
      <c r="N53" s="284"/>
      <c r="O53" s="81"/>
      <c r="P53" s="279"/>
      <c r="Q53" s="81"/>
      <c r="R53" s="279"/>
      <c r="S53" s="83"/>
      <c r="T53" s="284"/>
      <c r="U53" s="83"/>
      <c r="V53" s="284"/>
      <c r="W53" s="83"/>
      <c r="X53" s="284"/>
      <c r="Y53" s="81"/>
      <c r="Z53" s="279"/>
      <c r="AA53" s="81"/>
      <c r="AB53" s="279"/>
      <c r="AC53" s="85"/>
      <c r="AD53" s="280"/>
      <c r="AE53" s="81"/>
      <c r="AF53" s="279"/>
      <c r="AG53" s="81"/>
      <c r="AH53" s="279"/>
      <c r="AI53" s="81"/>
      <c r="AJ53" s="279"/>
      <c r="AK53" s="81"/>
      <c r="AL53" s="279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429</v>
      </c>
      <c r="J54" s="279">
        <v>2.5</v>
      </c>
      <c r="K54" s="81" t="s">
        <v>430</v>
      </c>
      <c r="L54" s="279">
        <v>1</v>
      </c>
      <c r="M54" s="81" t="s">
        <v>431</v>
      </c>
      <c r="N54" s="279">
        <v>1.8</v>
      </c>
      <c r="O54" s="81" t="s">
        <v>432</v>
      </c>
      <c r="P54" s="279">
        <v>1.3</v>
      </c>
      <c r="Q54" s="81" t="s">
        <v>433</v>
      </c>
      <c r="R54" s="279">
        <v>10.9</v>
      </c>
      <c r="S54" s="81" t="s">
        <v>434</v>
      </c>
      <c r="T54" s="279">
        <v>0.5</v>
      </c>
      <c r="U54" s="89" t="s">
        <v>435</v>
      </c>
      <c r="V54" s="282">
        <v>1.8</v>
      </c>
      <c r="W54" s="89" t="s">
        <v>436</v>
      </c>
      <c r="X54" s="282">
        <v>2.65</v>
      </c>
      <c r="Y54" s="89"/>
      <c r="Z54" s="282"/>
      <c r="AA54" s="262" t="s">
        <v>437</v>
      </c>
      <c r="AB54" s="281">
        <v>2</v>
      </c>
      <c r="AC54" s="85" t="s">
        <v>438</v>
      </c>
      <c r="AD54" s="280">
        <v>2.4</v>
      </c>
      <c r="AE54" s="87" t="s">
        <v>439</v>
      </c>
      <c r="AF54" s="281">
        <v>2.2000000000000002</v>
      </c>
      <c r="AG54" s="87" t="s">
        <v>440</v>
      </c>
      <c r="AH54" s="281">
        <v>0.5</v>
      </c>
      <c r="AI54" s="87" t="s">
        <v>441</v>
      </c>
      <c r="AJ54" s="279">
        <v>2.9</v>
      </c>
      <c r="AK54" s="87"/>
      <c r="AL54" s="281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442</v>
      </c>
      <c r="J55" s="281">
        <v>2</v>
      </c>
      <c r="K55" s="81" t="s">
        <v>443</v>
      </c>
      <c r="L55" s="279">
        <v>0.25</v>
      </c>
      <c r="M55" s="81"/>
      <c r="N55" s="279"/>
      <c r="O55" s="81"/>
      <c r="P55" s="279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444</v>
      </c>
      <c r="J56" s="281">
        <v>2</v>
      </c>
      <c r="K56" s="264" t="s">
        <v>445</v>
      </c>
      <c r="L56" s="288">
        <v>3</v>
      </c>
      <c r="M56" s="111"/>
      <c r="N56" s="292"/>
      <c r="O56" s="83"/>
      <c r="P56" s="284"/>
      <c r="Q56" s="81"/>
      <c r="R56" s="279"/>
      <c r="S56" s="81"/>
      <c r="T56" s="279"/>
      <c r="U56" s="81"/>
      <c r="V56" s="279"/>
      <c r="W56" s="81"/>
      <c r="X56" s="279"/>
      <c r="Y56" s="81"/>
      <c r="Z56" s="279"/>
      <c r="AA56" s="81"/>
      <c r="AB56" s="279"/>
      <c r="AC56" s="81"/>
      <c r="AD56" s="279"/>
      <c r="AE56" s="81"/>
      <c r="AF56" s="279"/>
      <c r="AG56" s="81"/>
      <c r="AH56" s="279"/>
      <c r="AI56" s="81"/>
      <c r="AJ56" s="279"/>
      <c r="AK56" s="81"/>
      <c r="AL56" s="279"/>
      <c r="AM56" s="81"/>
      <c r="AN56" s="279"/>
      <c r="AO56" s="81"/>
      <c r="AP56" s="279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446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447</v>
      </c>
      <c r="J57" s="279">
        <v>1.8</v>
      </c>
      <c r="K57" s="81" t="s">
        <v>448</v>
      </c>
      <c r="L57" s="279">
        <v>1.2</v>
      </c>
      <c r="M57" s="81" t="s">
        <v>449</v>
      </c>
      <c r="N57" s="279">
        <v>4.7</v>
      </c>
      <c r="O57" s="81" t="s">
        <v>450</v>
      </c>
      <c r="P57" s="279">
        <v>1.9</v>
      </c>
      <c r="Q57" s="81" t="s">
        <v>451</v>
      </c>
      <c r="R57" s="279">
        <v>1.8</v>
      </c>
      <c r="S57" s="81" t="s">
        <v>452</v>
      </c>
      <c r="T57" s="279">
        <v>11.7</v>
      </c>
      <c r="U57" s="89" t="s">
        <v>453</v>
      </c>
      <c r="V57" s="282">
        <v>1.9</v>
      </c>
      <c r="W57" s="89" t="s">
        <v>454</v>
      </c>
      <c r="X57" s="282">
        <v>2.2999999999999998</v>
      </c>
      <c r="Y57" s="89" t="s">
        <v>455</v>
      </c>
      <c r="Z57" s="282">
        <v>1.2</v>
      </c>
      <c r="AA57" s="87" t="s">
        <v>456</v>
      </c>
      <c r="AB57" s="281">
        <v>0.5</v>
      </c>
      <c r="AC57" s="263" t="s">
        <v>457</v>
      </c>
      <c r="AD57" s="283">
        <v>6</v>
      </c>
      <c r="AE57" s="260" t="s">
        <v>458</v>
      </c>
      <c r="AF57" s="283">
        <v>1.7</v>
      </c>
      <c r="AG57" s="105" t="s">
        <v>459</v>
      </c>
      <c r="AH57" s="294">
        <v>2.9</v>
      </c>
      <c r="AI57" s="105" t="s">
        <v>460</v>
      </c>
      <c r="AJ57" s="294">
        <v>0.93</v>
      </c>
      <c r="AK57" s="83" t="s">
        <v>461</v>
      </c>
      <c r="AL57" s="284">
        <v>2</v>
      </c>
      <c r="AM57" s="83" t="s">
        <v>462</v>
      </c>
      <c r="AN57" s="284">
        <v>5.6</v>
      </c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2.7</v>
      </c>
      <c r="H58" s="136">
        <f t="shared" si="1"/>
        <v>49.541284403669728</v>
      </c>
      <c r="I58" s="81" t="s">
        <v>463</v>
      </c>
      <c r="J58" s="279">
        <v>1.7</v>
      </c>
      <c r="K58" s="263" t="s">
        <v>464</v>
      </c>
      <c r="L58" s="283">
        <v>1</v>
      </c>
      <c r="M58" s="81"/>
      <c r="N58" s="279"/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79"/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79"/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465</v>
      </c>
      <c r="J62" s="283">
        <v>1</v>
      </c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4"/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466</v>
      </c>
      <c r="J64" s="283">
        <v>1</v>
      </c>
      <c r="K64" s="81"/>
      <c r="L64" s="279"/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467</v>
      </c>
      <c r="J65" s="279">
        <v>0.5</v>
      </c>
      <c r="K65" s="81" t="s">
        <v>468</v>
      </c>
      <c r="L65" s="279">
        <v>2.5</v>
      </c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79"/>
      <c r="K66" s="81"/>
      <c r="L66" s="279"/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469</v>
      </c>
      <c r="J67" s="281">
        <v>0.5</v>
      </c>
      <c r="K67" s="87" t="s">
        <v>470</v>
      </c>
      <c r="L67" s="281">
        <v>1</v>
      </c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79"/>
      <c r="K69" s="81"/>
      <c r="L69" s="279"/>
      <c r="M69" s="81"/>
      <c r="N69" s="279"/>
      <c r="O69" s="81"/>
      <c r="P69" s="279"/>
      <c r="Q69" s="81"/>
      <c r="R69" s="279"/>
      <c r="S69" s="81"/>
      <c r="T69" s="279"/>
      <c r="U69" s="81"/>
      <c r="V69" s="279"/>
      <c r="W69" s="81"/>
      <c r="X69" s="279"/>
      <c r="Y69" s="81"/>
      <c r="Z69" s="279"/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15.5</v>
      </c>
      <c r="H70" s="136">
        <f t="shared" si="1"/>
        <v>284.40366972477062</v>
      </c>
      <c r="I70" s="81" t="s">
        <v>471</v>
      </c>
      <c r="J70" s="279">
        <v>1</v>
      </c>
      <c r="K70" s="81" t="s">
        <v>472</v>
      </c>
      <c r="L70" s="279">
        <v>1</v>
      </c>
      <c r="M70" s="260" t="s">
        <v>473</v>
      </c>
      <c r="N70" s="283">
        <v>2</v>
      </c>
      <c r="O70" s="263" t="s">
        <v>474</v>
      </c>
      <c r="P70" s="283">
        <v>2</v>
      </c>
      <c r="Q70" s="260" t="s">
        <v>475</v>
      </c>
      <c r="R70" s="283">
        <v>2</v>
      </c>
      <c r="S70" s="263" t="s">
        <v>476</v>
      </c>
      <c r="T70" s="283">
        <v>2</v>
      </c>
      <c r="U70" s="92" t="s">
        <v>477</v>
      </c>
      <c r="V70" s="80">
        <v>1.1000000000000001</v>
      </c>
      <c r="W70" s="99" t="s">
        <v>478</v>
      </c>
      <c r="X70" s="289">
        <v>2.2000000000000002</v>
      </c>
      <c r="Y70" s="99" t="s">
        <v>479</v>
      </c>
      <c r="Z70" s="289">
        <v>2.2000000000000002</v>
      </c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480</v>
      </c>
      <c r="J71" s="279">
        <v>1.5</v>
      </c>
      <c r="K71" s="81"/>
      <c r="L71" s="279"/>
      <c r="M71" s="81"/>
      <c r="N71" s="279"/>
      <c r="O71" s="81"/>
      <c r="P71" s="279"/>
      <c r="Q71" s="81"/>
      <c r="R71" s="279"/>
      <c r="S71" s="81"/>
      <c r="T71" s="279"/>
      <c r="U71" s="81"/>
      <c r="V71" s="279"/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7.8000000000000007</v>
      </c>
      <c r="H72" s="136">
        <f t="shared" si="1"/>
        <v>143.1192660550459</v>
      </c>
      <c r="I72" s="87"/>
      <c r="J72" s="281"/>
      <c r="K72" s="81" t="s">
        <v>481</v>
      </c>
      <c r="L72" s="279">
        <v>0.4</v>
      </c>
      <c r="M72" s="81" t="s">
        <v>482</v>
      </c>
      <c r="N72" s="279">
        <v>1.45</v>
      </c>
      <c r="O72" s="81" t="s">
        <v>483</v>
      </c>
      <c r="P72" s="279">
        <v>0.45</v>
      </c>
      <c r="Q72" s="81" t="s">
        <v>484</v>
      </c>
      <c r="R72" s="279">
        <v>1.1499999999999999</v>
      </c>
      <c r="S72" s="89" t="s">
        <v>485</v>
      </c>
      <c r="T72" s="282">
        <v>0.35</v>
      </c>
      <c r="U72" s="87" t="s">
        <v>415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8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8.4</v>
      </c>
      <c r="H73" s="136">
        <f t="shared" ref="H73" si="5">SUM(G73*1000)/54.5</f>
        <v>154.12844036697248</v>
      </c>
      <c r="I73" s="87"/>
      <c r="J73" s="281"/>
      <c r="K73" s="81" t="s">
        <v>481</v>
      </c>
      <c r="L73" s="279">
        <v>0.9</v>
      </c>
      <c r="M73" s="81" t="s">
        <v>482</v>
      </c>
      <c r="N73" s="279">
        <v>1.35</v>
      </c>
      <c r="O73" s="81" t="s">
        <v>483</v>
      </c>
      <c r="P73" s="279">
        <v>0.45</v>
      </c>
      <c r="Q73" s="81" t="s">
        <v>484</v>
      </c>
      <c r="R73" s="279">
        <v>1.1499999999999999</v>
      </c>
      <c r="S73" s="89" t="s">
        <v>485</v>
      </c>
      <c r="T73" s="282">
        <v>0.55000000000000004</v>
      </c>
      <c r="U73" s="87" t="s">
        <v>415</v>
      </c>
      <c r="V73" s="281">
        <v>4</v>
      </c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446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486</v>
      </c>
      <c r="J74" s="279">
        <v>5.9</v>
      </c>
      <c r="K74" s="253" t="s">
        <v>487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486</v>
      </c>
      <c r="J75" s="279">
        <v>5.8</v>
      </c>
      <c r="K75" s="253" t="s">
        <v>487</v>
      </c>
      <c r="L75" s="299">
        <v>1</v>
      </c>
      <c r="M75" s="105"/>
      <c r="N75" s="299"/>
      <c r="O75" s="81"/>
      <c r="P75" s="279"/>
      <c r="Q75" s="81"/>
      <c r="R75" s="279"/>
      <c r="S75" s="81"/>
      <c r="T75" s="279"/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 t="s">
        <v>321</v>
      </c>
      <c r="G76" s="251">
        <f t="shared" si="6"/>
        <v>9.35</v>
      </c>
      <c r="H76" s="136">
        <f t="shared" si="7"/>
        <v>171.55963302752295</v>
      </c>
      <c r="I76" s="81" t="s">
        <v>488</v>
      </c>
      <c r="J76" s="279">
        <v>2.25</v>
      </c>
      <c r="K76" s="81" t="s">
        <v>489</v>
      </c>
      <c r="L76" s="279">
        <v>2.25</v>
      </c>
      <c r="M76" s="81" t="s">
        <v>490</v>
      </c>
      <c r="N76" s="279">
        <v>2.25</v>
      </c>
      <c r="O76" s="260" t="s">
        <v>491</v>
      </c>
      <c r="P76" s="283">
        <v>1</v>
      </c>
      <c r="Q76" s="101" t="s">
        <v>492</v>
      </c>
      <c r="R76" s="289">
        <v>0.5</v>
      </c>
      <c r="S76" s="83" t="s">
        <v>493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8" t="s">
        <v>93</v>
      </c>
      <c r="B77" s="96"/>
      <c r="C77" s="96"/>
      <c r="D77" s="4"/>
      <c r="E77" s="4"/>
      <c r="F77" s="30"/>
      <c r="G77" s="251">
        <f t="shared" si="6"/>
        <v>9.35</v>
      </c>
      <c r="H77" s="136">
        <f t="shared" si="7"/>
        <v>171.55963302752295</v>
      </c>
      <c r="I77" s="81" t="s">
        <v>488</v>
      </c>
      <c r="J77" s="279">
        <v>2.25</v>
      </c>
      <c r="K77" s="81" t="s">
        <v>489</v>
      </c>
      <c r="L77" s="279">
        <v>2.25</v>
      </c>
      <c r="M77" s="81" t="s">
        <v>490</v>
      </c>
      <c r="N77" s="279">
        <v>2.25</v>
      </c>
      <c r="O77" s="260" t="s">
        <v>491</v>
      </c>
      <c r="P77" s="283">
        <v>1</v>
      </c>
      <c r="Q77" s="101" t="s">
        <v>492</v>
      </c>
      <c r="R77" s="289">
        <v>0.5</v>
      </c>
      <c r="S77" s="83" t="s">
        <v>493</v>
      </c>
      <c r="T77" s="284">
        <v>1.1000000000000001</v>
      </c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79"/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1</v>
      </c>
      <c r="H79" s="136">
        <f t="shared" si="7"/>
        <v>18.348623853211009</v>
      </c>
      <c r="I79" s="87" t="s">
        <v>494</v>
      </c>
      <c r="J79" s="281">
        <v>1</v>
      </c>
      <c r="K79" s="81"/>
      <c r="L79" s="279"/>
      <c r="M79" s="81"/>
      <c r="N79" s="27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446</v>
      </c>
      <c r="F80" s="4"/>
      <c r="G80" s="251">
        <f t="shared" si="6"/>
        <v>6.8</v>
      </c>
      <c r="H80" s="136">
        <f t="shared" si="7"/>
        <v>124.77064220183486</v>
      </c>
      <c r="I80" s="81" t="s">
        <v>495</v>
      </c>
      <c r="J80" s="279">
        <v>5.8</v>
      </c>
      <c r="K80" s="253" t="s">
        <v>496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6.9</v>
      </c>
      <c r="H81" s="136">
        <f t="shared" si="7"/>
        <v>126.60550458715596</v>
      </c>
      <c r="I81" s="81" t="s">
        <v>495</v>
      </c>
      <c r="J81" s="279">
        <v>5.9</v>
      </c>
      <c r="K81" s="253" t="s">
        <v>496</v>
      </c>
      <c r="L81" s="300">
        <v>1</v>
      </c>
      <c r="M81" s="253"/>
      <c r="N81" s="300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79"/>
      <c r="K82" s="81"/>
      <c r="L82" s="279"/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497</v>
      </c>
      <c r="J83" s="279">
        <v>3</v>
      </c>
      <c r="K83" s="263" t="s">
        <v>498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499</v>
      </c>
      <c r="J84" s="279">
        <v>2</v>
      </c>
      <c r="K84" s="260" t="s">
        <v>500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79"/>
      <c r="K85" s="260" t="s">
        <v>501</v>
      </c>
      <c r="L85" s="283">
        <v>1</v>
      </c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502</v>
      </c>
      <c r="J86" s="284">
        <v>4.4000000000000004</v>
      </c>
      <c r="K86" s="81"/>
      <c r="L86" s="279"/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1</v>
      </c>
      <c r="H87" s="136">
        <f t="shared" si="7"/>
        <v>18.348623853211009</v>
      </c>
      <c r="I87" s="87"/>
      <c r="J87" s="281"/>
      <c r="K87" s="87" t="s">
        <v>503</v>
      </c>
      <c r="L87" s="281">
        <v>1</v>
      </c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1"/>
      <c r="K90" s="81"/>
      <c r="L90" s="279"/>
      <c r="M90" s="81"/>
      <c r="N90" s="279"/>
      <c r="O90" s="81"/>
      <c r="P90" s="279"/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504</v>
      </c>
      <c r="J91" s="281">
        <v>2.4</v>
      </c>
      <c r="K91" s="263" t="s">
        <v>505</v>
      </c>
      <c r="L91" s="283">
        <v>2</v>
      </c>
      <c r="M91" s="260" t="s">
        <v>506</v>
      </c>
      <c r="N91" s="283">
        <v>2</v>
      </c>
      <c r="O91" s="101" t="s">
        <v>507</v>
      </c>
      <c r="P91" s="289">
        <v>1</v>
      </c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81"/>
      <c r="L92" s="279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0</v>
      </c>
      <c r="H93" s="136">
        <f t="shared" si="7"/>
        <v>0</v>
      </c>
      <c r="I93" s="87"/>
      <c r="J93" s="281"/>
      <c r="K93" s="104"/>
      <c r="L93" s="286"/>
      <c r="M93" s="81"/>
      <c r="N93" s="279"/>
      <c r="O93" s="81"/>
      <c r="P93" s="279"/>
      <c r="Q93" s="81"/>
      <c r="R93" s="279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4.7</v>
      </c>
      <c r="H94" s="136">
        <f t="shared" si="7"/>
        <v>86.238532110091739</v>
      </c>
      <c r="I94" s="81" t="s">
        <v>508</v>
      </c>
      <c r="J94" s="279">
        <v>1.7</v>
      </c>
      <c r="K94" s="81" t="s">
        <v>509</v>
      </c>
      <c r="L94" s="279">
        <v>2</v>
      </c>
      <c r="M94" s="87"/>
      <c r="N94" s="281"/>
      <c r="O94" s="87"/>
      <c r="P94" s="281"/>
      <c r="Q94" s="83" t="s">
        <v>510</v>
      </c>
      <c r="R94" s="284">
        <v>1</v>
      </c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79"/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511</v>
      </c>
      <c r="J96" s="279">
        <v>0.5</v>
      </c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79"/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512</v>
      </c>
      <c r="J99" s="280">
        <v>4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513</v>
      </c>
      <c r="J100" s="281">
        <v>1</v>
      </c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79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1"/>
      <c r="K101" s="81"/>
      <c r="L101" s="279"/>
      <c r="M101" s="81"/>
      <c r="N101" s="279"/>
      <c r="O101" s="81"/>
      <c r="P101" s="279"/>
      <c r="Q101" s="81"/>
      <c r="R101" s="279"/>
      <c r="S101" s="81"/>
      <c r="T101" s="279"/>
      <c r="U101" s="81"/>
      <c r="V101" s="279"/>
      <c r="W101" s="81"/>
      <c r="X101" s="279"/>
      <c r="Y101" s="81"/>
      <c r="Z101" s="279"/>
      <c r="AA101" s="81"/>
      <c r="AB101" s="279"/>
      <c r="AC101" s="81"/>
      <c r="AD101" s="279"/>
      <c r="AE101" s="81"/>
      <c r="AF101" s="279"/>
      <c r="AG101" s="81"/>
      <c r="AH101" s="279"/>
      <c r="AI101" s="81"/>
      <c r="AJ101" s="279"/>
      <c r="AK101" s="81"/>
      <c r="AL101" s="284"/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22.55</v>
      </c>
      <c r="H102" s="136">
        <f t="shared" si="7"/>
        <v>413.76146788990826</v>
      </c>
      <c r="I102" s="87" t="s">
        <v>514</v>
      </c>
      <c r="J102" s="281">
        <v>1.4</v>
      </c>
      <c r="K102" s="81" t="s">
        <v>515</v>
      </c>
      <c r="L102" s="279">
        <v>0.6</v>
      </c>
      <c r="M102" s="81" t="s">
        <v>516</v>
      </c>
      <c r="N102" s="279">
        <v>1.3</v>
      </c>
      <c r="O102" s="81" t="s">
        <v>517</v>
      </c>
      <c r="P102" s="279">
        <v>1.5</v>
      </c>
      <c r="Q102" s="260" t="s">
        <v>500</v>
      </c>
      <c r="R102" s="283">
        <v>0.3</v>
      </c>
      <c r="S102" s="260" t="s">
        <v>518</v>
      </c>
      <c r="T102" s="283">
        <v>1.8</v>
      </c>
      <c r="U102" s="260" t="s">
        <v>519</v>
      </c>
      <c r="V102" s="279">
        <v>1.7</v>
      </c>
      <c r="W102" s="83" t="s">
        <v>520</v>
      </c>
      <c r="X102" s="284"/>
      <c r="Y102" s="85" t="s">
        <v>521</v>
      </c>
      <c r="Z102" s="280">
        <v>2.75</v>
      </c>
      <c r="AA102" s="85" t="s">
        <v>522</v>
      </c>
      <c r="AB102" s="280">
        <v>2.75</v>
      </c>
      <c r="AC102" s="85" t="s">
        <v>523</v>
      </c>
      <c r="AD102" s="280">
        <v>2.75</v>
      </c>
      <c r="AE102" s="85" t="s">
        <v>524</v>
      </c>
      <c r="AF102" s="280">
        <v>0.7</v>
      </c>
      <c r="AG102" s="85" t="s">
        <v>525</v>
      </c>
      <c r="AH102" s="280">
        <v>2</v>
      </c>
      <c r="AI102" s="85" t="s">
        <v>526</v>
      </c>
      <c r="AJ102" s="280">
        <v>2</v>
      </c>
      <c r="AK102" s="85" t="s">
        <v>527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22.05</v>
      </c>
      <c r="H103" s="136">
        <f t="shared" si="7"/>
        <v>404.58715596330273</v>
      </c>
      <c r="I103" s="87" t="s">
        <v>514</v>
      </c>
      <c r="J103" s="281">
        <v>0.6</v>
      </c>
      <c r="K103" s="81" t="s">
        <v>515</v>
      </c>
      <c r="L103" s="279">
        <v>0.5</v>
      </c>
      <c r="M103" s="81" t="s">
        <v>516</v>
      </c>
      <c r="N103" s="279">
        <v>1.2</v>
      </c>
      <c r="O103" s="81" t="s">
        <v>517</v>
      </c>
      <c r="P103" s="279">
        <v>1.4</v>
      </c>
      <c r="Q103" s="260" t="s">
        <v>500</v>
      </c>
      <c r="R103" s="283">
        <v>0.3</v>
      </c>
      <c r="S103" s="263" t="s">
        <v>518</v>
      </c>
      <c r="T103" s="283">
        <v>1.8</v>
      </c>
      <c r="U103" s="260" t="s">
        <v>519</v>
      </c>
      <c r="V103" s="279">
        <v>1.8</v>
      </c>
      <c r="W103" s="83" t="s">
        <v>520</v>
      </c>
      <c r="X103" s="284"/>
      <c r="Y103" s="85" t="s">
        <v>521</v>
      </c>
      <c r="Z103" s="280">
        <v>2.75</v>
      </c>
      <c r="AA103" s="85" t="s">
        <v>522</v>
      </c>
      <c r="AB103" s="280">
        <v>2.75</v>
      </c>
      <c r="AC103" s="85" t="s">
        <v>523</v>
      </c>
      <c r="AD103" s="280">
        <v>2.75</v>
      </c>
      <c r="AE103" s="85" t="s">
        <v>524</v>
      </c>
      <c r="AF103" s="280">
        <v>1.2</v>
      </c>
      <c r="AG103" s="85" t="s">
        <v>525</v>
      </c>
      <c r="AH103" s="280">
        <v>2</v>
      </c>
      <c r="AI103" s="85" t="s">
        <v>526</v>
      </c>
      <c r="AJ103" s="280">
        <v>2</v>
      </c>
      <c r="AK103" s="85" t="s">
        <v>527</v>
      </c>
      <c r="AL103" s="280">
        <v>1</v>
      </c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528</v>
      </c>
      <c r="J104" s="281">
        <v>1</v>
      </c>
      <c r="K104" s="81" t="s">
        <v>529</v>
      </c>
      <c r="L104" s="279">
        <v>2.2999999999999998</v>
      </c>
      <c r="M104" s="87" t="s">
        <v>422</v>
      </c>
      <c r="N104" s="281">
        <v>0.9</v>
      </c>
      <c r="O104" s="87" t="s">
        <v>530</v>
      </c>
      <c r="P104" s="281">
        <v>1.5</v>
      </c>
      <c r="Q104" s="263" t="s">
        <v>531</v>
      </c>
      <c r="R104" s="283">
        <v>1</v>
      </c>
      <c r="S104" s="87" t="s">
        <v>532</v>
      </c>
      <c r="T104" s="281">
        <v>0.30149999999999999</v>
      </c>
      <c r="U104" s="87" t="s">
        <v>456</v>
      </c>
      <c r="V104" s="281">
        <v>0.25</v>
      </c>
      <c r="W104" s="81" t="s">
        <v>533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534</v>
      </c>
      <c r="J105" s="281">
        <v>1</v>
      </c>
      <c r="K105" s="81" t="s">
        <v>529</v>
      </c>
      <c r="L105" s="279">
        <v>2.2999999999999998</v>
      </c>
      <c r="M105" s="87" t="s">
        <v>422</v>
      </c>
      <c r="N105" s="281">
        <v>0.9</v>
      </c>
      <c r="O105" s="87" t="s">
        <v>530</v>
      </c>
      <c r="P105" s="281">
        <v>1.5</v>
      </c>
      <c r="Q105" s="263" t="s">
        <v>531</v>
      </c>
      <c r="R105" s="283">
        <v>1</v>
      </c>
      <c r="S105" s="87" t="s">
        <v>532</v>
      </c>
      <c r="T105" s="281">
        <v>0.30149999999999999</v>
      </c>
      <c r="U105" s="87" t="s">
        <v>456</v>
      </c>
      <c r="V105" s="281">
        <v>0.25</v>
      </c>
      <c r="W105" s="81" t="s">
        <v>533</v>
      </c>
      <c r="X105" s="279">
        <v>0.5</v>
      </c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535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536</v>
      </c>
      <c r="J107" s="281">
        <v>1</v>
      </c>
      <c r="K107" s="81"/>
      <c r="L107" s="279"/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537</v>
      </c>
      <c r="J108" s="280">
        <v>2</v>
      </c>
      <c r="K108" s="81" t="s">
        <v>538</v>
      </c>
      <c r="L108" s="279">
        <v>1</v>
      </c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446</v>
      </c>
      <c r="F109" s="4"/>
      <c r="G109" s="251">
        <f t="shared" ref="G109:G110" si="8">SUM(J109,L109,N109,P109,R109,T109,V109,X109,Z109,AB109,AD109,AF109,AH109,AJ109,AL109,AN109,AP109,AR109,AT109,AV109)</f>
        <v>5.9</v>
      </c>
      <c r="H109" s="136">
        <f t="shared" ref="H109:H110" si="9">SUM(G109*1000)/54.5</f>
        <v>108.25688073394495</v>
      </c>
      <c r="I109" s="81" t="s">
        <v>539</v>
      </c>
      <c r="J109" s="279">
        <v>5.9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5.8</v>
      </c>
      <c r="H110" s="136">
        <f t="shared" si="9"/>
        <v>106.42201834862385</v>
      </c>
      <c r="I110" s="81" t="s">
        <v>539</v>
      </c>
      <c r="J110" s="279">
        <v>5.8</v>
      </c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79"/>
      <c r="K113" s="81"/>
      <c r="L113" s="279"/>
      <c r="M113" s="81"/>
      <c r="N113" s="279"/>
      <c r="O113" s="81"/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446</v>
      </c>
      <c r="F114" s="4"/>
      <c r="G114" s="251">
        <f t="shared" si="6"/>
        <v>5.9</v>
      </c>
      <c r="H114" s="136">
        <f t="shared" si="7"/>
        <v>108.25688073394495</v>
      </c>
      <c r="I114" s="81" t="s">
        <v>540</v>
      </c>
      <c r="J114" s="279">
        <v>5.9</v>
      </c>
      <c r="K114" s="81"/>
      <c r="L114" s="279"/>
      <c r="M114" s="81"/>
      <c r="N114" s="279"/>
      <c r="O114" s="81"/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5.8</v>
      </c>
      <c r="H115" s="136">
        <f t="shared" si="7"/>
        <v>106.42201834862385</v>
      </c>
      <c r="I115" s="81" t="s">
        <v>540</v>
      </c>
      <c r="J115" s="279">
        <v>5.8</v>
      </c>
      <c r="K115" s="81"/>
      <c r="L115" s="279"/>
      <c r="M115" s="81"/>
      <c r="N115" s="279"/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541</v>
      </c>
      <c r="J116" s="281">
        <v>2.4</v>
      </c>
      <c r="K116" s="87" t="s">
        <v>542</v>
      </c>
      <c r="L116" s="281">
        <v>1</v>
      </c>
      <c r="M116" s="83" t="s">
        <v>543</v>
      </c>
      <c r="N116" s="284">
        <v>0.5</v>
      </c>
      <c r="O116" s="81"/>
      <c r="P116" s="279"/>
      <c r="Q116" s="81"/>
      <c r="R116" s="279"/>
      <c r="S116" s="81"/>
      <c r="T116" s="279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7.3</v>
      </c>
      <c r="H117" s="136">
        <f t="shared" si="7"/>
        <v>133.94495412844037</v>
      </c>
      <c r="I117" s="81" t="s">
        <v>544</v>
      </c>
      <c r="J117" s="279">
        <v>2.2000000000000002</v>
      </c>
      <c r="K117" s="81" t="s">
        <v>545</v>
      </c>
      <c r="L117" s="279">
        <v>2.4</v>
      </c>
      <c r="M117" s="81" t="s">
        <v>546</v>
      </c>
      <c r="N117" s="279">
        <v>1.5</v>
      </c>
      <c r="O117" s="263" t="s">
        <v>547</v>
      </c>
      <c r="P117" s="291">
        <v>0.8</v>
      </c>
      <c r="Q117" s="309" t="s">
        <v>548</v>
      </c>
      <c r="R117" s="317">
        <v>0.4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6.6</v>
      </c>
      <c r="H118" s="136">
        <f t="shared" ref="H118" si="11">SUM(G118*1000)/54.5</f>
        <v>121.10091743119266</v>
      </c>
      <c r="I118" s="81" t="s">
        <v>544</v>
      </c>
      <c r="J118" s="279">
        <v>2.1</v>
      </c>
      <c r="K118" s="81" t="s">
        <v>545</v>
      </c>
      <c r="L118" s="279">
        <v>2.2999999999999998</v>
      </c>
      <c r="M118" s="81" t="s">
        <v>546</v>
      </c>
      <c r="N118" s="279">
        <v>1.1000000000000001</v>
      </c>
      <c r="O118" s="263" t="s">
        <v>547</v>
      </c>
      <c r="P118" s="291">
        <v>0.8</v>
      </c>
      <c r="Q118" s="309" t="s">
        <v>548</v>
      </c>
      <c r="R118" s="317">
        <v>0.3</v>
      </c>
      <c r="S118" s="83"/>
      <c r="T118" s="284"/>
      <c r="U118" s="81"/>
      <c r="V118" s="279"/>
      <c r="W118" s="81"/>
      <c r="X118" s="279"/>
      <c r="Y118" s="81"/>
      <c r="Z118" s="279"/>
      <c r="AA118" s="81"/>
      <c r="AB118" s="279"/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11.75</v>
      </c>
      <c r="H119" s="136">
        <f t="shared" si="7"/>
        <v>215.59633027522935</v>
      </c>
      <c r="I119" s="81" t="s">
        <v>549</v>
      </c>
      <c r="J119" s="279">
        <v>0.75</v>
      </c>
      <c r="K119" s="89" t="s">
        <v>550</v>
      </c>
      <c r="L119" s="282">
        <v>1.2</v>
      </c>
      <c r="M119" s="81" t="s">
        <v>551</v>
      </c>
      <c r="N119" s="282">
        <v>1.4</v>
      </c>
      <c r="O119" s="87" t="s">
        <v>552</v>
      </c>
      <c r="P119" s="281">
        <v>0.3</v>
      </c>
      <c r="Q119" s="260" t="s">
        <v>553</v>
      </c>
      <c r="R119" s="283">
        <v>0.9</v>
      </c>
      <c r="S119" s="260" t="s">
        <v>554</v>
      </c>
      <c r="T119" s="283">
        <v>0.8</v>
      </c>
      <c r="U119" s="105" t="s">
        <v>555</v>
      </c>
      <c r="V119" s="290">
        <v>1.6</v>
      </c>
      <c r="W119" s="92" t="s">
        <v>556</v>
      </c>
      <c r="X119" s="290">
        <v>0.5</v>
      </c>
      <c r="Y119" s="89" t="s">
        <v>557</v>
      </c>
      <c r="Z119" s="282">
        <v>2</v>
      </c>
      <c r="AA119" s="89" t="s">
        <v>558</v>
      </c>
      <c r="AB119" s="282">
        <v>2.2999999999999998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13.95</v>
      </c>
      <c r="H120" s="136">
        <f t="shared" si="7"/>
        <v>255.96330275229357</v>
      </c>
      <c r="I120" s="81" t="s">
        <v>549</v>
      </c>
      <c r="J120" s="279">
        <v>0.75</v>
      </c>
      <c r="K120" s="89" t="s">
        <v>550</v>
      </c>
      <c r="L120" s="282">
        <v>1.3</v>
      </c>
      <c r="M120" s="81" t="s">
        <v>551</v>
      </c>
      <c r="N120" s="282">
        <v>1.5</v>
      </c>
      <c r="O120" s="87" t="s">
        <v>552</v>
      </c>
      <c r="P120" s="281">
        <v>1.8</v>
      </c>
      <c r="Q120" s="260" t="s">
        <v>553</v>
      </c>
      <c r="R120" s="283">
        <v>0.9</v>
      </c>
      <c r="S120" s="260" t="s">
        <v>559</v>
      </c>
      <c r="T120" s="283">
        <v>0.7</v>
      </c>
      <c r="U120" s="105" t="s">
        <v>555</v>
      </c>
      <c r="V120" s="290">
        <v>1.9</v>
      </c>
      <c r="W120" s="92" t="s">
        <v>556</v>
      </c>
      <c r="X120" s="290">
        <v>0.7</v>
      </c>
      <c r="Y120" s="89" t="s">
        <v>557</v>
      </c>
      <c r="Z120" s="282">
        <v>2.1</v>
      </c>
      <c r="AA120" s="89" t="s">
        <v>558</v>
      </c>
      <c r="AB120" s="282">
        <v>2.2999999999999998</v>
      </c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560</v>
      </c>
      <c r="J121" s="279">
        <v>2.4</v>
      </c>
      <c r="K121" s="263" t="s">
        <v>561</v>
      </c>
      <c r="L121" s="283">
        <v>2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562</v>
      </c>
      <c r="J122" s="283">
        <v>2</v>
      </c>
      <c r="K122" s="83" t="s">
        <v>563</v>
      </c>
      <c r="L122" s="284">
        <v>1</v>
      </c>
      <c r="M122" s="87"/>
      <c r="N122" s="281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564</v>
      </c>
      <c r="J123" s="281">
        <v>0.5</v>
      </c>
      <c r="K123" s="81" t="s">
        <v>565</v>
      </c>
      <c r="L123" s="279">
        <v>2.2000000000000002</v>
      </c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566</v>
      </c>
      <c r="J124" s="281">
        <v>0.5</v>
      </c>
      <c r="K124" s="81"/>
      <c r="L124" s="279"/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567</v>
      </c>
      <c r="J125" s="281">
        <v>1</v>
      </c>
      <c r="K125" s="83" t="s">
        <v>568</v>
      </c>
      <c r="L125" s="284">
        <v>1</v>
      </c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1"/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569</v>
      </c>
      <c r="J128" s="283">
        <v>1</v>
      </c>
      <c r="K128" s="81"/>
      <c r="L128" s="279"/>
      <c r="M128" s="81"/>
      <c r="N128" s="279"/>
      <c r="O128" s="81"/>
      <c r="P128" s="279"/>
      <c r="Q128" s="81"/>
      <c r="R128" s="279"/>
      <c r="S128" s="81"/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5.9</v>
      </c>
      <c r="H129" s="136">
        <f t="shared" si="7"/>
        <v>108.25688073394495</v>
      </c>
      <c r="I129" s="87" t="s">
        <v>570</v>
      </c>
      <c r="J129" s="281">
        <v>2.4</v>
      </c>
      <c r="K129" s="81" t="s">
        <v>571</v>
      </c>
      <c r="L129" s="279">
        <v>2</v>
      </c>
      <c r="M129" s="263" t="s">
        <v>572</v>
      </c>
      <c r="N129" s="283">
        <v>1</v>
      </c>
      <c r="O129" s="99" t="s">
        <v>573</v>
      </c>
      <c r="P129" s="289">
        <v>0.5</v>
      </c>
      <c r="Q129" s="81"/>
      <c r="R129" s="279"/>
      <c r="S129" s="99" t="s">
        <v>573</v>
      </c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574</v>
      </c>
      <c r="J130" s="281">
        <v>1</v>
      </c>
      <c r="K130" s="81"/>
      <c r="L130" s="279"/>
      <c r="M130" s="87"/>
      <c r="N130" s="281"/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575</v>
      </c>
      <c r="J131" s="281">
        <v>2.4</v>
      </c>
      <c r="K131" s="81" t="s">
        <v>576</v>
      </c>
      <c r="L131" s="279">
        <v>1</v>
      </c>
      <c r="M131" s="263" t="s">
        <v>577</v>
      </c>
      <c r="N131" s="283">
        <v>1</v>
      </c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578</v>
      </c>
      <c r="J132" s="281">
        <v>2.4</v>
      </c>
      <c r="K132" s="85" t="s">
        <v>579</v>
      </c>
      <c r="L132" s="280">
        <v>4</v>
      </c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580</v>
      </c>
      <c r="J133" s="284">
        <v>4</v>
      </c>
      <c r="K133" s="81"/>
      <c r="L133" s="279"/>
      <c r="M133" s="81"/>
      <c r="N133" s="279"/>
      <c r="O133" s="81"/>
      <c r="P133" s="279"/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581</v>
      </c>
      <c r="J134" s="281">
        <v>2.4</v>
      </c>
      <c r="K134" s="87" t="s">
        <v>582</v>
      </c>
      <c r="L134" s="281">
        <v>2</v>
      </c>
      <c r="M134" s="87" t="s">
        <v>583</v>
      </c>
      <c r="N134" s="281">
        <v>1</v>
      </c>
      <c r="O134" s="89" t="s">
        <v>584</v>
      </c>
      <c r="P134" s="282">
        <v>5</v>
      </c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585</v>
      </c>
      <c r="J135" s="282">
        <v>1</v>
      </c>
      <c r="K135" s="83"/>
      <c r="L135" s="284"/>
      <c r="M135" s="87"/>
      <c r="N135" s="281"/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586</v>
      </c>
      <c r="J136" s="281">
        <v>1.7</v>
      </c>
      <c r="K136" s="265" t="s">
        <v>587</v>
      </c>
      <c r="L136" s="281">
        <v>1</v>
      </c>
      <c r="M136" s="87" t="s">
        <v>588</v>
      </c>
      <c r="N136" s="281">
        <v>4</v>
      </c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1"/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0.5</v>
      </c>
      <c r="H139" s="136">
        <f t="shared" si="7"/>
        <v>9.1743119266055047</v>
      </c>
      <c r="I139" s="330" t="s">
        <v>589</v>
      </c>
      <c r="J139" s="284">
        <v>0.5</v>
      </c>
      <c r="K139" s="81"/>
      <c r="L139" s="279"/>
      <c r="M139" s="81"/>
      <c r="N139" s="279"/>
      <c r="O139" s="81"/>
      <c r="P139" s="279"/>
      <c r="Q139" s="81"/>
      <c r="R139" s="279"/>
      <c r="S139" s="81"/>
      <c r="T139" s="279"/>
      <c r="U139" s="81"/>
      <c r="V139" s="279"/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13.5</v>
      </c>
      <c r="H140" s="136">
        <f t="shared" si="7"/>
        <v>247.70642201834863</v>
      </c>
      <c r="I140" s="81" t="s">
        <v>514</v>
      </c>
      <c r="J140" s="279">
        <v>1.1000000000000001</v>
      </c>
      <c r="K140" s="81" t="s">
        <v>590</v>
      </c>
      <c r="L140" s="279">
        <v>4.9000000000000004</v>
      </c>
      <c r="M140" s="260" t="s">
        <v>591</v>
      </c>
      <c r="N140" s="283">
        <v>1</v>
      </c>
      <c r="O140" s="101" t="s">
        <v>592</v>
      </c>
      <c r="P140" s="289">
        <v>1</v>
      </c>
      <c r="Q140" s="101" t="s">
        <v>593</v>
      </c>
      <c r="R140" s="289">
        <v>5.5</v>
      </c>
      <c r="S140" s="81"/>
      <c r="T140" s="279"/>
      <c r="U140" s="81"/>
      <c r="V140" s="279"/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79"/>
      <c r="K142" s="81"/>
      <c r="L142" s="279"/>
      <c r="M142" s="81"/>
      <c r="N142" s="279"/>
      <c r="O142" s="81"/>
      <c r="P142" s="279"/>
      <c r="Q142" s="81"/>
      <c r="R142" s="279"/>
      <c r="S142" s="81"/>
      <c r="T142" s="279"/>
      <c r="U142" s="81"/>
      <c r="V142" s="279"/>
      <c r="W142" s="81"/>
      <c r="X142" s="279"/>
      <c r="Y142" s="81"/>
      <c r="Z142" s="279"/>
      <c r="AA142" s="81"/>
      <c r="AB142" s="279"/>
      <c r="AC142" s="81"/>
      <c r="AD142" s="279"/>
      <c r="AE142" s="81"/>
      <c r="AF142" s="279"/>
      <c r="AG142" s="81"/>
      <c r="AH142" s="279"/>
      <c r="AI142" s="81"/>
      <c r="AJ142" s="279"/>
      <c r="AK142" s="81"/>
      <c r="AL142" s="279"/>
      <c r="AM142" s="81"/>
      <c r="AN142" s="279"/>
      <c r="AO142" s="81"/>
      <c r="AP142" s="279"/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17.5</v>
      </c>
      <c r="H143" s="136">
        <f t="shared" ref="H143:H208" si="13">SUM(G143*1000)/54.5</f>
        <v>321.10091743119267</v>
      </c>
      <c r="I143" s="81"/>
      <c r="J143" s="279"/>
      <c r="K143" s="81"/>
      <c r="L143" s="279"/>
      <c r="M143" s="81" t="s">
        <v>594</v>
      </c>
      <c r="N143" s="279">
        <v>0.7</v>
      </c>
      <c r="O143" s="89" t="s">
        <v>595</v>
      </c>
      <c r="P143" s="279">
        <v>1.45</v>
      </c>
      <c r="Q143" s="81" t="s">
        <v>596</v>
      </c>
      <c r="R143" s="279">
        <v>0.9</v>
      </c>
      <c r="S143" s="81" t="s">
        <v>597</v>
      </c>
      <c r="T143" s="279">
        <v>1.5</v>
      </c>
      <c r="U143" s="85" t="s">
        <v>598</v>
      </c>
      <c r="V143" s="280">
        <v>1.8</v>
      </c>
      <c r="W143" s="260" t="s">
        <v>599</v>
      </c>
      <c r="X143" s="285">
        <v>0.5</v>
      </c>
      <c r="Y143" s="263" t="s">
        <v>600</v>
      </c>
      <c r="Z143" s="285">
        <v>0.2</v>
      </c>
      <c r="AA143" s="85" t="s">
        <v>601</v>
      </c>
      <c r="AB143" s="280">
        <v>1.7</v>
      </c>
      <c r="AC143" s="87" t="s">
        <v>456</v>
      </c>
      <c r="AD143" s="281">
        <v>0.25</v>
      </c>
      <c r="AE143" s="260" t="s">
        <v>602</v>
      </c>
      <c r="AF143" s="291">
        <v>0.5</v>
      </c>
      <c r="AG143" s="314" t="s">
        <v>603</v>
      </c>
      <c r="AH143" s="316">
        <v>3</v>
      </c>
      <c r="AI143" s="101" t="s">
        <v>604</v>
      </c>
      <c r="AJ143" s="284">
        <v>1.6</v>
      </c>
      <c r="AK143" s="260" t="s">
        <v>605</v>
      </c>
      <c r="AL143" s="291">
        <v>2.8</v>
      </c>
      <c r="AM143" s="260" t="s">
        <v>606</v>
      </c>
      <c r="AN143" s="281">
        <v>0.6</v>
      </c>
      <c r="AO143" s="260"/>
      <c r="AP143" s="291"/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20.700000000000003</v>
      </c>
      <c r="H144" s="136">
        <f t="shared" si="13"/>
        <v>379.81651376146795</v>
      </c>
      <c r="I144" s="81" t="s">
        <v>607</v>
      </c>
      <c r="J144" s="279">
        <v>2.1</v>
      </c>
      <c r="K144" s="81" t="s">
        <v>608</v>
      </c>
      <c r="L144" s="279">
        <v>0.4</v>
      </c>
      <c r="M144" s="81" t="s">
        <v>594</v>
      </c>
      <c r="N144" s="279">
        <v>1.4</v>
      </c>
      <c r="O144" s="89" t="s">
        <v>595</v>
      </c>
      <c r="P144" s="279">
        <v>1.45</v>
      </c>
      <c r="Q144" s="81" t="s">
        <v>596</v>
      </c>
      <c r="R144" s="279">
        <v>0.9</v>
      </c>
      <c r="S144" s="81" t="s">
        <v>597</v>
      </c>
      <c r="T144" s="279">
        <v>1.5</v>
      </c>
      <c r="U144" s="85" t="s">
        <v>598</v>
      </c>
      <c r="V144" s="280">
        <v>1.8</v>
      </c>
      <c r="W144" s="260" t="s">
        <v>599</v>
      </c>
      <c r="X144" s="281">
        <v>0.5</v>
      </c>
      <c r="Y144" s="263" t="s">
        <v>600</v>
      </c>
      <c r="Z144" s="281">
        <v>0.2</v>
      </c>
      <c r="AA144" s="85" t="s">
        <v>601</v>
      </c>
      <c r="AB144" s="280">
        <v>1.7</v>
      </c>
      <c r="AC144" s="87" t="s">
        <v>456</v>
      </c>
      <c r="AD144" s="281">
        <v>0.25</v>
      </c>
      <c r="AE144" s="260" t="s">
        <v>602</v>
      </c>
      <c r="AF144" s="281">
        <v>0.5</v>
      </c>
      <c r="AG144" s="314" t="s">
        <v>603</v>
      </c>
      <c r="AH144" s="316">
        <v>3</v>
      </c>
      <c r="AI144" s="101" t="s">
        <v>604</v>
      </c>
      <c r="AJ144" s="284">
        <v>1.6</v>
      </c>
      <c r="AK144" s="260" t="s">
        <v>605</v>
      </c>
      <c r="AL144" s="281">
        <v>2.8</v>
      </c>
      <c r="AM144" s="260" t="s">
        <v>606</v>
      </c>
      <c r="AN144" s="281">
        <v>0.6</v>
      </c>
      <c r="AO144" s="260"/>
      <c r="AP144" s="281"/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609</v>
      </c>
      <c r="J145" s="284">
        <v>0.1</v>
      </c>
      <c r="K145" s="83"/>
      <c r="L145" s="284"/>
      <c r="M145" s="81"/>
      <c r="N145" s="279"/>
      <c r="O145" s="81"/>
      <c r="P145" s="279"/>
      <c r="Q145" s="81"/>
      <c r="R145" s="279"/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8.1</v>
      </c>
      <c r="H146" s="136">
        <f t="shared" si="13"/>
        <v>148.62385321100916</v>
      </c>
      <c r="I146" s="81" t="s">
        <v>610</v>
      </c>
      <c r="J146" s="279">
        <v>2.4</v>
      </c>
      <c r="K146" s="81" t="s">
        <v>611</v>
      </c>
      <c r="L146" s="279">
        <v>1.5</v>
      </c>
      <c r="M146" s="83" t="s">
        <v>612</v>
      </c>
      <c r="N146" s="284">
        <v>3.2</v>
      </c>
      <c r="O146" s="263" t="s">
        <v>613</v>
      </c>
      <c r="P146" s="283">
        <v>1</v>
      </c>
      <c r="Q146" s="83"/>
      <c r="R146" s="284"/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614</v>
      </c>
      <c r="J147" s="283">
        <v>2</v>
      </c>
      <c r="K147" s="101"/>
      <c r="L147" s="289"/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615</v>
      </c>
      <c r="J148" s="279">
        <v>2.4</v>
      </c>
      <c r="K148" s="81" t="s">
        <v>616</v>
      </c>
      <c r="L148" s="279">
        <v>3.5</v>
      </c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79"/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617</v>
      </c>
      <c r="J151" s="279">
        <v>1.7</v>
      </c>
      <c r="K151" s="81"/>
      <c r="L151" s="279"/>
      <c r="M151" s="81"/>
      <c r="N151" s="279"/>
      <c r="O151" s="81"/>
      <c r="P151" s="279"/>
      <c r="Q151" s="81"/>
      <c r="R151" s="279"/>
      <c r="S151" s="81"/>
      <c r="T151" s="279"/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618</v>
      </c>
      <c r="J152" s="284">
        <v>2</v>
      </c>
      <c r="K152" s="83" t="s">
        <v>619</v>
      </c>
      <c r="L152" s="284">
        <v>2</v>
      </c>
      <c r="M152" s="87" t="s">
        <v>620</v>
      </c>
      <c r="N152" s="281">
        <v>1</v>
      </c>
      <c r="O152" s="260" t="s">
        <v>621</v>
      </c>
      <c r="P152" s="283">
        <v>1</v>
      </c>
      <c r="Q152" s="105" t="s">
        <v>622</v>
      </c>
      <c r="R152" s="290"/>
      <c r="S152" s="89" t="s">
        <v>623</v>
      </c>
      <c r="T152" s="282">
        <v>5.5</v>
      </c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624</v>
      </c>
      <c r="J153" s="283">
        <v>1</v>
      </c>
      <c r="K153" s="81"/>
      <c r="L153" s="279"/>
      <c r="M153" s="81"/>
      <c r="N153" s="279"/>
      <c r="O153" s="81"/>
      <c r="P153" s="279"/>
      <c r="Q153" s="81"/>
      <c r="R153" s="279"/>
      <c r="S153" s="83"/>
      <c r="T153" s="284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625</v>
      </c>
      <c r="J154" s="281">
        <v>2</v>
      </c>
      <c r="K154" s="81"/>
      <c r="L154" s="279"/>
      <c r="M154" s="81"/>
      <c r="N154" s="279"/>
      <c r="O154" s="81"/>
      <c r="P154" s="279"/>
      <c r="Q154" s="81"/>
      <c r="R154" s="279"/>
      <c r="S154" s="104"/>
      <c r="T154" s="286"/>
      <c r="U154" s="81"/>
      <c r="V154" s="279"/>
      <c r="W154" s="81"/>
      <c r="X154" s="279"/>
      <c r="Y154" s="81"/>
      <c r="Z154" s="279"/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19.100000000000001</v>
      </c>
      <c r="H155" s="136">
        <f t="shared" si="13"/>
        <v>350.45871559633025</v>
      </c>
      <c r="I155" s="85" t="s">
        <v>626</v>
      </c>
      <c r="J155" s="280">
        <v>3.6</v>
      </c>
      <c r="K155" s="81" t="s">
        <v>627</v>
      </c>
      <c r="L155" s="279">
        <v>1.8</v>
      </c>
      <c r="M155" s="81"/>
      <c r="N155" s="279"/>
      <c r="O155" s="81" t="s">
        <v>628</v>
      </c>
      <c r="P155" s="279">
        <v>2.2000000000000002</v>
      </c>
      <c r="Q155" s="81" t="s">
        <v>629</v>
      </c>
      <c r="R155" s="279">
        <v>2</v>
      </c>
      <c r="S155" s="81" t="s">
        <v>630</v>
      </c>
      <c r="T155" s="279">
        <v>2.2000000000000002</v>
      </c>
      <c r="U155" s="81" t="s">
        <v>631</v>
      </c>
      <c r="V155" s="279">
        <v>2.2999999999999998</v>
      </c>
      <c r="W155" s="81" t="s">
        <v>632</v>
      </c>
      <c r="X155" s="279">
        <v>0.8</v>
      </c>
      <c r="Y155" s="89" t="s">
        <v>633</v>
      </c>
      <c r="Z155" s="282">
        <v>4.2</v>
      </c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79"/>
      <c r="K156" s="81"/>
      <c r="L156" s="279"/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4</v>
      </c>
      <c r="H157" s="136">
        <f t="shared" si="13"/>
        <v>73.394495412844037</v>
      </c>
      <c r="I157" s="260" t="s">
        <v>634</v>
      </c>
      <c r="J157" s="283">
        <v>2</v>
      </c>
      <c r="K157" s="260" t="s">
        <v>635</v>
      </c>
      <c r="L157" s="283">
        <v>2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0</v>
      </c>
      <c r="H158" s="136">
        <f t="shared" si="13"/>
        <v>0</v>
      </c>
      <c r="I158" s="81"/>
      <c r="J158" s="279"/>
      <c r="K158" s="81"/>
      <c r="L158" s="279"/>
      <c r="M158" s="81"/>
      <c r="N158" s="279"/>
      <c r="O158" s="81"/>
      <c r="P158" s="279"/>
      <c r="Q158" s="81"/>
      <c r="R158" s="279"/>
      <c r="S158" s="81"/>
      <c r="T158" s="279"/>
      <c r="U158" s="81"/>
      <c r="V158" s="279"/>
      <c r="W158" s="81"/>
      <c r="X158" s="279"/>
      <c r="Y158" s="81"/>
      <c r="Z158" s="279"/>
      <c r="AA158" s="81"/>
      <c r="AB158" s="279"/>
      <c r="AC158" s="81"/>
      <c r="AD158" s="279"/>
      <c r="AE158" s="81"/>
      <c r="AF158" s="279"/>
      <c r="AG158" s="81"/>
      <c r="AH158" s="279"/>
      <c r="AI158" s="81"/>
      <c r="AJ158" s="279"/>
      <c r="AK158" s="81"/>
      <c r="AL158" s="279"/>
      <c r="AM158" s="81"/>
      <c r="AN158" s="279"/>
      <c r="AO158" s="81"/>
      <c r="AP158" s="279"/>
      <c r="AQ158" s="81"/>
      <c r="AR158" s="279"/>
      <c r="AS158" s="81"/>
      <c r="AT158" s="279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18.625000000000004</v>
      </c>
      <c r="H159" s="136">
        <f t="shared" si="13"/>
        <v>341.74311926605509</v>
      </c>
      <c r="I159" s="85" t="s">
        <v>636</v>
      </c>
      <c r="J159" s="280">
        <v>2.6</v>
      </c>
      <c r="K159" s="81" t="s">
        <v>637</v>
      </c>
      <c r="L159" s="279">
        <v>0.9</v>
      </c>
      <c r="M159" s="81"/>
      <c r="N159" s="279"/>
      <c r="O159" s="81" t="s">
        <v>638</v>
      </c>
      <c r="P159" s="279">
        <v>0.125</v>
      </c>
      <c r="Q159" s="89" t="s">
        <v>639</v>
      </c>
      <c r="R159" s="282">
        <v>0.6</v>
      </c>
      <c r="S159" s="89" t="s">
        <v>640</v>
      </c>
      <c r="T159" s="282">
        <v>0.75</v>
      </c>
      <c r="U159" s="89" t="s">
        <v>641</v>
      </c>
      <c r="V159" s="282">
        <v>0.85</v>
      </c>
      <c r="W159" s="89" t="s">
        <v>642</v>
      </c>
      <c r="X159" s="282">
        <v>0.75</v>
      </c>
      <c r="Y159" s="89" t="s">
        <v>643</v>
      </c>
      <c r="Z159" s="282">
        <v>0.5</v>
      </c>
      <c r="AA159" s="89" t="s">
        <v>644</v>
      </c>
      <c r="AB159" s="282">
        <v>0.35</v>
      </c>
      <c r="AC159" s="89" t="s">
        <v>645</v>
      </c>
      <c r="AD159" s="282">
        <v>1.4</v>
      </c>
      <c r="AE159" s="89" t="s">
        <v>646</v>
      </c>
      <c r="AF159" s="282">
        <v>1.8</v>
      </c>
      <c r="AG159" s="87" t="s">
        <v>647</v>
      </c>
      <c r="AH159" s="281">
        <v>2.15</v>
      </c>
      <c r="AI159" s="87" t="s">
        <v>648</v>
      </c>
      <c r="AJ159" s="281">
        <v>1.1000000000000001</v>
      </c>
      <c r="AK159" s="81" t="s">
        <v>649</v>
      </c>
      <c r="AL159" s="279">
        <v>0.8</v>
      </c>
      <c r="AM159" s="81" t="s">
        <v>650</v>
      </c>
      <c r="AN159" s="279">
        <v>0.8</v>
      </c>
      <c r="AO159" s="81" t="s">
        <v>651</v>
      </c>
      <c r="AP159" s="279">
        <v>0.8</v>
      </c>
      <c r="AQ159" s="81" t="s">
        <v>652</v>
      </c>
      <c r="AR159" s="279">
        <v>1.5</v>
      </c>
      <c r="AS159" s="89" t="s">
        <v>653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18.225000000000001</v>
      </c>
      <c r="H160" s="136">
        <f t="shared" si="13"/>
        <v>334.40366972477062</v>
      </c>
      <c r="I160" s="85" t="s">
        <v>636</v>
      </c>
      <c r="J160" s="280">
        <v>2.4</v>
      </c>
      <c r="K160" s="81" t="s">
        <v>637</v>
      </c>
      <c r="L160" s="279">
        <v>0.5</v>
      </c>
      <c r="M160" s="81"/>
      <c r="N160" s="279"/>
      <c r="O160" s="81" t="s">
        <v>638</v>
      </c>
      <c r="P160" s="279">
        <v>0.125</v>
      </c>
      <c r="Q160" s="89" t="s">
        <v>639</v>
      </c>
      <c r="R160" s="282">
        <v>0.6</v>
      </c>
      <c r="S160" s="89" t="s">
        <v>640</v>
      </c>
      <c r="T160" s="282">
        <v>0.85</v>
      </c>
      <c r="U160" s="89" t="s">
        <v>641</v>
      </c>
      <c r="V160" s="282">
        <v>0.85</v>
      </c>
      <c r="W160" s="89" t="s">
        <v>642</v>
      </c>
      <c r="X160" s="282">
        <v>0.85</v>
      </c>
      <c r="Y160" s="89" t="s">
        <v>643</v>
      </c>
      <c r="Z160" s="282">
        <v>0.4</v>
      </c>
      <c r="AA160" s="89" t="s">
        <v>644</v>
      </c>
      <c r="AB160" s="282">
        <v>0.45</v>
      </c>
      <c r="AC160" s="89" t="s">
        <v>645</v>
      </c>
      <c r="AD160" s="282">
        <v>1.4</v>
      </c>
      <c r="AE160" s="89" t="s">
        <v>646</v>
      </c>
      <c r="AF160" s="282">
        <v>1.8</v>
      </c>
      <c r="AG160" s="87" t="s">
        <v>647</v>
      </c>
      <c r="AH160" s="281">
        <v>2.0499999999999998</v>
      </c>
      <c r="AI160" s="87" t="s">
        <v>654</v>
      </c>
      <c r="AJ160" s="281">
        <v>1.2</v>
      </c>
      <c r="AK160" s="81" t="s">
        <v>649</v>
      </c>
      <c r="AL160" s="279">
        <v>0.8</v>
      </c>
      <c r="AM160" s="81" t="s">
        <v>650</v>
      </c>
      <c r="AN160" s="279">
        <v>0.8</v>
      </c>
      <c r="AO160" s="81" t="s">
        <v>651</v>
      </c>
      <c r="AP160" s="279">
        <v>0.8</v>
      </c>
      <c r="AQ160" s="81" t="s">
        <v>652</v>
      </c>
      <c r="AR160" s="279">
        <v>1.5</v>
      </c>
      <c r="AS160" s="89" t="s">
        <v>653</v>
      </c>
      <c r="AT160" s="279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79"/>
      <c r="K161" s="81"/>
      <c r="L161" s="279"/>
      <c r="M161" s="81"/>
      <c r="N161" s="279"/>
      <c r="O161" s="81"/>
      <c r="P161" s="279"/>
      <c r="Q161" s="81"/>
      <c r="R161" s="279"/>
      <c r="S161" s="89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0.3</v>
      </c>
      <c r="H162" s="136">
        <f t="shared" si="13"/>
        <v>5.5045871559633026</v>
      </c>
      <c r="I162" s="83" t="s">
        <v>655</v>
      </c>
      <c r="J162" s="284">
        <v>0.3</v>
      </c>
      <c r="K162" s="81"/>
      <c r="L162" s="279"/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656</v>
      </c>
      <c r="J163" s="282">
        <v>4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657</v>
      </c>
      <c r="J164" s="283">
        <v>1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658</v>
      </c>
      <c r="J165" s="281">
        <v>0.5</v>
      </c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1"/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659</v>
      </c>
      <c r="J167" s="283">
        <v>1</v>
      </c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79"/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660</v>
      </c>
      <c r="J169" s="279">
        <v>2.4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661</v>
      </c>
      <c r="J170" s="280">
        <v>1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662</v>
      </c>
      <c r="J171" s="279">
        <v>1.7</v>
      </c>
      <c r="K171" s="81"/>
      <c r="L171" s="279"/>
      <c r="M171" s="81"/>
      <c r="N171" s="279"/>
      <c r="O171" s="81"/>
      <c r="P171" s="279"/>
      <c r="Q171" s="81"/>
      <c r="R171" s="279"/>
      <c r="S171" s="81"/>
      <c r="T171" s="279"/>
      <c r="U171" s="81"/>
      <c r="V171" s="279"/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10.1</v>
      </c>
      <c r="H172" s="136">
        <f t="shared" si="13"/>
        <v>185.32110091743118</v>
      </c>
      <c r="I172" s="81" t="s">
        <v>663</v>
      </c>
      <c r="J172" s="279">
        <v>0.4</v>
      </c>
      <c r="K172" s="81" t="s">
        <v>664</v>
      </c>
      <c r="L172" s="279">
        <v>5.0999999999999996</v>
      </c>
      <c r="M172" s="260" t="s">
        <v>665</v>
      </c>
      <c r="N172" s="291">
        <v>0.8</v>
      </c>
      <c r="O172" s="85" t="s">
        <v>666</v>
      </c>
      <c r="P172" s="280">
        <v>1.4</v>
      </c>
      <c r="Q172" s="105" t="s">
        <v>667</v>
      </c>
      <c r="R172" s="290">
        <v>0.5</v>
      </c>
      <c r="S172" s="81" t="s">
        <v>668</v>
      </c>
      <c r="T172" s="279">
        <v>0.5</v>
      </c>
      <c r="U172" s="81" t="s">
        <v>669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11.200000000000001</v>
      </c>
      <c r="H173" s="136">
        <f t="shared" ref="H173" si="15">SUM(G173*1000)/54.5</f>
        <v>205.50458715596335</v>
      </c>
      <c r="I173" s="81" t="s">
        <v>663</v>
      </c>
      <c r="J173" s="279">
        <v>1.4</v>
      </c>
      <c r="K173" s="81" t="s">
        <v>664</v>
      </c>
      <c r="L173" s="279">
        <v>5.15</v>
      </c>
      <c r="M173" s="260" t="s">
        <v>665</v>
      </c>
      <c r="N173" s="291">
        <v>0.85</v>
      </c>
      <c r="O173" s="85" t="s">
        <v>666</v>
      </c>
      <c r="P173" s="280">
        <v>1.4</v>
      </c>
      <c r="Q173" s="105" t="s">
        <v>667</v>
      </c>
      <c r="R173" s="290">
        <v>0.5</v>
      </c>
      <c r="S173" s="81" t="s">
        <v>668</v>
      </c>
      <c r="T173" s="279">
        <v>0.5</v>
      </c>
      <c r="U173" s="81" t="s">
        <v>669</v>
      </c>
      <c r="V173" s="279">
        <v>1.4</v>
      </c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79"/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670</v>
      </c>
      <c r="J176" s="279">
        <v>2</v>
      </c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79"/>
      <c r="K177" s="81"/>
      <c r="L177" s="279"/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446</v>
      </c>
      <c r="F178" s="4"/>
      <c r="G178" s="251">
        <f t="shared" si="12"/>
        <v>7</v>
      </c>
      <c r="H178" s="136">
        <f t="shared" si="13"/>
        <v>128.44036697247705</v>
      </c>
      <c r="I178" s="81" t="s">
        <v>671</v>
      </c>
      <c r="J178" s="279">
        <v>1</v>
      </c>
      <c r="K178" s="81" t="s">
        <v>539</v>
      </c>
      <c r="L178" s="279">
        <v>6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7.4</v>
      </c>
      <c r="H179" s="136">
        <f t="shared" si="13"/>
        <v>135.77981651376146</v>
      </c>
      <c r="I179" s="81" t="s">
        <v>671</v>
      </c>
      <c r="J179" s="279">
        <v>1.5</v>
      </c>
      <c r="K179" s="81" t="s">
        <v>539</v>
      </c>
      <c r="L179" s="279">
        <v>5.9</v>
      </c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672</v>
      </c>
      <c r="J180" s="279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673</v>
      </c>
      <c r="J181" s="281">
        <v>2</v>
      </c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79"/>
      <c r="K183" s="81"/>
      <c r="L183" s="279"/>
      <c r="M183" s="81"/>
      <c r="N183" s="279"/>
      <c r="O183" s="81"/>
      <c r="P183" s="279"/>
      <c r="Q183" s="81"/>
      <c r="R183" s="279"/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446</v>
      </c>
      <c r="F184" s="4"/>
      <c r="G184" s="251">
        <f t="shared" si="12"/>
        <v>11.8</v>
      </c>
      <c r="H184" s="136">
        <f t="shared" si="13"/>
        <v>216.51376146788991</v>
      </c>
      <c r="I184" s="81" t="s">
        <v>674</v>
      </c>
      <c r="J184" s="279">
        <v>2.1</v>
      </c>
      <c r="K184" s="81" t="s">
        <v>675</v>
      </c>
      <c r="L184" s="279">
        <v>5.9</v>
      </c>
      <c r="M184" s="85" t="s">
        <v>676</v>
      </c>
      <c r="N184" s="280">
        <v>1.8</v>
      </c>
      <c r="O184" s="87" t="s">
        <v>677</v>
      </c>
      <c r="P184" s="281">
        <v>1</v>
      </c>
      <c r="Q184" s="85" t="s">
        <v>678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674</v>
      </c>
      <c r="J185" s="279">
        <v>2.5</v>
      </c>
      <c r="K185" s="81" t="s">
        <v>675</v>
      </c>
      <c r="L185" s="279">
        <v>6</v>
      </c>
      <c r="M185" s="85" t="s">
        <v>676</v>
      </c>
      <c r="N185" s="280">
        <v>2</v>
      </c>
      <c r="O185" s="87" t="s">
        <v>677</v>
      </c>
      <c r="P185" s="281">
        <v>1</v>
      </c>
      <c r="Q185" s="85" t="s">
        <v>678</v>
      </c>
      <c r="R185" s="280">
        <v>1</v>
      </c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79"/>
      <c r="K186" s="81"/>
      <c r="L186" s="279"/>
      <c r="M186" s="81"/>
      <c r="N186" s="279"/>
      <c r="O186" s="81"/>
      <c r="P186" s="279"/>
      <c r="Q186" s="81"/>
      <c r="R186" s="279"/>
      <c r="S186" s="81"/>
      <c r="T186" s="279"/>
      <c r="U186" s="81"/>
      <c r="V186" s="279"/>
      <c r="W186" s="81"/>
      <c r="X186" s="279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446</v>
      </c>
      <c r="F187" s="4"/>
      <c r="G187" s="251">
        <f t="shared" si="12"/>
        <v>10.15</v>
      </c>
      <c r="H187" s="136">
        <f t="shared" si="13"/>
        <v>186.23853211009174</v>
      </c>
      <c r="I187" s="81" t="s">
        <v>679</v>
      </c>
      <c r="J187" s="279">
        <v>1.25</v>
      </c>
      <c r="K187" s="81" t="s">
        <v>539</v>
      </c>
      <c r="L187" s="279">
        <v>5.7</v>
      </c>
      <c r="M187" s="85" t="s">
        <v>680</v>
      </c>
      <c r="N187" s="280">
        <v>1</v>
      </c>
      <c r="O187" s="85" t="s">
        <v>681</v>
      </c>
      <c r="P187" s="280">
        <v>1.3</v>
      </c>
      <c r="Q187" s="87" t="s">
        <v>682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679</v>
      </c>
      <c r="J188" s="281">
        <v>1.25</v>
      </c>
      <c r="K188" s="81" t="s">
        <v>539</v>
      </c>
      <c r="L188" s="279">
        <v>6</v>
      </c>
      <c r="M188" s="85" t="s">
        <v>680</v>
      </c>
      <c r="N188" s="280">
        <v>1</v>
      </c>
      <c r="O188" s="85" t="s">
        <v>681</v>
      </c>
      <c r="P188" s="280">
        <v>1.3</v>
      </c>
      <c r="Q188" s="87" t="s">
        <v>682</v>
      </c>
      <c r="R188" s="281">
        <v>0.9</v>
      </c>
      <c r="S188" s="85"/>
      <c r="T188" s="280"/>
      <c r="U188" s="85"/>
      <c r="V188" s="280"/>
      <c r="W188" s="85"/>
      <c r="X188" s="280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683</v>
      </c>
      <c r="J189" s="281">
        <v>1</v>
      </c>
      <c r="K189" s="81"/>
      <c r="L189" s="279"/>
      <c r="M189" s="81"/>
      <c r="N189" s="279"/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684</v>
      </c>
      <c r="J190" s="281">
        <v>4</v>
      </c>
      <c r="K190" s="83" t="s">
        <v>685</v>
      </c>
      <c r="L190" s="284">
        <v>1.4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686</v>
      </c>
      <c r="J191" s="285">
        <v>2</v>
      </c>
      <c r="K191" s="263" t="s">
        <v>687</v>
      </c>
      <c r="L191" s="283">
        <v>1</v>
      </c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688</v>
      </c>
      <c r="J192" s="281">
        <v>4</v>
      </c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1"/>
      <c r="K193" s="87"/>
      <c r="L193" s="281"/>
      <c r="M193" s="81"/>
      <c r="N193" s="279"/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2.7</v>
      </c>
      <c r="H194" s="136">
        <f t="shared" si="13"/>
        <v>49.541284403669728</v>
      </c>
      <c r="I194" s="87" t="s">
        <v>689</v>
      </c>
      <c r="J194" s="281">
        <v>1.7</v>
      </c>
      <c r="K194" s="263" t="s">
        <v>690</v>
      </c>
      <c r="L194" s="283">
        <v>1</v>
      </c>
      <c r="M194" s="81"/>
      <c r="N194" s="279"/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79"/>
      <c r="K196" s="81"/>
      <c r="L196" s="279"/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691</v>
      </c>
      <c r="J197" s="279">
        <v>1.7</v>
      </c>
      <c r="K197" s="256" t="s">
        <v>692</v>
      </c>
      <c r="L197" s="290">
        <v>1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446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693</v>
      </c>
      <c r="J198" s="279">
        <v>12</v>
      </c>
      <c r="K198" s="99"/>
      <c r="L198" s="28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79"/>
      <c r="K202" s="81"/>
      <c r="L202" s="279"/>
      <c r="M202" s="81"/>
      <c r="N202" s="279"/>
      <c r="O202" s="81"/>
      <c r="P202" s="279"/>
      <c r="Q202" s="81"/>
      <c r="R202" s="279"/>
      <c r="S202" s="81"/>
      <c r="T202" s="279"/>
      <c r="U202" s="81"/>
      <c r="V202" s="279"/>
      <c r="W202" s="81"/>
      <c r="X202" s="279"/>
      <c r="Y202" s="81"/>
      <c r="Z202" s="279"/>
      <c r="AA202" s="81"/>
      <c r="AB202" s="279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694</v>
      </c>
      <c r="J203" s="279">
        <v>12</v>
      </c>
      <c r="K203" s="81" t="s">
        <v>695</v>
      </c>
      <c r="L203" s="279">
        <v>3</v>
      </c>
      <c r="M203" s="81" t="s">
        <v>696</v>
      </c>
      <c r="N203" s="279">
        <v>0.5</v>
      </c>
      <c r="O203" s="81" t="s">
        <v>697</v>
      </c>
      <c r="P203" s="279">
        <v>4</v>
      </c>
      <c r="Q203" s="260" t="s">
        <v>698</v>
      </c>
      <c r="R203" s="283">
        <v>2</v>
      </c>
      <c r="S203" s="256" t="s">
        <v>699</v>
      </c>
      <c r="T203" s="290">
        <v>6</v>
      </c>
      <c r="U203" s="105" t="s">
        <v>700</v>
      </c>
      <c r="V203" s="290">
        <v>3</v>
      </c>
      <c r="W203" s="85" t="s">
        <v>701</v>
      </c>
      <c r="X203" s="280">
        <v>3</v>
      </c>
      <c r="Y203" s="85" t="s">
        <v>702</v>
      </c>
      <c r="Z203" s="280">
        <v>3</v>
      </c>
      <c r="AA203" s="85"/>
      <c r="AB203" s="280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10.5</v>
      </c>
      <c r="H204" s="136">
        <f t="shared" si="13"/>
        <v>192.66055045871559</v>
      </c>
      <c r="I204" s="81" t="s">
        <v>703</v>
      </c>
      <c r="J204" s="279">
        <v>2.4</v>
      </c>
      <c r="K204" s="81" t="s">
        <v>704</v>
      </c>
      <c r="L204" s="279">
        <v>0.7</v>
      </c>
      <c r="M204" s="81" t="s">
        <v>705</v>
      </c>
      <c r="N204" s="279">
        <v>2.1</v>
      </c>
      <c r="O204" s="81" t="s">
        <v>706</v>
      </c>
      <c r="P204" s="279">
        <v>0.7</v>
      </c>
      <c r="Q204" s="81" t="s">
        <v>707</v>
      </c>
      <c r="R204" s="279">
        <v>1.3</v>
      </c>
      <c r="S204" s="81" t="s">
        <v>708</v>
      </c>
      <c r="T204" s="279">
        <v>3.3</v>
      </c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79"/>
      <c r="K205" s="81"/>
      <c r="L205" s="279"/>
      <c r="M205" s="81"/>
      <c r="N205" s="279"/>
      <c r="O205" s="81"/>
      <c r="P205" s="279"/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422</v>
      </c>
      <c r="J206" s="282">
        <v>1.8</v>
      </c>
      <c r="K206" s="89" t="s">
        <v>530</v>
      </c>
      <c r="L206" s="282">
        <v>2.9</v>
      </c>
      <c r="M206" s="87" t="s">
        <v>456</v>
      </c>
      <c r="N206" s="281">
        <v>0.5</v>
      </c>
      <c r="O206" s="83" t="s">
        <v>709</v>
      </c>
      <c r="P206" s="284">
        <v>5</v>
      </c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710</v>
      </c>
      <c r="J207" s="283">
        <v>0.25</v>
      </c>
      <c r="K207" s="81"/>
      <c r="L207" s="279"/>
      <c r="M207" s="81"/>
      <c r="N207" s="279"/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711</v>
      </c>
      <c r="J208" s="282">
        <v>1.7</v>
      </c>
      <c r="K208" s="85" t="s">
        <v>712</v>
      </c>
      <c r="L208" s="280">
        <v>5.5</v>
      </c>
      <c r="M208" s="81"/>
      <c r="N208" s="279"/>
      <c r="O208" s="81"/>
      <c r="P208" s="279"/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3.7</v>
      </c>
      <c r="H209" s="136">
        <f t="shared" ref="H209:H270" si="19">SUM(G209*1000)/54.5</f>
        <v>67.88990825688073</v>
      </c>
      <c r="I209" s="81" t="s">
        <v>713</v>
      </c>
      <c r="J209" s="279">
        <v>1.7</v>
      </c>
      <c r="K209" s="81" t="s">
        <v>714</v>
      </c>
      <c r="L209" s="279">
        <v>1</v>
      </c>
      <c r="M209" s="260" t="s">
        <v>715</v>
      </c>
      <c r="N209" s="283">
        <v>1</v>
      </c>
      <c r="O209" s="81"/>
      <c r="P209" s="279"/>
      <c r="Q209" s="81"/>
      <c r="R209" s="279"/>
      <c r="S209" s="81"/>
      <c r="T209" s="279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716</v>
      </c>
      <c r="J210" s="279">
        <v>0.5</v>
      </c>
      <c r="K210" s="266" t="s">
        <v>569</v>
      </c>
      <c r="L210" s="291">
        <v>2</v>
      </c>
      <c r="M210" s="99" t="s">
        <v>714</v>
      </c>
      <c r="N210" s="289">
        <v>1</v>
      </c>
      <c r="O210" s="83"/>
      <c r="P210" s="284"/>
      <c r="Q210" s="81"/>
      <c r="R210" s="279"/>
      <c r="S210" s="83"/>
      <c r="T210" s="284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79"/>
      <c r="K212" s="81"/>
      <c r="L212" s="279"/>
      <c r="M212" s="81"/>
      <c r="N212" s="279"/>
      <c r="O212" s="81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717</v>
      </c>
      <c r="J213" s="279">
        <v>1</v>
      </c>
      <c r="K213" s="263" t="s">
        <v>718</v>
      </c>
      <c r="L213" s="283">
        <v>1</v>
      </c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2</v>
      </c>
      <c r="H214" s="136">
        <f t="shared" si="19"/>
        <v>36.697247706422019</v>
      </c>
      <c r="I214" s="260" t="s">
        <v>719</v>
      </c>
      <c r="J214" s="283">
        <v>1</v>
      </c>
      <c r="K214" s="87" t="s">
        <v>720</v>
      </c>
      <c r="L214" s="281">
        <v>1</v>
      </c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721</v>
      </c>
      <c r="J215" s="283">
        <v>1</v>
      </c>
      <c r="K215" s="87"/>
      <c r="L215" s="281"/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722</v>
      </c>
      <c r="J216" s="281">
        <v>2</v>
      </c>
      <c r="K216" s="260" t="s">
        <v>723</v>
      </c>
      <c r="L216" s="281">
        <v>2</v>
      </c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79"/>
      <c r="K218" s="81"/>
      <c r="L218" s="279"/>
      <c r="M218" s="81"/>
      <c r="N218" s="279"/>
      <c r="O218" s="81"/>
      <c r="P218" s="279"/>
      <c r="Q218" s="81"/>
      <c r="R218" s="279"/>
      <c r="S218" s="81"/>
      <c r="T218" s="279"/>
      <c r="U218" s="81"/>
      <c r="V218" s="279"/>
      <c r="W218" s="81"/>
      <c r="X218" s="279"/>
      <c r="Y218" s="81"/>
      <c r="Z218" s="279"/>
      <c r="AA218" s="81"/>
      <c r="AB218" s="279"/>
      <c r="AC218" s="81"/>
      <c r="AD218" s="279"/>
      <c r="AE218" s="81"/>
      <c r="AF218" s="279"/>
      <c r="AG218" s="81"/>
      <c r="AH218" s="279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17.05</v>
      </c>
      <c r="H219" s="136">
        <f t="shared" si="19"/>
        <v>312.8440366972477</v>
      </c>
      <c r="I219" s="81" t="s">
        <v>724</v>
      </c>
      <c r="J219" s="279">
        <v>1.5</v>
      </c>
      <c r="K219" s="81" t="s">
        <v>725</v>
      </c>
      <c r="L219" s="279">
        <v>0.4</v>
      </c>
      <c r="M219" s="81" t="s">
        <v>726</v>
      </c>
      <c r="N219" s="279">
        <v>1.5</v>
      </c>
      <c r="O219" s="81" t="s">
        <v>727</v>
      </c>
      <c r="P219" s="279">
        <v>1</v>
      </c>
      <c r="Q219" s="81" t="s">
        <v>728</v>
      </c>
      <c r="R219" s="279">
        <v>1.2</v>
      </c>
      <c r="S219" s="81" t="s">
        <v>729</v>
      </c>
      <c r="T219" s="279">
        <v>1</v>
      </c>
      <c r="U219" s="89" t="s">
        <v>730</v>
      </c>
      <c r="V219" s="282">
        <v>0.5</v>
      </c>
      <c r="W219" s="263" t="s">
        <v>731</v>
      </c>
      <c r="X219" s="291">
        <v>2</v>
      </c>
      <c r="Y219" s="87" t="s">
        <v>732</v>
      </c>
      <c r="Z219" s="281">
        <v>3.25</v>
      </c>
      <c r="AA219" s="87" t="s">
        <v>733</v>
      </c>
      <c r="AB219" s="281">
        <v>1.6</v>
      </c>
      <c r="AC219" s="256" t="s">
        <v>734</v>
      </c>
      <c r="AD219" s="294">
        <v>2</v>
      </c>
      <c r="AE219" s="83" t="s">
        <v>735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16.55</v>
      </c>
      <c r="H220" s="136">
        <f t="shared" si="19"/>
        <v>303.66972477064218</v>
      </c>
      <c r="I220" s="81" t="s">
        <v>724</v>
      </c>
      <c r="J220" s="279">
        <v>1</v>
      </c>
      <c r="K220" s="81" t="s">
        <v>725</v>
      </c>
      <c r="L220" s="279">
        <v>0.6</v>
      </c>
      <c r="M220" s="81" t="s">
        <v>726</v>
      </c>
      <c r="N220" s="279">
        <v>1.5</v>
      </c>
      <c r="O220" s="81" t="s">
        <v>727</v>
      </c>
      <c r="P220" s="279">
        <v>1</v>
      </c>
      <c r="Q220" s="81" t="s">
        <v>728</v>
      </c>
      <c r="R220" s="279">
        <v>1.2</v>
      </c>
      <c r="S220" s="81" t="s">
        <v>729</v>
      </c>
      <c r="T220" s="279">
        <v>0.9</v>
      </c>
      <c r="U220" s="89" t="s">
        <v>730</v>
      </c>
      <c r="V220" s="282">
        <v>0.4</v>
      </c>
      <c r="W220" s="263" t="s">
        <v>731</v>
      </c>
      <c r="X220" s="291">
        <v>2</v>
      </c>
      <c r="Y220" s="87" t="s">
        <v>732</v>
      </c>
      <c r="Z220" s="281">
        <v>3.25</v>
      </c>
      <c r="AA220" s="87" t="s">
        <v>733</v>
      </c>
      <c r="AB220" s="281">
        <v>1.6</v>
      </c>
      <c r="AC220" s="256" t="s">
        <v>734</v>
      </c>
      <c r="AD220" s="294">
        <v>2</v>
      </c>
      <c r="AE220" s="83" t="s">
        <v>735</v>
      </c>
      <c r="AF220" s="284">
        <v>1.1000000000000001</v>
      </c>
      <c r="AG220" s="83"/>
      <c r="AH220" s="284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736</v>
      </c>
      <c r="J221" s="283">
        <v>0.5</v>
      </c>
      <c r="K221" s="87" t="s">
        <v>737</v>
      </c>
      <c r="L221" s="281">
        <v>1.25</v>
      </c>
      <c r="M221" s="87" t="s">
        <v>738</v>
      </c>
      <c r="N221" s="281">
        <v>1.25</v>
      </c>
      <c r="O221" s="83" t="s">
        <v>739</v>
      </c>
      <c r="P221" s="284">
        <v>2.75</v>
      </c>
      <c r="Q221" s="81"/>
      <c r="R221" s="321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736</v>
      </c>
      <c r="J222" s="283">
        <v>0.5</v>
      </c>
      <c r="K222" s="87" t="s">
        <v>737</v>
      </c>
      <c r="L222" s="281">
        <v>1.25</v>
      </c>
      <c r="M222" s="87" t="s">
        <v>738</v>
      </c>
      <c r="N222" s="281">
        <v>1.25</v>
      </c>
      <c r="O222" s="83" t="s">
        <v>739</v>
      </c>
      <c r="P222" s="284">
        <v>2.75</v>
      </c>
      <c r="Q222" s="81"/>
      <c r="R222" s="321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740</v>
      </c>
      <c r="J224" s="279">
        <v>3</v>
      </c>
      <c r="K224" s="81"/>
      <c r="L224" s="279"/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741</v>
      </c>
      <c r="J225" s="279">
        <v>2.4</v>
      </c>
      <c r="K225" s="83" t="s">
        <v>742</v>
      </c>
      <c r="L225" s="284">
        <v>1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743</v>
      </c>
      <c r="J226" s="281">
        <v>1</v>
      </c>
      <c r="K226" s="85" t="s">
        <v>744</v>
      </c>
      <c r="L226" s="280">
        <v>2</v>
      </c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745</v>
      </c>
      <c r="J227" s="284">
        <v>1.1000000000000001</v>
      </c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4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79"/>
      <c r="K231" s="81"/>
      <c r="L231" s="279"/>
      <c r="M231" s="81"/>
      <c r="N231" s="279"/>
      <c r="O231" s="81"/>
      <c r="P231" s="279"/>
      <c r="Q231" s="81"/>
      <c r="R231" s="279"/>
      <c r="S231" s="81"/>
      <c r="T231" s="279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746</v>
      </c>
      <c r="J232" s="279">
        <v>0.9</v>
      </c>
      <c r="K232" s="81" t="s">
        <v>747</v>
      </c>
      <c r="L232" s="279">
        <v>1.855</v>
      </c>
      <c r="M232" s="81" t="s">
        <v>748</v>
      </c>
      <c r="N232" s="279">
        <v>1.45</v>
      </c>
      <c r="O232" s="81" t="s">
        <v>749</v>
      </c>
      <c r="P232" s="279">
        <v>1.9</v>
      </c>
      <c r="Q232" s="87" t="s">
        <v>750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746</v>
      </c>
      <c r="J233" s="279">
        <v>0.9</v>
      </c>
      <c r="K233" s="81" t="s">
        <v>747</v>
      </c>
      <c r="L233" s="279">
        <v>1.855</v>
      </c>
      <c r="M233" s="81" t="s">
        <v>748</v>
      </c>
      <c r="N233" s="279">
        <v>1.45</v>
      </c>
      <c r="O233" s="81" t="s">
        <v>749</v>
      </c>
      <c r="P233" s="279">
        <v>1.9</v>
      </c>
      <c r="Q233" s="87" t="s">
        <v>750</v>
      </c>
      <c r="R233" s="281">
        <v>2.1</v>
      </c>
      <c r="S233" s="83"/>
      <c r="T233" s="284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79"/>
      <c r="K234" s="81"/>
      <c r="L234" s="279"/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7.4</v>
      </c>
      <c r="H235" s="136">
        <f t="shared" si="19"/>
        <v>135.77981651376146</v>
      </c>
      <c r="I235" s="81" t="s">
        <v>751</v>
      </c>
      <c r="J235" s="279">
        <v>5.8</v>
      </c>
      <c r="K235" s="85" t="s">
        <v>752</v>
      </c>
      <c r="L235" s="280">
        <v>1.6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751</v>
      </c>
      <c r="J236" s="279">
        <v>5.9</v>
      </c>
      <c r="K236" s="85" t="s">
        <v>752</v>
      </c>
      <c r="L236" s="280">
        <v>1.8</v>
      </c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79"/>
      <c r="K237" s="81"/>
      <c r="L237" s="279"/>
      <c r="M237" s="81"/>
      <c r="N237" s="279"/>
      <c r="O237" s="81"/>
      <c r="P237" s="279"/>
      <c r="Q237" s="81"/>
      <c r="R237" s="279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753</v>
      </c>
      <c r="J238" s="279">
        <v>2.4</v>
      </c>
      <c r="K238" s="87" t="s">
        <v>754</v>
      </c>
      <c r="L238" s="281">
        <v>2</v>
      </c>
      <c r="M238" s="263" t="s">
        <v>755</v>
      </c>
      <c r="N238" s="283">
        <v>2</v>
      </c>
      <c r="O238" s="87" t="s">
        <v>756</v>
      </c>
      <c r="P238" s="281">
        <v>1</v>
      </c>
      <c r="Q238" s="83"/>
      <c r="R238" s="284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79"/>
      <c r="K239" s="81"/>
      <c r="L239" s="279"/>
      <c r="M239" s="81"/>
      <c r="N239" s="279"/>
      <c r="O239" s="81"/>
      <c r="P239" s="279"/>
      <c r="Q239" s="81"/>
      <c r="R239" s="279"/>
      <c r="S239" s="81"/>
      <c r="T239" s="279"/>
      <c r="U239" s="81"/>
      <c r="V239" s="279"/>
      <c r="W239" s="81"/>
      <c r="X239" s="279"/>
      <c r="Y239" s="81"/>
      <c r="Z239" s="279"/>
      <c r="AA239" s="81"/>
      <c r="AB239" s="279"/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10.024999999999999</v>
      </c>
      <c r="H240" s="136">
        <f t="shared" si="19"/>
        <v>183.94495412844034</v>
      </c>
      <c r="I240" s="81" t="s">
        <v>757</v>
      </c>
      <c r="J240" s="279">
        <v>0.9</v>
      </c>
      <c r="K240" s="85" t="s">
        <v>758</v>
      </c>
      <c r="L240" s="279">
        <v>1.25</v>
      </c>
      <c r="M240" s="81" t="s">
        <v>759</v>
      </c>
      <c r="N240" s="279">
        <v>1.55</v>
      </c>
      <c r="O240" s="81" t="s">
        <v>760</v>
      </c>
      <c r="P240" s="279">
        <v>0.85</v>
      </c>
      <c r="Q240" s="81" t="s">
        <v>761</v>
      </c>
      <c r="R240" s="279">
        <v>0.3</v>
      </c>
      <c r="S240" s="89" t="s">
        <v>762</v>
      </c>
      <c r="T240" s="282">
        <v>0.67500000000000004</v>
      </c>
      <c r="U240" s="85" t="s">
        <v>763</v>
      </c>
      <c r="V240" s="280">
        <v>1.5</v>
      </c>
      <c r="W240" s="85" t="s">
        <v>764</v>
      </c>
      <c r="X240" s="280">
        <v>1.05</v>
      </c>
      <c r="Y240" s="85" t="s">
        <v>765</v>
      </c>
      <c r="Z240" s="279">
        <v>0.95</v>
      </c>
      <c r="AA240" s="85" t="s">
        <v>766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11.024999999999999</v>
      </c>
      <c r="H241" s="136">
        <f t="shared" si="19"/>
        <v>202.29357798165134</v>
      </c>
      <c r="I241" s="89" t="s">
        <v>757</v>
      </c>
      <c r="J241" s="282">
        <v>1.6</v>
      </c>
      <c r="K241" s="85" t="s">
        <v>758</v>
      </c>
      <c r="L241" s="279">
        <v>1.25</v>
      </c>
      <c r="M241" s="81" t="s">
        <v>759</v>
      </c>
      <c r="N241" s="279">
        <v>1.65</v>
      </c>
      <c r="O241" s="81" t="s">
        <v>760</v>
      </c>
      <c r="P241" s="279">
        <v>0.85</v>
      </c>
      <c r="Q241" s="81" t="s">
        <v>761</v>
      </c>
      <c r="R241" s="279">
        <v>0.5</v>
      </c>
      <c r="S241" s="89" t="s">
        <v>762</v>
      </c>
      <c r="T241" s="282">
        <v>0.67500000000000004</v>
      </c>
      <c r="U241" s="85" t="s">
        <v>763</v>
      </c>
      <c r="V241" s="280">
        <v>1.5</v>
      </c>
      <c r="W241" s="85" t="s">
        <v>764</v>
      </c>
      <c r="X241" s="280">
        <v>1.05</v>
      </c>
      <c r="Y241" s="85" t="s">
        <v>765</v>
      </c>
      <c r="Z241" s="279">
        <v>0.95</v>
      </c>
      <c r="AA241" s="85" t="s">
        <v>766</v>
      </c>
      <c r="AB241" s="279">
        <v>1</v>
      </c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767</v>
      </c>
      <c r="J242" s="281">
        <v>2</v>
      </c>
      <c r="K242" s="87" t="s">
        <v>768</v>
      </c>
      <c r="L242" s="281">
        <v>2</v>
      </c>
      <c r="M242" s="260" t="s">
        <v>769</v>
      </c>
      <c r="N242" s="283">
        <v>2.73</v>
      </c>
      <c r="O242" s="301" t="s">
        <v>770</v>
      </c>
      <c r="P242" s="327">
        <v>3</v>
      </c>
      <c r="Q242" s="301" t="s">
        <v>771</v>
      </c>
      <c r="R242" s="327">
        <v>2.1</v>
      </c>
      <c r="S242" s="89"/>
      <c r="T242" s="282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767</v>
      </c>
      <c r="J243" s="281">
        <v>2</v>
      </c>
      <c r="K243" s="87" t="s">
        <v>768</v>
      </c>
      <c r="L243" s="281">
        <v>2</v>
      </c>
      <c r="M243" s="260" t="s">
        <v>769</v>
      </c>
      <c r="N243" s="283">
        <v>2.73</v>
      </c>
      <c r="O243" s="301" t="s">
        <v>770</v>
      </c>
      <c r="P243" s="327">
        <v>3</v>
      </c>
      <c r="Q243" s="301" t="s">
        <v>771</v>
      </c>
      <c r="R243" s="327">
        <v>2.1</v>
      </c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79"/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772</v>
      </c>
      <c r="J245" s="280">
        <v>1.5</v>
      </c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79"/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773</v>
      </c>
      <c r="J247" s="283">
        <v>1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774</v>
      </c>
      <c r="J248" s="279">
        <v>2.4</v>
      </c>
      <c r="K248" s="81"/>
      <c r="L248" s="279"/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0.9</v>
      </c>
      <c r="H249" s="136">
        <f t="shared" si="19"/>
        <v>16.513761467889907</v>
      </c>
      <c r="I249" s="87" t="s">
        <v>775</v>
      </c>
      <c r="J249" s="281">
        <v>0.5</v>
      </c>
      <c r="K249" s="83" t="s">
        <v>776</v>
      </c>
      <c r="L249" s="284">
        <v>0.4</v>
      </c>
      <c r="M249" s="81"/>
      <c r="N249" s="279"/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2.7</v>
      </c>
      <c r="H250" s="136">
        <f t="shared" si="19"/>
        <v>49.541284403669728</v>
      </c>
      <c r="I250" s="87" t="s">
        <v>777</v>
      </c>
      <c r="J250" s="281">
        <v>1.7</v>
      </c>
      <c r="K250" s="263" t="s">
        <v>778</v>
      </c>
      <c r="L250" s="283">
        <v>1</v>
      </c>
      <c r="M250" s="81"/>
      <c r="N250" s="279"/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779</v>
      </c>
      <c r="J251" s="283">
        <v>1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780</v>
      </c>
      <c r="J252" s="281">
        <v>2.4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781</v>
      </c>
      <c r="J253" s="283">
        <v>1</v>
      </c>
      <c r="K253" s="87"/>
      <c r="L253" s="281"/>
      <c r="M253" s="81"/>
      <c r="N253" s="279"/>
      <c r="O253" s="81"/>
      <c r="P253" s="279"/>
      <c r="Q253" s="81"/>
      <c r="R253" s="279"/>
      <c r="S253" s="81"/>
      <c r="T253" s="279"/>
      <c r="U253" s="81"/>
      <c r="V253" s="279"/>
      <c r="W253" s="81"/>
      <c r="X253" s="279"/>
      <c r="Y253" s="81"/>
      <c r="Z253" s="279"/>
      <c r="AA253" s="81"/>
      <c r="AB253" s="279"/>
      <c r="AC253" s="81"/>
      <c r="AD253" s="279"/>
      <c r="AE253" s="81"/>
      <c r="AF253" s="279"/>
      <c r="AG253" s="81"/>
      <c r="AH253" s="279"/>
      <c r="AI253" s="81"/>
      <c r="AJ253" s="279"/>
      <c r="AK253" s="81"/>
      <c r="AL253" s="279"/>
      <c r="AM253" s="81"/>
      <c r="AN253" s="279"/>
      <c r="AO253" s="81"/>
      <c r="AP253" s="279"/>
      <c r="AQ253" s="81"/>
      <c r="AR253" s="279"/>
      <c r="AS253" s="81"/>
      <c r="AT253" s="279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7"/>
      <c r="K254" s="91"/>
      <c r="L254" s="287"/>
      <c r="M254" s="91"/>
      <c r="N254" s="279"/>
      <c r="O254" s="91"/>
      <c r="P254" s="279"/>
      <c r="Q254" s="91"/>
      <c r="R254" s="279"/>
      <c r="S254" s="91"/>
      <c r="T254" s="279"/>
      <c r="U254" s="91"/>
      <c r="V254" s="279"/>
      <c r="W254" s="91"/>
      <c r="X254" s="279"/>
      <c r="Y254" s="91"/>
      <c r="Z254" s="279"/>
      <c r="AA254" s="91"/>
      <c r="AB254" s="279"/>
      <c r="AC254" s="91"/>
      <c r="AD254" s="279"/>
      <c r="AE254" s="91"/>
      <c r="AF254" s="279"/>
      <c r="AG254" s="91"/>
      <c r="AH254" s="279"/>
      <c r="AI254" s="91"/>
      <c r="AJ254" s="279"/>
      <c r="AK254" s="91"/>
      <c r="AL254" s="279"/>
      <c r="AM254" s="91"/>
      <c r="AN254" s="279"/>
      <c r="AO254" s="91"/>
      <c r="AP254" s="279"/>
      <c r="AQ254" s="91"/>
      <c r="AR254" s="279"/>
      <c r="AS254" s="91"/>
      <c r="AT254" s="279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79"/>
      <c r="K269" s="81"/>
      <c r="L269" s="279"/>
      <c r="M269" s="81"/>
      <c r="N269" s="279"/>
      <c r="O269" s="81"/>
      <c r="P269" s="279"/>
      <c r="Q269" s="81"/>
      <c r="R269" s="279"/>
      <c r="S269" s="81"/>
      <c r="T269" s="279"/>
      <c r="U269" s="81"/>
      <c r="V269" s="279"/>
      <c r="W269" s="81"/>
      <c r="X269" s="279"/>
      <c r="Y269" s="81"/>
      <c r="Z269" s="279"/>
      <c r="AA269" s="81"/>
      <c r="AB269" s="279"/>
      <c r="AC269" s="81"/>
      <c r="AD269" s="279"/>
      <c r="AE269" s="81"/>
      <c r="AF269" s="279"/>
      <c r="AG269" s="81"/>
      <c r="AH269" s="279"/>
      <c r="AI269" s="81"/>
      <c r="AJ269" s="279"/>
      <c r="AK269" s="81"/>
      <c r="AL269" s="279"/>
      <c r="AM269" s="81"/>
      <c r="AN269" s="279"/>
      <c r="AO269" s="81"/>
      <c r="AP269" s="279"/>
      <c r="AQ269" s="81"/>
      <c r="AR269" s="279"/>
      <c r="AS269" s="81"/>
      <c r="AT269" s="279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algorithmName="SHA-512" hashValue="FI5gG4fSFMU8gQ4iS1S2T3jn9TYUkpgykTv833pBdSBm2As1XCh78e4kO6RS0uSOljBsOwP2jVzw6Nr6G56JmQ==" saltValue="ENHPZeN0s6iLFOdAL7nGzQ==" spinCount="100000" sheet="1"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J427" activePane="bottomRight" state="frozen"/>
      <selection pane="bottomRight" activeCell="R433" sqref="R433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782</v>
      </c>
      <c r="B1" t="s">
        <v>286</v>
      </c>
      <c r="C1" t="s">
        <v>271</v>
      </c>
      <c r="D1" s="52" t="s">
        <v>783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784</v>
      </c>
      <c r="P1" s="11" t="s">
        <v>309</v>
      </c>
      <c r="Q1" s="65" t="s">
        <v>785</v>
      </c>
      <c r="R1" s="9" t="s">
        <v>311</v>
      </c>
      <c r="S1" s="13" t="s">
        <v>785</v>
      </c>
      <c r="T1" s="9" t="s">
        <v>311</v>
      </c>
      <c r="U1" s="13" t="s">
        <v>785</v>
      </c>
      <c r="V1" s="9" t="s">
        <v>311</v>
      </c>
      <c r="W1" s="13" t="s">
        <v>785</v>
      </c>
      <c r="X1" s="9" t="s">
        <v>311</v>
      </c>
      <c r="Y1" s="13" t="s">
        <v>785</v>
      </c>
      <c r="Z1" s="9" t="s">
        <v>311</v>
      </c>
      <c r="AA1" s="13" t="s">
        <v>785</v>
      </c>
      <c r="AB1" s="9" t="s">
        <v>311</v>
      </c>
      <c r="AC1" s="13" t="s">
        <v>785</v>
      </c>
      <c r="AD1" s="9" t="s">
        <v>311</v>
      </c>
      <c r="AE1" s="13" t="s">
        <v>785</v>
      </c>
      <c r="AF1" s="9" t="s">
        <v>311</v>
      </c>
      <c r="AG1" s="13" t="s">
        <v>785</v>
      </c>
      <c r="AH1" s="9" t="s">
        <v>311</v>
      </c>
      <c r="AI1" s="13" t="s">
        <v>785</v>
      </c>
      <c r="AJ1" s="9" t="s">
        <v>311</v>
      </c>
      <c r="AK1" s="13" t="s">
        <v>785</v>
      </c>
      <c r="AL1" s="9" t="s">
        <v>311</v>
      </c>
      <c r="AM1" s="13" t="s">
        <v>785</v>
      </c>
      <c r="AN1" s="9" t="s">
        <v>311</v>
      </c>
      <c r="AO1" s="13" t="s">
        <v>785</v>
      </c>
      <c r="AP1" s="9" t="s">
        <v>311</v>
      </c>
      <c r="AQ1" s="13" t="s">
        <v>785</v>
      </c>
      <c r="AR1" s="9" t="s">
        <v>311</v>
      </c>
      <c r="AS1" s="13" t="s">
        <v>785</v>
      </c>
      <c r="AT1" s="9"/>
      <c r="AU1" s="13" t="s">
        <v>785</v>
      </c>
      <c r="AV1" s="9"/>
      <c r="AW1" s="13" t="s">
        <v>785</v>
      </c>
      <c r="AX1" s="13" t="s">
        <v>786</v>
      </c>
      <c r="AY1" s="13" t="s">
        <v>787</v>
      </c>
      <c r="AZ1" s="49" t="s">
        <v>788</v>
      </c>
      <c r="BA1" s="49" t="s">
        <v>789</v>
      </c>
      <c r="BB1" s="52" t="s">
        <v>790</v>
      </c>
      <c r="BC1" s="52" t="s">
        <v>791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792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792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465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792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793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794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794</v>
      </c>
      <c r="E7">
        <f>[2]Sheet1!D7</f>
        <v>0</v>
      </c>
      <c r="F7">
        <f>[2]Sheet1!E7</f>
        <v>0</v>
      </c>
      <c r="G7" s="64">
        <f>[2]Sheet1!F7</f>
        <v>44258</v>
      </c>
      <c r="H7">
        <f>[2]Sheet1!G7</f>
        <v>300</v>
      </c>
      <c r="I7">
        <f>[2]Sheet1!H7</f>
        <v>300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794</v>
      </c>
      <c r="E8">
        <f>[2]Sheet1!D8</f>
        <v>0</v>
      </c>
      <c r="F8">
        <f>[2]Sheet1!E8</f>
        <v>0</v>
      </c>
      <c r="G8" s="64">
        <f>[2]Sheet1!F8</f>
        <v>44258</v>
      </c>
      <c r="H8">
        <f>[2]Sheet1!G8</f>
        <v>300</v>
      </c>
      <c r="I8">
        <f>[2]Sheet1!H8</f>
        <v>300</v>
      </c>
      <c r="J8">
        <f>[2]Sheet1!I8</f>
        <v>0</v>
      </c>
      <c r="K8">
        <f>[2]Sheet1!J8</f>
        <v>1</v>
      </c>
      <c r="L8">
        <f>[2]Sheet1!K8</f>
        <v>0</v>
      </c>
      <c r="M8">
        <f>[2]Sheet1!L8</f>
        <v>0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794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794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795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796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660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797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797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797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797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798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5" t="s">
        <v>686</v>
      </c>
      <c r="R17" s="255">
        <v>2</v>
      </c>
      <c r="S17" s="256" t="s">
        <v>687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798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92"/>
      <c r="R18" s="80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799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799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5" t="s">
        <v>779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799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800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801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802</v>
      </c>
      <c r="E23">
        <f>[2]Sheet1!D23</f>
        <v>61.8</v>
      </c>
      <c r="F23">
        <f>[2]Sheet1!E23</f>
        <v>62.500000000000007</v>
      </c>
      <c r="G23" s="64">
        <f>[2]Sheet1!F23</f>
        <v>45387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218.75</v>
      </c>
      <c r="Q23" s="81" t="s">
        <v>322</v>
      </c>
      <c r="R23" s="82">
        <v>1.8</v>
      </c>
      <c r="S23" s="81" t="s">
        <v>323</v>
      </c>
      <c r="T23" s="82">
        <v>5.3</v>
      </c>
      <c r="U23" s="253" t="s">
        <v>324</v>
      </c>
      <c r="V23" s="281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10.5</v>
      </c>
      <c r="AY23" s="78">
        <f t="shared" si="4"/>
        <v>218.75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171.17500000000001</v>
      </c>
      <c r="BC23" s="53">
        <f t="shared" si="1"/>
        <v>171.875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802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802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802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802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802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803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370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804</v>
      </c>
      <c r="E30">
        <f>[2]Sheet1!D30</f>
        <v>310.60000000000002</v>
      </c>
      <c r="F30">
        <f>[2]Sheet1!E30</f>
        <v>284.60000000000002</v>
      </c>
      <c r="G30" s="64">
        <f>[2]Sheet1!F30</f>
        <v>45399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736.45833333333314</v>
      </c>
      <c r="Q30" s="81" t="s">
        <v>430</v>
      </c>
      <c r="R30" s="279">
        <v>1</v>
      </c>
      <c r="S30" s="81" t="s">
        <v>431</v>
      </c>
      <c r="T30" s="279">
        <v>1.8</v>
      </c>
      <c r="U30" s="81" t="s">
        <v>432</v>
      </c>
      <c r="V30" s="279">
        <v>1.3</v>
      </c>
      <c r="W30" s="81" t="s">
        <v>433</v>
      </c>
      <c r="X30" s="279">
        <v>10.9</v>
      </c>
      <c r="Y30" s="89" t="s">
        <v>435</v>
      </c>
      <c r="Z30" s="90">
        <v>1.8</v>
      </c>
      <c r="AA30" s="89" t="s">
        <v>436</v>
      </c>
      <c r="AB30" s="282">
        <v>2.65</v>
      </c>
      <c r="AC30" s="87" t="s">
        <v>439</v>
      </c>
      <c r="AD30" s="281">
        <v>2.2000000000000002</v>
      </c>
      <c r="AE30" s="112" t="s">
        <v>437</v>
      </c>
      <c r="AF30" s="113">
        <v>2</v>
      </c>
      <c r="AG30" s="85" t="s">
        <v>805</v>
      </c>
      <c r="AH30" s="86">
        <v>2.4</v>
      </c>
      <c r="AI30" s="85" t="s">
        <v>441</v>
      </c>
      <c r="AJ30" s="86">
        <v>2.9</v>
      </c>
      <c r="AK30" s="81" t="s">
        <v>429</v>
      </c>
      <c r="AL30" s="279">
        <v>2.5</v>
      </c>
      <c r="AM30" s="87" t="s">
        <v>806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678.82916666666665</v>
      </c>
      <c r="BC30" s="53">
        <f t="shared" si="1"/>
        <v>652.82916666666665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804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804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807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16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471</v>
      </c>
      <c r="R33" s="82">
        <v>1</v>
      </c>
      <c r="S33" s="81" t="s">
        <v>480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807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473</v>
      </c>
      <c r="R34" s="261">
        <v>2</v>
      </c>
      <c r="S34" s="263" t="s">
        <v>474</v>
      </c>
      <c r="T34" s="261">
        <v>2</v>
      </c>
      <c r="U34" s="263" t="s">
        <v>476</v>
      </c>
      <c r="V34" s="261">
        <v>2</v>
      </c>
      <c r="W34" s="99" t="s">
        <v>474</v>
      </c>
      <c r="X34" s="100">
        <v>2</v>
      </c>
      <c r="Y34" s="263" t="s">
        <v>475</v>
      </c>
      <c r="Z34" s="80">
        <v>2</v>
      </c>
      <c r="AA34" s="263" t="s">
        <v>808</v>
      </c>
      <c r="AB34" s="80">
        <v>2</v>
      </c>
      <c r="AC34" s="263" t="s">
        <v>475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807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807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807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807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477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807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807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807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472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807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807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809</v>
      </c>
      <c r="E44">
        <f>[2]Sheet1!D44</f>
        <v>232.7</v>
      </c>
      <c r="F44">
        <f>[2]Sheet1!E44</f>
        <v>219.20000000000002</v>
      </c>
      <c r="G44" s="64">
        <f>[2]Sheet1!F44</f>
        <v>45400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172.91666666666666</v>
      </c>
      <c r="Q44" s="87"/>
      <c r="R44" s="88"/>
      <c r="S44" s="81" t="s">
        <v>481</v>
      </c>
      <c r="T44" s="82">
        <v>1.3</v>
      </c>
      <c r="U44" s="81" t="s">
        <v>482</v>
      </c>
      <c r="V44" s="82">
        <v>2.8</v>
      </c>
      <c r="W44" s="81" t="s">
        <v>483</v>
      </c>
      <c r="X44" s="82">
        <v>0.9</v>
      </c>
      <c r="Y44" s="81" t="s">
        <v>484</v>
      </c>
      <c r="Z44" s="82">
        <v>2.4</v>
      </c>
      <c r="AA44" s="89" t="s">
        <v>485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8.3000000000000007</v>
      </c>
      <c r="AY44" s="78">
        <f t="shared" si="4"/>
        <v>172.91666666666666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319.1583333333333</v>
      </c>
      <c r="BC44" s="53">
        <f t="shared" si="1"/>
        <v>305.65833333333336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809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809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810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810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810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499</v>
      </c>
      <c r="R49" s="82">
        <v>2</v>
      </c>
      <c r="S49" s="105" t="s">
        <v>500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810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811</v>
      </c>
      <c r="E51">
        <f>[2]Sheet1!D51</f>
        <v>22</v>
      </c>
      <c r="F51">
        <f>[2]Sheet1!E51</f>
        <v>22</v>
      </c>
      <c r="G51" s="64">
        <f>[2]Sheet1!F51</f>
        <v>42422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812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507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812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812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812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505</v>
      </c>
      <c r="R55" s="100">
        <v>2</v>
      </c>
      <c r="S55" s="99" t="s">
        <v>505</v>
      </c>
      <c r="T55" s="100">
        <v>2</v>
      </c>
      <c r="U55" s="101" t="s">
        <v>506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812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504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813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6</v>
      </c>
      <c r="K57">
        <f>[2]Sheet1!J57</f>
        <v>2</v>
      </c>
      <c r="L57">
        <f>[2]Sheet1!K57</f>
        <v>5</v>
      </c>
      <c r="M57">
        <f>[2]Sheet1!L57</f>
        <v>10</v>
      </c>
      <c r="N57">
        <f>[2]Sheet1!M57</f>
        <v>11</v>
      </c>
      <c r="O57">
        <f>[2]Sheet1!N57</f>
        <v>0</v>
      </c>
      <c r="P57" s="69">
        <f t="shared" si="2"/>
        <v>156.25</v>
      </c>
      <c r="Q57" s="81" t="s">
        <v>570</v>
      </c>
      <c r="R57" s="82">
        <v>5</v>
      </c>
      <c r="S57" s="99" t="s">
        <v>572</v>
      </c>
      <c r="T57" s="100">
        <v>1</v>
      </c>
      <c r="U57" s="99" t="s">
        <v>572</v>
      </c>
      <c r="V57" s="100">
        <v>1</v>
      </c>
      <c r="W57" s="99" t="s">
        <v>573</v>
      </c>
      <c r="X57" s="289">
        <v>0.5</v>
      </c>
      <c r="Y57" s="92"/>
      <c r="Z57" s="80"/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813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571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814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814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815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814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581</v>
      </c>
      <c r="R62" s="82">
        <v>5</v>
      </c>
      <c r="S62" s="81" t="s">
        <v>582</v>
      </c>
      <c r="T62" s="82">
        <v>4.5</v>
      </c>
      <c r="U62" s="81" t="s">
        <v>816</v>
      </c>
      <c r="V62" s="82">
        <v>4.5</v>
      </c>
      <c r="W62" s="99" t="s">
        <v>583</v>
      </c>
      <c r="X62" s="100">
        <v>1</v>
      </c>
      <c r="Y62" s="301" t="s">
        <v>817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818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575</v>
      </c>
      <c r="R63" s="82">
        <v>5</v>
      </c>
      <c r="S63" s="99" t="s">
        <v>577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818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818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818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576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819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5" t="s">
        <v>621</v>
      </c>
      <c r="R67" s="255">
        <v>1</v>
      </c>
      <c r="S67" s="105" t="s">
        <v>621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819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820</v>
      </c>
      <c r="R68" s="80">
        <v>1</v>
      </c>
      <c r="S68" s="89" t="s">
        <v>623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819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821</v>
      </c>
      <c r="R69" s="116">
        <v>2</v>
      </c>
      <c r="S69" s="99" t="s">
        <v>619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819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822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822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823</v>
      </c>
      <c r="E73">
        <f>[2]Sheet1!D73</f>
        <v>35</v>
      </c>
      <c r="F73">
        <f>[2]Sheet1!E73</f>
        <v>35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0</v>
      </c>
      <c r="M73">
        <f>[2]Sheet1!L73</f>
        <v>0</v>
      </c>
      <c r="N73">
        <f>[2]Sheet1!M73</f>
        <v>0</v>
      </c>
      <c r="O73">
        <f>[2]Sheet1!N73</f>
        <v>23</v>
      </c>
      <c r="P73" s="69" t="e">
        <f t="shared" si="15"/>
        <v>#VALUE!</v>
      </c>
      <c r="Q73" s="81" t="s">
        <v>684</v>
      </c>
      <c r="R73" s="82">
        <v>4</v>
      </c>
      <c r="S73" s="83" t="s">
        <v>685</v>
      </c>
      <c r="T73" s="284" t="s">
        <v>824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 t="e">
        <f t="shared" si="11"/>
        <v>#VALUE!</v>
      </c>
      <c r="AY73" s="78" t="e">
        <f t="shared" si="12"/>
        <v>#VALUE!</v>
      </c>
      <c r="AZ73" s="67">
        <f>IFERROR(VLOOKUP(A73,'Site check'!$A$14:$O$47,15,0),0)</f>
        <v>0</v>
      </c>
      <c r="BA73" s="68">
        <f t="shared" si="16"/>
        <v>0</v>
      </c>
      <c r="BB73" s="53" t="e">
        <f t="shared" si="13"/>
        <v>#VALUE!</v>
      </c>
      <c r="BC73" s="53" t="e">
        <f t="shared" si="14"/>
        <v>#VALUE!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825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826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826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827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1" t="s">
        <v>722</v>
      </c>
      <c r="R77" s="302">
        <v>2</v>
      </c>
      <c r="S77" s="301" t="s">
        <v>723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827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827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827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827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827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5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827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827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827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827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828</v>
      </c>
      <c r="E87">
        <f>[2]Sheet1!D87</f>
        <v>242.99999999999997</v>
      </c>
      <c r="F87">
        <f>[2]Sheet1!E87</f>
        <v>256.2</v>
      </c>
      <c r="G87" s="64">
        <f>[2]Sheet1!F87</f>
        <v>45365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435.41666666666674</v>
      </c>
      <c r="Q87" s="81" t="s">
        <v>724</v>
      </c>
      <c r="R87" s="82">
        <v>2.5</v>
      </c>
      <c r="S87" s="81" t="s">
        <v>725</v>
      </c>
      <c r="T87" s="82">
        <v>1</v>
      </c>
      <c r="U87" s="81" t="s">
        <v>726</v>
      </c>
      <c r="V87" s="82">
        <v>3</v>
      </c>
      <c r="W87" s="81" t="s">
        <v>728</v>
      </c>
      <c r="X87" s="82">
        <v>2.4</v>
      </c>
      <c r="Y87" s="81" t="s">
        <v>729</v>
      </c>
      <c r="Z87" s="82">
        <v>1.9</v>
      </c>
      <c r="AA87" s="89" t="s">
        <v>730</v>
      </c>
      <c r="AB87" s="90">
        <v>0.9</v>
      </c>
      <c r="AC87" s="92" t="s">
        <v>733</v>
      </c>
      <c r="AD87" s="80">
        <v>3.2</v>
      </c>
      <c r="AE87" s="303" t="s">
        <v>731</v>
      </c>
      <c r="AF87" s="305">
        <v>4</v>
      </c>
      <c r="AG87" s="105" t="s">
        <v>829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20.900000000000002</v>
      </c>
      <c r="AY87" s="78">
        <f t="shared" si="12"/>
        <v>435.41666666666674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460.70833333333337</v>
      </c>
      <c r="BC87" s="53">
        <f t="shared" si="14"/>
        <v>473.90833333333336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828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828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828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828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828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83.333333333333329</v>
      </c>
      <c r="Q92" s="92" t="s">
        <v>734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828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828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23</v>
      </c>
      <c r="N94">
        <f>[2]Sheet1!M94</f>
        <v>8</v>
      </c>
      <c r="O94">
        <f>[2]Sheet1!N94</f>
        <v>0</v>
      </c>
      <c r="P94" s="69">
        <f t="shared" si="15"/>
        <v>66.666666666666671</v>
      </c>
      <c r="Q94" s="101" t="s">
        <v>736</v>
      </c>
      <c r="R94" s="100">
        <v>1</v>
      </c>
      <c r="S94" s="101" t="s">
        <v>830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828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19</v>
      </c>
      <c r="N95">
        <f>[2]Sheet1!M95</f>
        <v>10</v>
      </c>
      <c r="O95">
        <f>[2]Sheet1!N95</f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831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831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832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832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832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833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754</v>
      </c>
      <c r="R101" s="100">
        <v>2</v>
      </c>
      <c r="S101" s="99" t="s">
        <v>756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833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834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753</v>
      </c>
      <c r="R103" s="82">
        <v>5</v>
      </c>
      <c r="S103" s="303" t="s">
        <v>755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835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835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835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835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835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835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767</v>
      </c>
      <c r="R109" s="100">
        <v>2</v>
      </c>
      <c r="S109" s="101" t="s">
        <v>768</v>
      </c>
      <c r="T109" s="100">
        <v>2</v>
      </c>
      <c r="U109" s="301" t="s">
        <v>769</v>
      </c>
      <c r="V109" s="302">
        <v>2.73</v>
      </c>
      <c r="W109" s="99" t="s">
        <v>770</v>
      </c>
      <c r="X109" s="100">
        <v>6</v>
      </c>
      <c r="Y109" s="89" t="s">
        <v>836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835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835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835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835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837</v>
      </c>
      <c r="E114">
        <f>[2]Sheet1!D114</f>
        <v>183</v>
      </c>
      <c r="F114">
        <f>[2]Sheet1!E114</f>
        <v>175</v>
      </c>
      <c r="G114" s="64" t="str">
        <f>[2]Sheet1!F114</f>
        <v>04/04/2024 (Clamp meter readings)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762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837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837</v>
      </c>
      <c r="E116">
        <f>[2]Sheet1!D116</f>
        <v>180.7</v>
      </c>
      <c r="F116">
        <f>[2]Sheet1!E116</f>
        <v>164.9</v>
      </c>
      <c r="G116" s="64">
        <f>[2]Sheet1!F116</f>
        <v>45365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308.33333333333331</v>
      </c>
      <c r="Q116" s="81" t="s">
        <v>757</v>
      </c>
      <c r="R116" s="82">
        <v>2.5</v>
      </c>
      <c r="S116" s="81" t="s">
        <v>838</v>
      </c>
      <c r="T116" s="82">
        <v>7.2</v>
      </c>
      <c r="U116" s="81" t="s">
        <v>839</v>
      </c>
      <c r="V116" s="82">
        <v>2.6</v>
      </c>
      <c r="W116" s="81" t="s">
        <v>761</v>
      </c>
      <c r="X116" s="82">
        <v>0.8</v>
      </c>
      <c r="Y116" s="81" t="s">
        <v>760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14.799999999999999</v>
      </c>
      <c r="AY116" s="78">
        <f t="shared" si="12"/>
        <v>308.33333333333331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334.86666666666667</v>
      </c>
      <c r="BC116" s="53">
        <f t="shared" si="14"/>
        <v>319.06666666666666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837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135.41666666666666</v>
      </c>
      <c r="Q117" s="105" t="s">
        <v>763</v>
      </c>
      <c r="R117" s="80">
        <v>3</v>
      </c>
      <c r="S117" s="85" t="s">
        <v>758</v>
      </c>
      <c r="T117" s="82">
        <v>2.5</v>
      </c>
      <c r="U117" s="85" t="s">
        <v>766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840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841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842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843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844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843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843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845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369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845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846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846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846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846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846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846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846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847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847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847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847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847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275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275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275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275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361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275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848</v>
      </c>
      <c r="E143">
        <f>[2]Sheet1!D143</f>
        <v>125.2</v>
      </c>
      <c r="F143">
        <f>[2]Sheet1!E143</f>
        <v>154.09999999999997</v>
      </c>
      <c r="G143" s="64">
        <f>[2]Sheet1!F143</f>
        <v>45393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339.58333333333331</v>
      </c>
      <c r="Q143" s="85" t="s">
        <v>362</v>
      </c>
      <c r="R143" s="86">
        <v>0.9</v>
      </c>
      <c r="S143" s="81" t="s">
        <v>363</v>
      </c>
      <c r="T143" s="82">
        <v>2.6</v>
      </c>
      <c r="U143" s="81" t="s">
        <v>364</v>
      </c>
      <c r="V143" s="82">
        <v>1.8</v>
      </c>
      <c r="W143" s="81" t="s">
        <v>365</v>
      </c>
      <c r="X143" s="82">
        <v>3.2</v>
      </c>
      <c r="Y143" s="81" t="s">
        <v>366</v>
      </c>
      <c r="Z143" s="82">
        <v>1.6</v>
      </c>
      <c r="AA143" s="81" t="s">
        <v>367</v>
      </c>
      <c r="AB143" s="82">
        <v>2.6</v>
      </c>
      <c r="AC143" s="81" t="s">
        <v>849</v>
      </c>
      <c r="AD143" s="82">
        <v>3.6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16.3</v>
      </c>
      <c r="AY143" s="78">
        <f t="shared" si="27"/>
        <v>339.58333333333331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294.99166666666667</v>
      </c>
      <c r="BC143" s="53">
        <f t="shared" si="29"/>
        <v>323.89166666666665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850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850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851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852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853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6</v>
      </c>
      <c r="N148">
        <f>[2]Sheet1!M148</f>
        <v>12</v>
      </c>
      <c r="O148">
        <f>[2]Sheet1!N148</f>
        <v>0</v>
      </c>
      <c r="P148" s="69">
        <f t="shared" si="30"/>
        <v>327.08333333333331</v>
      </c>
      <c r="Q148" s="81" t="s">
        <v>488</v>
      </c>
      <c r="R148" s="82">
        <v>4.5</v>
      </c>
      <c r="S148" s="81" t="s">
        <v>489</v>
      </c>
      <c r="T148" s="82">
        <v>4.5</v>
      </c>
      <c r="U148" s="81" t="s">
        <v>490</v>
      </c>
      <c r="V148" s="82">
        <v>4.5</v>
      </c>
      <c r="W148" s="83" t="s">
        <v>493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853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492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853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491</v>
      </c>
      <c r="R150" s="100">
        <v>1</v>
      </c>
      <c r="S150" s="101" t="s">
        <v>491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854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501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855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856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855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857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857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858</v>
      </c>
      <c r="E156">
        <f>[2]Sheet1!D156</f>
        <v>36.299999999999997</v>
      </c>
      <c r="F156">
        <f>[2]Sheet1!E156</f>
        <v>34.799999999999997</v>
      </c>
      <c r="G156" s="64">
        <f>[2]Sheet1!F156</f>
        <v>45364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239.58333333333334</v>
      </c>
      <c r="Q156" s="81" t="s">
        <v>514</v>
      </c>
      <c r="R156" s="279">
        <v>1.1000000000000001</v>
      </c>
      <c r="S156" s="81" t="s">
        <v>590</v>
      </c>
      <c r="T156" s="82">
        <v>4.9000000000000004</v>
      </c>
      <c r="U156" s="101" t="s">
        <v>593</v>
      </c>
      <c r="V156" s="100">
        <v>5.5</v>
      </c>
      <c r="W156" s="93"/>
      <c r="X156" s="80"/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11.5</v>
      </c>
      <c r="AY156" s="78">
        <f t="shared" si="27"/>
        <v>239.58333333333334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156.09166666666667</v>
      </c>
      <c r="BC156" s="53">
        <f t="shared" si="29"/>
        <v>154.59166666666667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858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592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858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591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859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0" t="s">
        <v>659</v>
      </c>
      <c r="R159" s="261">
        <v>1</v>
      </c>
      <c r="S159" s="93" t="s">
        <v>860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859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861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862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423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862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862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862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862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862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862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862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862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426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862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424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862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862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7</v>
      </c>
      <c r="N173">
        <f>[2]Sheet1!M173</f>
        <v>10</v>
      </c>
      <c r="O173">
        <f>[2]Sheet1!N173</f>
        <v>0</v>
      </c>
      <c r="P173" s="69">
        <f t="shared" si="30"/>
        <v>91.666666666666671</v>
      </c>
      <c r="Q173" s="83" t="s">
        <v>427</v>
      </c>
      <c r="R173" s="284">
        <v>2.2000000000000002</v>
      </c>
      <c r="S173" s="83" t="s">
        <v>428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863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227</v>
      </c>
      <c r="I174">
        <f>[2]Sheet1!H174</f>
        <v>202</v>
      </c>
      <c r="J174">
        <f>[2]Sheet1!I174</f>
        <v>0</v>
      </c>
      <c r="K174">
        <f>[2]Sheet1!J174</f>
        <v>0</v>
      </c>
      <c r="L174">
        <f>[2]Sheet1!K174</f>
        <v>11</v>
      </c>
      <c r="M174">
        <f>[2]Sheet1!L174</f>
        <v>0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864</v>
      </c>
      <c r="R174" s="84">
        <v>2</v>
      </c>
      <c r="S174" s="83" t="s">
        <v>422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863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1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865</v>
      </c>
      <c r="E176">
        <f>[2]Sheet1!D176</f>
        <v>223.9</v>
      </c>
      <c r="F176">
        <f>[2]Sheet1!E176</f>
        <v>175.5</v>
      </c>
      <c r="G176" s="64">
        <f>[2]Sheet1!F176</f>
        <v>45398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414.58333333333343</v>
      </c>
      <c r="Q176" s="81" t="s">
        <v>404</v>
      </c>
      <c r="R176" s="82">
        <v>2.2000000000000002</v>
      </c>
      <c r="S176" s="87" t="s">
        <v>405</v>
      </c>
      <c r="T176" s="88">
        <v>0.7</v>
      </c>
      <c r="U176" s="87" t="s">
        <v>406</v>
      </c>
      <c r="V176" s="88">
        <v>3</v>
      </c>
      <c r="W176" s="87" t="s">
        <v>407</v>
      </c>
      <c r="X176" s="88">
        <v>2.7</v>
      </c>
      <c r="Y176" s="87" t="s">
        <v>408</v>
      </c>
      <c r="Z176" s="88">
        <v>2.6</v>
      </c>
      <c r="AA176" s="87" t="s">
        <v>409</v>
      </c>
      <c r="AB176" s="88">
        <v>2.9</v>
      </c>
      <c r="AC176" s="87" t="s">
        <v>866</v>
      </c>
      <c r="AD176" s="88">
        <v>2</v>
      </c>
      <c r="AE176" s="93" t="s">
        <v>867</v>
      </c>
      <c r="AF176" s="252">
        <v>3</v>
      </c>
      <c r="AG176" s="81" t="s">
        <v>418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431.19166666666672</v>
      </c>
      <c r="BC176" s="53">
        <f t="shared" si="29"/>
        <v>382.79166666666674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868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868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869</v>
      </c>
      <c r="R178" s="82">
        <v>1</v>
      </c>
      <c r="S178" s="263" t="s">
        <v>718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870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5" t="s">
        <v>721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870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870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870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871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780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872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873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874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875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875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875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875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876</v>
      </c>
      <c r="E191">
        <f>[2]Sheet1!D191</f>
        <v>178.89999999999998</v>
      </c>
      <c r="F191">
        <f>[2]Sheet1!E191</f>
        <v>121.9</v>
      </c>
      <c r="G191" s="64">
        <f>[2]Sheet1!F191</f>
        <v>45364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607</v>
      </c>
      <c r="R191" s="82">
        <v>2</v>
      </c>
      <c r="S191" s="81" t="s">
        <v>608</v>
      </c>
      <c r="T191" s="82">
        <v>0.5</v>
      </c>
      <c r="U191" s="81" t="s">
        <v>594</v>
      </c>
      <c r="V191" s="82">
        <v>2.1</v>
      </c>
      <c r="W191" s="99" t="s">
        <v>877</v>
      </c>
      <c r="X191" s="100">
        <v>2</v>
      </c>
      <c r="Y191" s="101" t="s">
        <v>599</v>
      </c>
      <c r="Z191" s="100">
        <v>1</v>
      </c>
      <c r="AA191" s="303" t="s">
        <v>600</v>
      </c>
      <c r="AB191" s="302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268.48333333333329</v>
      </c>
      <c r="BC191" s="53">
        <f t="shared" si="29"/>
        <v>211.48333333333335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876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876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878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876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876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602</v>
      </c>
      <c r="R195" s="100">
        <v>1</v>
      </c>
      <c r="S195" s="93"/>
      <c r="T195" s="80"/>
      <c r="U195" s="101" t="s">
        <v>879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876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876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12</v>
      </c>
      <c r="P197" s="69">
        <f t="shared" ref="P197:P253" si="42">SUM(AY197+BA197)</f>
        <v>343.75</v>
      </c>
      <c r="Q197" s="92" t="s">
        <v>880</v>
      </c>
      <c r="R197" s="80">
        <v>5</v>
      </c>
      <c r="S197" s="89" t="s">
        <v>881</v>
      </c>
      <c r="T197" s="82">
        <v>2.9</v>
      </c>
      <c r="U197" s="81" t="s">
        <v>596</v>
      </c>
      <c r="V197" s="82">
        <v>1.8</v>
      </c>
      <c r="W197" s="101" t="s">
        <v>605</v>
      </c>
      <c r="X197" s="328">
        <v>5.6</v>
      </c>
      <c r="Y197" s="101" t="s">
        <v>606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876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0</v>
      </c>
      <c r="Q198" s="92"/>
      <c r="R198" s="80"/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882</v>
      </c>
      <c r="E199">
        <f>[2]Sheet1!D199</f>
        <v>155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882</v>
      </c>
      <c r="E200">
        <f>[2]Sheet1!D200</f>
        <v>132</v>
      </c>
      <c r="F200">
        <f>[2]Sheet1!E200</f>
        <v>129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34</v>
      </c>
      <c r="P200" s="69">
        <f t="shared" si="42"/>
        <v>222.91666666666666</v>
      </c>
      <c r="Q200" s="81" t="s">
        <v>610</v>
      </c>
      <c r="R200" s="82">
        <v>5</v>
      </c>
      <c r="S200" s="81" t="s">
        <v>611</v>
      </c>
      <c r="T200" s="82">
        <v>1.5</v>
      </c>
      <c r="U200" s="83" t="s">
        <v>612</v>
      </c>
      <c r="V200" s="284">
        <v>3.2</v>
      </c>
      <c r="W200" s="303" t="s">
        <v>613</v>
      </c>
      <c r="X200" s="302">
        <v>1</v>
      </c>
      <c r="Y200" s="101"/>
      <c r="Z200" s="100"/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243.45833333333331</v>
      </c>
      <c r="BC200" s="53">
        <f t="shared" si="41"/>
        <v>240.45833333333331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882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882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882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882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882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882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882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882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882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882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882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882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882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882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883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884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662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885</v>
      </c>
      <c r="E217">
        <f>[2]Sheet1!D217</f>
        <v>58.400000000000006</v>
      </c>
      <c r="F217">
        <f>[2]Sheet1!E217</f>
        <v>38.9</v>
      </c>
      <c r="G217" s="64">
        <f>[2]Sheet1!F217</f>
        <v>45365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402.08333333333331</v>
      </c>
      <c r="Q217" s="81" t="s">
        <v>663</v>
      </c>
      <c r="R217" s="82">
        <v>1.8</v>
      </c>
      <c r="S217" s="81" t="s">
        <v>664</v>
      </c>
      <c r="T217" s="279">
        <v>10.3</v>
      </c>
      <c r="U217" s="81" t="s">
        <v>665</v>
      </c>
      <c r="V217" s="291">
        <v>1.7</v>
      </c>
      <c r="W217" s="101" t="s">
        <v>886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19.3</v>
      </c>
      <c r="AY217" s="78">
        <f t="shared" si="39"/>
        <v>402.08333333333331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259.44166666666666</v>
      </c>
      <c r="BC217" s="53">
        <f t="shared" si="41"/>
        <v>239.94166666666666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885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885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2" t="s">
        <v>887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888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888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5" t="s">
        <v>710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888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889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889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890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890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890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890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746</v>
      </c>
      <c r="R228" s="82">
        <v>8</v>
      </c>
      <c r="S228" s="81" t="s">
        <v>747</v>
      </c>
      <c r="T228" s="82">
        <v>4.5</v>
      </c>
      <c r="U228" s="81" t="s">
        <v>748</v>
      </c>
      <c r="V228" s="82">
        <v>4.5</v>
      </c>
      <c r="W228" s="81" t="s">
        <v>749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890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0" t="s">
        <v>750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890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890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890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891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781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892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893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894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398</v>
      </c>
      <c r="R236" s="80">
        <v>1</v>
      </c>
      <c r="S236" s="320" t="s">
        <v>895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896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896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897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898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899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900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497</v>
      </c>
      <c r="R241" s="82">
        <v>5</v>
      </c>
      <c r="S241" s="99" t="s">
        <v>498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901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902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903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903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904</v>
      </c>
      <c r="E245">
        <f>[2]Sheet1!D245</f>
        <v>0</v>
      </c>
      <c r="F245">
        <f>[2]Sheet1!E245</f>
        <v>0</v>
      </c>
      <c r="G245" s="64">
        <f>[2]Sheet1!F245</f>
        <v>0</v>
      </c>
      <c r="H245">
        <f>[2]Sheet1!G245</f>
        <v>300</v>
      </c>
      <c r="I245">
        <f>[2]Sheet1!H245</f>
        <v>300</v>
      </c>
      <c r="J245">
        <f>[2]Sheet1!I245</f>
        <v>9</v>
      </c>
      <c r="K245">
        <f>[2]Sheet1!J245</f>
        <v>2</v>
      </c>
      <c r="L245">
        <f>[2]Sheet1!K245</f>
        <v>0</v>
      </c>
      <c r="M245">
        <f>[2]Sheet1!L245</f>
        <v>0</v>
      </c>
      <c r="N245">
        <f>[2]Sheet1!M245</f>
        <v>0</v>
      </c>
      <c r="O245">
        <f>[2]Sheet1!N245</f>
        <v>0</v>
      </c>
      <c r="P245" s="69">
        <f t="shared" si="42"/>
        <v>20.833333333333332</v>
      </c>
      <c r="Q245" s="101" t="s">
        <v>905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904</v>
      </c>
      <c r="E246">
        <f>[2]Sheet1!D246</f>
        <v>0</v>
      </c>
      <c r="F246">
        <f>[2]Sheet1!E246</f>
        <v>0</v>
      </c>
      <c r="G246" s="64">
        <f>[2]Sheet1!F246</f>
        <v>0</v>
      </c>
      <c r="H246">
        <f>[2]Sheet1!G246</f>
        <v>300</v>
      </c>
      <c r="I246">
        <f>[2]Sheet1!H246</f>
        <v>300</v>
      </c>
      <c r="J246">
        <f>[2]Sheet1!I246</f>
        <v>0</v>
      </c>
      <c r="K246">
        <f>[2]Sheet1!J246</f>
        <v>0</v>
      </c>
      <c r="L246">
        <f>[2]Sheet1!K246</f>
        <v>12</v>
      </c>
      <c r="M246">
        <f>[2]Sheet1!L246</f>
        <v>0</v>
      </c>
      <c r="N246">
        <f>[2]Sheet1!M246</f>
        <v>0</v>
      </c>
      <c r="O246">
        <f>[2]Sheet1!N246</f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904</v>
      </c>
      <c r="E247">
        <f>[2]Sheet1!D247</f>
        <v>0</v>
      </c>
      <c r="F247">
        <f>[2]Sheet1!E247</f>
        <v>0</v>
      </c>
      <c r="G247" s="64">
        <f>[2]Sheet1!F247</f>
        <v>0</v>
      </c>
      <c r="H247">
        <f>[2]Sheet1!G247</f>
        <v>300</v>
      </c>
      <c r="I247">
        <f>[2]Sheet1!H247</f>
        <v>300</v>
      </c>
      <c r="J247">
        <f>[2]Sheet1!I247</f>
        <v>0</v>
      </c>
      <c r="K247">
        <f>[2]Sheet1!J247</f>
        <v>2</v>
      </c>
      <c r="L247">
        <f>[2]Sheet1!K247</f>
        <v>0</v>
      </c>
      <c r="M247">
        <f>[2]Sheet1!L247</f>
        <v>0</v>
      </c>
      <c r="N247">
        <f>[2]Sheet1!M247</f>
        <v>0</v>
      </c>
      <c r="O247">
        <f>[2]Sheet1!N247</f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906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615</v>
      </c>
      <c r="R248" s="82">
        <v>5</v>
      </c>
      <c r="S248" s="81" t="s">
        <v>616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907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908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908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908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908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5" t="s">
        <v>634</v>
      </c>
      <c r="R253" s="255">
        <v>2</v>
      </c>
      <c r="S253" s="105" t="s">
        <v>635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908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909</v>
      </c>
      <c r="E255">
        <f>[2]Sheet1!D255</f>
        <v>224.89999999999998</v>
      </c>
      <c r="F255">
        <f>[2]Sheet1!E255</f>
        <v>246.8</v>
      </c>
      <c r="G255" s="64">
        <f>[2]Sheet1!F255</f>
        <v>45364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250</v>
      </c>
      <c r="Q255" s="85" t="s">
        <v>910</v>
      </c>
      <c r="R255" s="86">
        <v>5</v>
      </c>
      <c r="S255" s="81" t="s">
        <v>637</v>
      </c>
      <c r="T255" s="82">
        <v>1.4</v>
      </c>
      <c r="U255" s="81"/>
      <c r="V255" s="82"/>
      <c r="W255" s="89" t="s">
        <v>911</v>
      </c>
      <c r="X255" s="90">
        <v>0.8</v>
      </c>
      <c r="Y255" s="92" t="s">
        <v>649</v>
      </c>
      <c r="Z255" s="80">
        <v>1.6</v>
      </c>
      <c r="AA255" s="92" t="s">
        <v>650</v>
      </c>
      <c r="AB255" s="80">
        <v>1.6</v>
      </c>
      <c r="AC255" s="92" t="s">
        <v>651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12</v>
      </c>
      <c r="AY255" s="78">
        <f t="shared" si="45"/>
        <v>250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349.9</v>
      </c>
      <c r="BC255" s="53">
        <f t="shared" si="47"/>
        <v>371.8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909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909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909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909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909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909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909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909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909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4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0</v>
      </c>
      <c r="Q264" s="101"/>
      <c r="R264" s="100"/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909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2</v>
      </c>
      <c r="K265">
        <f>[2]Sheet1!J265</f>
        <v>2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912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909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4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912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909</v>
      </c>
      <c r="E267">
        <f>[2]Sheet1!D267</f>
        <v>196.7</v>
      </c>
      <c r="F267">
        <f>[2]Sheet1!E267</f>
        <v>194.5</v>
      </c>
      <c r="G267" s="64">
        <f>[2]Sheet1!F267</f>
        <v>45364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639</v>
      </c>
      <c r="R267" s="282">
        <v>1.2</v>
      </c>
      <c r="S267" s="89" t="s">
        <v>640</v>
      </c>
      <c r="T267" s="282">
        <v>1.6</v>
      </c>
      <c r="U267" s="89" t="s">
        <v>641</v>
      </c>
      <c r="V267" s="282">
        <v>1.7</v>
      </c>
      <c r="W267" s="89" t="s">
        <v>642</v>
      </c>
      <c r="X267" s="282">
        <v>1.6</v>
      </c>
      <c r="Y267" s="89" t="s">
        <v>643</v>
      </c>
      <c r="Z267" s="282">
        <v>0.9</v>
      </c>
      <c r="AA267" s="89" t="s">
        <v>645</v>
      </c>
      <c r="AB267" s="282">
        <v>2.8</v>
      </c>
      <c r="AC267" s="89" t="s">
        <v>913</v>
      </c>
      <c r="AD267" s="90">
        <v>3.6</v>
      </c>
      <c r="AE267" s="87" t="s">
        <v>654</v>
      </c>
      <c r="AF267" s="281">
        <v>2.2999999999999998</v>
      </c>
      <c r="AG267" s="81" t="s">
        <v>652</v>
      </c>
      <c r="AH267" s="279">
        <v>3</v>
      </c>
      <c r="AI267" s="89" t="s">
        <v>653</v>
      </c>
      <c r="AJ267" s="279">
        <v>1.7</v>
      </c>
      <c r="AK267" s="89" t="s">
        <v>647</v>
      </c>
      <c r="AL267" s="252">
        <v>4.2</v>
      </c>
      <c r="AM267" s="93"/>
      <c r="AN267" s="8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24.599999999999998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452.94999999999993</v>
      </c>
      <c r="BC267" s="53">
        <f t="shared" si="47"/>
        <v>450.74999999999994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914</v>
      </c>
      <c r="E268">
        <f>[2]Sheet1!D268</f>
        <v>175.9</v>
      </c>
      <c r="F268">
        <f>[2]Sheet1!E268</f>
        <v>174.2</v>
      </c>
      <c r="G268" s="64">
        <f>[2]Sheet1!F268</f>
        <v>45364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187.5</v>
      </c>
      <c r="Q268" s="81" t="s">
        <v>627</v>
      </c>
      <c r="R268" s="279">
        <v>1.8</v>
      </c>
      <c r="S268" s="81"/>
      <c r="T268" s="279"/>
      <c r="U268" s="81" t="s">
        <v>628</v>
      </c>
      <c r="V268" s="82">
        <v>2.2000000000000002</v>
      </c>
      <c r="W268" s="81" t="s">
        <v>629</v>
      </c>
      <c r="X268" s="82">
        <v>2</v>
      </c>
      <c r="Y268" s="81" t="s">
        <v>630</v>
      </c>
      <c r="Z268" s="82">
        <v>2.2000000000000002</v>
      </c>
      <c r="AA268" s="81" t="s">
        <v>632</v>
      </c>
      <c r="AB268" s="279">
        <v>0.8</v>
      </c>
      <c r="AC268" s="81" t="s">
        <v>631</v>
      </c>
      <c r="AD268" s="279"/>
      <c r="AE268" s="83"/>
      <c r="AF268" s="284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9</v>
      </c>
      <c r="AY268" s="78">
        <f t="shared" si="45"/>
        <v>187.5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269.64999999999998</v>
      </c>
      <c r="BC268" s="53">
        <f t="shared" si="47"/>
        <v>267.95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915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915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915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915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915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743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916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125</v>
      </c>
      <c r="Q274" s="81" t="s">
        <v>777</v>
      </c>
      <c r="R274" s="82">
        <v>5</v>
      </c>
      <c r="S274" s="303" t="s">
        <v>778</v>
      </c>
      <c r="T274" s="302">
        <v>1</v>
      </c>
      <c r="U274" s="92"/>
      <c r="V274" s="80"/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917</v>
      </c>
      <c r="E275">
        <f>[2]Sheet1!D275</f>
        <v>150.70000000000002</v>
      </c>
      <c r="F275">
        <f>[2]Sheet1!E275</f>
        <v>167.3</v>
      </c>
      <c r="G275" s="64">
        <f>[2]Sheet1!F275</f>
        <v>45387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416.66666666666657</v>
      </c>
      <c r="Q275" s="81" t="s">
        <v>918</v>
      </c>
      <c r="R275" s="82">
        <v>1.7</v>
      </c>
      <c r="S275" s="81" t="s">
        <v>341</v>
      </c>
      <c r="T275" s="82">
        <v>1.6</v>
      </c>
      <c r="U275" s="81" t="s">
        <v>919</v>
      </c>
      <c r="V275" s="82">
        <v>3</v>
      </c>
      <c r="W275" s="81" t="s">
        <v>920</v>
      </c>
      <c r="X275" s="82">
        <v>2.1</v>
      </c>
      <c r="Y275" s="81" t="s">
        <v>921</v>
      </c>
      <c r="Z275" s="82">
        <v>3.5</v>
      </c>
      <c r="AA275" s="81" t="s">
        <v>922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19.999999999999996</v>
      </c>
      <c r="AY275" s="78">
        <f t="shared" si="45"/>
        <v>416.66666666666657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359.0333333333333</v>
      </c>
      <c r="BC275" s="53">
        <f t="shared" si="47"/>
        <v>375.63333333333333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917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4" t="s">
        <v>923</v>
      </c>
      <c r="R276" s="115">
        <v>1</v>
      </c>
      <c r="S276" s="114" t="s">
        <v>923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917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917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917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924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657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924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925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926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926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926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437.5</v>
      </c>
      <c r="Q285" s="81" t="s">
        <v>349</v>
      </c>
      <c r="R285" s="82">
        <v>5</v>
      </c>
      <c r="S285" s="105" t="s">
        <v>350</v>
      </c>
      <c r="T285" s="268">
        <v>1</v>
      </c>
      <c r="U285" s="105" t="s">
        <v>351</v>
      </c>
      <c r="V285" s="255">
        <v>5</v>
      </c>
      <c r="W285" s="322" t="s">
        <v>352</v>
      </c>
      <c r="X285" s="324">
        <v>5</v>
      </c>
      <c r="Y285" s="322" t="s">
        <v>353</v>
      </c>
      <c r="Z285" s="324">
        <v>5</v>
      </c>
      <c r="AA285" s="93"/>
      <c r="AB285" s="80"/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288.75</v>
      </c>
      <c r="BC285" s="53">
        <f t="shared" si="47"/>
        <v>288.75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800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354</v>
      </c>
      <c r="R286" s="82">
        <v>5</v>
      </c>
      <c r="S286" s="81" t="s">
        <v>801</v>
      </c>
      <c r="T286" s="82">
        <v>3.5</v>
      </c>
      <c r="U286" s="105" t="s">
        <v>357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800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7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354.16666666666669</v>
      </c>
      <c r="Q287" s="81" t="s">
        <v>355</v>
      </c>
      <c r="R287" s="82">
        <v>3.5</v>
      </c>
      <c r="S287" s="85" t="s">
        <v>358</v>
      </c>
      <c r="T287" s="255">
        <v>5</v>
      </c>
      <c r="U287" s="85" t="s">
        <v>359</v>
      </c>
      <c r="V287" s="255">
        <v>5</v>
      </c>
      <c r="W287" s="85" t="s">
        <v>360</v>
      </c>
      <c r="X287" s="280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222.08333333333334</v>
      </c>
      <c r="BC287" s="53">
        <f t="shared" si="47"/>
        <v>217.08333333333334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800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800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927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928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929</v>
      </c>
      <c r="E291">
        <f>[2]Sheet1!D291</f>
        <v>0</v>
      </c>
      <c r="F291">
        <f>[2]Sheet1!E291</f>
        <v>0</v>
      </c>
      <c r="G291" s="64">
        <f>[2]Sheet1!F291</f>
        <v>45015</v>
      </c>
      <c r="H291">
        <f>[2]Sheet1!G291</f>
        <v>300</v>
      </c>
      <c r="I291">
        <f>[2]Sheet1!H291</f>
        <v>300</v>
      </c>
      <c r="J291">
        <f>[2]Sheet1!I291</f>
        <v>0</v>
      </c>
      <c r="K291">
        <f>[2]Sheet1!J291</f>
        <v>0</v>
      </c>
      <c r="L291">
        <f>[2]Sheet1!K291</f>
        <v>1</v>
      </c>
      <c r="M291">
        <f>[2]Sheet1!L291</f>
        <v>35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4" t="s">
        <v>318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tr">
        <f>[2]Sheet1!A292</f>
        <v>ABNTB1_SYS_RACK2_PANEL A_01 - IGNORE</v>
      </c>
      <c r="B292" t="str">
        <f>[2]Sheet1!B292</f>
        <v>ABNTB1;DC SYS01</v>
      </c>
      <c r="C292" s="52" t="str">
        <f>[2]Sheet1!C292</f>
        <v>ABNTB1</v>
      </c>
      <c r="D292" s="52" t="s">
        <v>929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A_02- IGNORE</v>
      </c>
      <c r="B293" t="str">
        <f>[2]Sheet1!B293</f>
        <v>ABNTB1;DC SYS01</v>
      </c>
      <c r="C293" s="52" t="str">
        <f>[2]Sheet1!C293</f>
        <v>ABNTB1</v>
      </c>
      <c r="D293" s="52" t="s">
        <v>929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B_01- IGNORE</v>
      </c>
      <c r="B294" t="str">
        <f>[2]Sheet1!B294</f>
        <v>ABNTB1;DC SYS01</v>
      </c>
      <c r="C294" s="52" t="str">
        <f>[2]Sheet1!C294</f>
        <v>ABNTB1</v>
      </c>
      <c r="D294" s="52" t="s">
        <v>929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B_02- IGNORE</v>
      </c>
      <c r="B295" t="str">
        <f>[2]Sheet1!B295</f>
        <v>ABNTB1;DC SYS01</v>
      </c>
      <c r="C295" s="52" t="str">
        <f>[2]Sheet1!C295</f>
        <v>ABNTB1</v>
      </c>
      <c r="D295" s="52" t="s">
        <v>929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930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3" t="s">
        <v>320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931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931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932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508</v>
      </c>
      <c r="R299" s="82">
        <v>5</v>
      </c>
      <c r="S299" s="81" t="s">
        <v>509</v>
      </c>
      <c r="T299" s="82">
        <v>4</v>
      </c>
      <c r="U299" s="92"/>
      <c r="V299" s="80"/>
      <c r="W299" s="92"/>
      <c r="X299" s="302"/>
      <c r="Y299" s="89" t="s">
        <v>510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933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3" t="s">
        <v>934</v>
      </c>
      <c r="R300" s="254">
        <v>0.5</v>
      </c>
      <c r="S300" s="253" t="s">
        <v>934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935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511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936</v>
      </c>
      <c r="E302">
        <f>[2]Sheet1!D302</f>
        <v>111.10000000000001</v>
      </c>
      <c r="F302">
        <f>[2]Sheet1!E302</f>
        <v>131.1</v>
      </c>
      <c r="G302" s="64">
        <f>[2]Sheet1!F302</f>
        <v>45364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920.83333333333314</v>
      </c>
      <c r="Q302" s="81" t="s">
        <v>514</v>
      </c>
      <c r="R302" s="82">
        <v>2</v>
      </c>
      <c r="S302" s="81" t="s">
        <v>515</v>
      </c>
      <c r="T302" s="82">
        <v>1.1000000000000001</v>
      </c>
      <c r="U302" s="81" t="s">
        <v>516</v>
      </c>
      <c r="V302" s="82">
        <v>2.5</v>
      </c>
      <c r="W302" s="81" t="s">
        <v>517</v>
      </c>
      <c r="X302" s="82">
        <v>2.9</v>
      </c>
      <c r="Y302" s="105" t="s">
        <v>500</v>
      </c>
      <c r="Z302" s="255">
        <v>0.6</v>
      </c>
      <c r="AA302" s="256" t="s">
        <v>518</v>
      </c>
      <c r="AB302" s="255">
        <v>3.6</v>
      </c>
      <c r="AC302" s="256" t="s">
        <v>937</v>
      </c>
      <c r="AD302" s="255">
        <v>3.5</v>
      </c>
      <c r="AE302" s="85" t="s">
        <v>521</v>
      </c>
      <c r="AF302" s="86">
        <v>5.5</v>
      </c>
      <c r="AG302" s="85" t="s">
        <v>522</v>
      </c>
      <c r="AH302" s="86">
        <v>5.8</v>
      </c>
      <c r="AI302" s="85" t="s">
        <v>523</v>
      </c>
      <c r="AJ302" s="86">
        <v>5.8</v>
      </c>
      <c r="AK302" s="85" t="s">
        <v>524</v>
      </c>
      <c r="AL302" s="86">
        <v>1.9</v>
      </c>
      <c r="AM302" s="85" t="s">
        <v>525</v>
      </c>
      <c r="AN302" s="86">
        <v>4</v>
      </c>
      <c r="AO302" s="85" t="s">
        <v>938</v>
      </c>
      <c r="AP302" s="86">
        <v>1</v>
      </c>
      <c r="AQ302" s="85" t="s">
        <v>526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44.199999999999996</v>
      </c>
      <c r="AY302" s="78">
        <f t="shared" si="45"/>
        <v>920.83333333333314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571.51666666666654</v>
      </c>
      <c r="BC302" s="53">
        <f t="shared" si="47"/>
        <v>591.51666666666654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936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936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939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529</v>
      </c>
      <c r="R305" s="82">
        <v>4.5999999999999996</v>
      </c>
      <c r="S305" s="303" t="s">
        <v>531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939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939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939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533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940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941</v>
      </c>
      <c r="E310">
        <f>[2]Sheet1!D310</f>
        <v>132</v>
      </c>
      <c r="F310">
        <f>[2]Sheet1!E310</f>
        <v>97.4</v>
      </c>
      <c r="G310" s="64">
        <f>[2]Sheet1!F310</f>
        <v>45364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545.83333333333337</v>
      </c>
      <c r="Q310" s="81" t="s">
        <v>549</v>
      </c>
      <c r="R310" s="82">
        <v>2</v>
      </c>
      <c r="S310" s="89" t="s">
        <v>550</v>
      </c>
      <c r="T310" s="90">
        <v>2.5</v>
      </c>
      <c r="U310" s="81" t="s">
        <v>551</v>
      </c>
      <c r="V310" s="90">
        <v>2.9</v>
      </c>
      <c r="W310" s="87" t="s">
        <v>552</v>
      </c>
      <c r="X310" s="88">
        <v>2.1</v>
      </c>
      <c r="Y310" s="81" t="s">
        <v>554</v>
      </c>
      <c r="Z310" s="90">
        <v>1.5</v>
      </c>
      <c r="AA310" s="256" t="s">
        <v>942</v>
      </c>
      <c r="AB310" s="255">
        <v>3.5</v>
      </c>
      <c r="AC310" s="92" t="s">
        <v>556</v>
      </c>
      <c r="AD310" s="80">
        <v>1.2</v>
      </c>
      <c r="AE310" s="260" t="s">
        <v>553</v>
      </c>
      <c r="AF310" s="261">
        <v>1.8</v>
      </c>
      <c r="AG310" s="89" t="s">
        <v>557</v>
      </c>
      <c r="AH310" s="302">
        <v>4.0999999999999996</v>
      </c>
      <c r="AI310" s="89" t="s">
        <v>558</v>
      </c>
      <c r="AJ310" s="302">
        <v>4.5999999999999996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26.200000000000003</v>
      </c>
      <c r="AY310" s="78">
        <f t="shared" si="45"/>
        <v>545.83333333333337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404.91666666666669</v>
      </c>
      <c r="BC310" s="53">
        <f t="shared" si="47"/>
        <v>370.31666666666672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941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943</v>
      </c>
      <c r="R311" s="100">
        <v>2</v>
      </c>
      <c r="S311" s="101" t="s">
        <v>943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941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941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941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941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944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944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31</v>
      </c>
      <c r="P317" s="69">
        <f t="shared" ref="P317:P372" si="54">SUM(AY317+BA317)</f>
        <v>145.83333333333334</v>
      </c>
      <c r="Q317" s="81" t="s">
        <v>560</v>
      </c>
      <c r="R317" s="82">
        <v>5</v>
      </c>
      <c r="S317" s="256" t="s">
        <v>561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945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945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1" t="s">
        <v>946</v>
      </c>
      <c r="R319" s="302">
        <v>1</v>
      </c>
      <c r="S319" s="83" t="s">
        <v>563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947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578</v>
      </c>
      <c r="R320" s="82">
        <v>3</v>
      </c>
      <c r="S320" s="85" t="s">
        <v>579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948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948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614</v>
      </c>
      <c r="R322" s="100">
        <v>2</v>
      </c>
      <c r="S322" s="101" t="s">
        <v>614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949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688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950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740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951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08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951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952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0" t="s">
        <v>466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952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953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954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1" t="s">
        <v>569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954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955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5" t="s">
        <v>567</v>
      </c>
      <c r="R332" s="255">
        <v>1</v>
      </c>
      <c r="S332" s="99" t="s">
        <v>568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956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586</v>
      </c>
      <c r="R333" s="82">
        <v>3</v>
      </c>
      <c r="S333" s="99" t="s">
        <v>587</v>
      </c>
      <c r="T333" s="100">
        <v>1</v>
      </c>
      <c r="U333" s="105" t="s">
        <v>957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956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956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956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958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5" t="s">
        <v>959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960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960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6.25</v>
      </c>
      <c r="Q339" s="83" t="s">
        <v>655</v>
      </c>
      <c r="R339" s="284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961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691</v>
      </c>
      <c r="R340" s="82">
        <v>5</v>
      </c>
      <c r="S340" s="256" t="s">
        <v>692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961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962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41.666666666666664</v>
      </c>
      <c r="Q342" s="105" t="s">
        <v>719</v>
      </c>
      <c r="R342" s="255">
        <v>1</v>
      </c>
      <c r="S342" s="99" t="s">
        <v>720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963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963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964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965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964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966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966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966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966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443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966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966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966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966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967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967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967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1" t="s">
        <v>445</v>
      </c>
      <c r="R357" s="113">
        <v>3</v>
      </c>
      <c r="S357" s="111" t="s">
        <v>445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968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969</v>
      </c>
      <c r="E359">
        <f>[2]Sheet1!D359</f>
        <v>265.90000000000003</v>
      </c>
      <c r="F359">
        <f>[2]Sheet1!E359</f>
        <v>265.39999999999998</v>
      </c>
      <c r="G359" s="64">
        <f>[2]Sheet1!F359</f>
        <v>45400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447</v>
      </c>
      <c r="R359" s="279">
        <v>1.8</v>
      </c>
      <c r="S359" s="81" t="s">
        <v>448</v>
      </c>
      <c r="T359" s="279">
        <v>1.2</v>
      </c>
      <c r="U359" s="81" t="s">
        <v>449</v>
      </c>
      <c r="V359" s="279">
        <v>4.7</v>
      </c>
      <c r="W359" s="81" t="s">
        <v>450</v>
      </c>
      <c r="X359" s="279">
        <v>1.9</v>
      </c>
      <c r="Y359" s="81" t="s">
        <v>451</v>
      </c>
      <c r="Z359" s="279">
        <v>1.8</v>
      </c>
      <c r="AA359" s="81" t="s">
        <v>452</v>
      </c>
      <c r="AB359" s="279">
        <v>11.7</v>
      </c>
      <c r="AC359" s="89" t="s">
        <v>453</v>
      </c>
      <c r="AD359" s="282">
        <v>1.9</v>
      </c>
      <c r="AE359" s="89" t="s">
        <v>454</v>
      </c>
      <c r="AF359" s="282">
        <v>2.2999999999999998</v>
      </c>
      <c r="AG359" s="89" t="s">
        <v>455</v>
      </c>
      <c r="AH359" s="282">
        <v>1.2</v>
      </c>
      <c r="AI359" s="99" t="s">
        <v>970</v>
      </c>
      <c r="AJ359" s="100">
        <v>0.88</v>
      </c>
      <c r="AK359" s="105" t="s">
        <v>460</v>
      </c>
      <c r="AL359" s="294">
        <v>0.93</v>
      </c>
      <c r="AM359" s="92" t="s">
        <v>971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623.29583333333335</v>
      </c>
      <c r="BC359" s="53">
        <f t="shared" si="53"/>
        <v>622.79583333333335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972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972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973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973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3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31.25</v>
      </c>
      <c r="Q363" s="295" t="s">
        <v>338</v>
      </c>
      <c r="R363" s="297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973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974</v>
      </c>
      <c r="E365">
        <f>[2]Sheet1!D365</f>
        <v>413.05000000000007</v>
      </c>
      <c r="F365">
        <f>[2]Sheet1!E365</f>
        <v>413.05000000000007</v>
      </c>
      <c r="G365" s="64">
        <f>[2]Sheet1!F365</f>
        <v>45335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129.16666666666666</v>
      </c>
      <c r="Q365" s="92" t="s">
        <v>975</v>
      </c>
      <c r="R365" s="80">
        <v>6.2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6.2</v>
      </c>
      <c r="AY365" s="78">
        <f t="shared" si="51"/>
        <v>129.16666666666666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477.63333333333338</v>
      </c>
      <c r="BC365" s="53">
        <f t="shared" si="53"/>
        <v>477.63333333333338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976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467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976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468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977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978</v>
      </c>
      <c r="E369">
        <f>[2]Sheet1!D369</f>
        <v>3.5</v>
      </c>
      <c r="F369">
        <f>[2]Sheet1!E369</f>
        <v>2.4000000000000004</v>
      </c>
      <c r="G369" s="64">
        <f>[2]Sheet1!F369</f>
        <v>45362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979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125.375</v>
      </c>
      <c r="BC369" s="53">
        <f t="shared" si="53"/>
        <v>124.27500000000001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978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5" t="s">
        <v>496</v>
      </c>
      <c r="R370" s="255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978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CKKN03</v>
      </c>
      <c r="D372" s="52" t="s">
        <v>980</v>
      </c>
      <c r="E372">
        <f>[2]Sheet1!D372</f>
        <v>0.76</v>
      </c>
      <c r="F372">
        <f>[2]Sheet1!E372</f>
        <v>3.3</v>
      </c>
      <c r="G372" s="64">
        <f>[2]Sheet1!F372</f>
        <v>45400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486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122.63500000000001</v>
      </c>
      <c r="BC372" s="53">
        <f t="shared" ref="BC372:BC437" si="59">SUM(P372/2)+F372</f>
        <v>125.175</v>
      </c>
    </row>
    <row r="373" spans="1:55" ht="13.15">
      <c r="A373" t="str">
        <f>[2]Sheet1!A373</f>
        <v>CKNN03_SEC_DCSYS - IGNORE</v>
      </c>
      <c r="B373" t="str">
        <f>[2]Sheet1!B373</f>
        <v>CKNN03-DCSYS01a</v>
      </c>
      <c r="C373" s="52" t="str">
        <f>[2]Sheet1!C373</f>
        <v>CKNN03</v>
      </c>
      <c r="D373" s="52" t="s">
        <v>981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981</v>
      </c>
      <c r="E374">
        <f>[2]Sheet1!D374</f>
        <v>30</v>
      </c>
      <c r="F374">
        <f>[2]Sheet1!E374</f>
        <v>40</v>
      </c>
      <c r="G374" s="64">
        <f>[2]Sheet1!F374</f>
        <v>45089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5" t="s">
        <v>487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982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983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537</v>
      </c>
      <c r="R376" s="255">
        <v>2</v>
      </c>
      <c r="S376" s="81" t="s">
        <v>538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984</v>
      </c>
      <c r="E377">
        <f>[2]Sheet1!D377</f>
        <v>1.2</v>
      </c>
      <c r="F377">
        <f>[2]Sheet1!E377</f>
        <v>2.7</v>
      </c>
      <c r="G377" s="64">
        <f>[2]Sheet1!F377</f>
        <v>45362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243.75</v>
      </c>
      <c r="Q377" s="81" t="s">
        <v>539</v>
      </c>
      <c r="R377" s="82">
        <v>11.7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11.7</v>
      </c>
      <c r="AY377" s="78">
        <f t="shared" si="57"/>
        <v>243.75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123.075</v>
      </c>
      <c r="BC377" s="53">
        <f t="shared" si="59"/>
        <v>124.575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985</v>
      </c>
      <c r="E378">
        <f>[2]Sheet1!D378</f>
        <v>0</v>
      </c>
      <c r="F378">
        <f>[2]Sheet1!E378</f>
        <v>4.4000000000000004</v>
      </c>
      <c r="G378" s="64">
        <f>[2]Sheet1!F378</f>
        <v>45364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986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126.27500000000001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985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985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20</v>
      </c>
      <c r="N380">
        <f>[2]Sheet1!M380</f>
        <v>12</v>
      </c>
      <c r="O380">
        <f>[2]Sheet1!N380</f>
        <v>0</v>
      </c>
      <c r="P380" s="69">
        <f t="shared" si="60"/>
        <v>0</v>
      </c>
      <c r="Q380" s="92"/>
      <c r="R380" s="80"/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987</v>
      </c>
      <c r="E381">
        <f>[2]Sheet1!D381</f>
        <v>27.300000000000004</v>
      </c>
      <c r="F381">
        <f>[2]Sheet1!E381</f>
        <v>19.5</v>
      </c>
      <c r="G381" s="64">
        <f>[2]Sheet1!F381</f>
        <v>45365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300</v>
      </c>
      <c r="Q381" s="81" t="s">
        <v>671</v>
      </c>
      <c r="R381" s="82">
        <v>2.5</v>
      </c>
      <c r="S381" s="81" t="s">
        <v>988</v>
      </c>
      <c r="T381" s="82">
        <v>11.9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177.3</v>
      </c>
      <c r="BC381" s="53">
        <f t="shared" si="59"/>
        <v>169.5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987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989</v>
      </c>
      <c r="E383">
        <f>[2]Sheet1!D383</f>
        <v>11.4</v>
      </c>
      <c r="F383">
        <f>[2]Sheet1!E383</f>
        <v>0</v>
      </c>
      <c r="G383" s="64">
        <f>[2]Sheet1!F383</f>
        <v>45386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422.91666666666669</v>
      </c>
      <c r="Q383" s="81" t="s">
        <v>674</v>
      </c>
      <c r="R383" s="82">
        <v>4.5999999999999996</v>
      </c>
      <c r="S383" s="81" t="s">
        <v>990</v>
      </c>
      <c r="T383" s="82">
        <v>11.9</v>
      </c>
      <c r="U383" s="85" t="s">
        <v>676</v>
      </c>
      <c r="V383" s="255">
        <v>3.8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20.3</v>
      </c>
      <c r="AY383" s="78">
        <f t="shared" si="57"/>
        <v>422.91666666666669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222.85833333333335</v>
      </c>
      <c r="BC383" s="53">
        <f t="shared" si="59"/>
        <v>211.45833333333334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989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677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989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5" t="s">
        <v>991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992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672</v>
      </c>
      <c r="R386" s="82">
        <v>2</v>
      </c>
      <c r="S386" s="99" t="s">
        <v>673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992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992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992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993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994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995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996</v>
      </c>
      <c r="E393">
        <f>[2]Sheet1!D393</f>
        <v>159</v>
      </c>
      <c r="F393">
        <f>[2]Sheet1!E393</f>
        <v>146.30000000000001</v>
      </c>
      <c r="G393" s="64">
        <f>[2]Sheet1!F393</f>
        <v>45365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302.08333333333331</v>
      </c>
      <c r="Q393" s="81" t="s">
        <v>703</v>
      </c>
      <c r="R393" s="82">
        <v>2.4</v>
      </c>
      <c r="S393" s="81" t="s">
        <v>704</v>
      </c>
      <c r="T393" s="82">
        <v>0.7</v>
      </c>
      <c r="U393" s="81" t="s">
        <v>705</v>
      </c>
      <c r="V393" s="82">
        <v>2.1</v>
      </c>
      <c r="W393" s="81" t="s">
        <v>706</v>
      </c>
      <c r="X393" s="82">
        <v>0.7</v>
      </c>
      <c r="Y393" s="81" t="s">
        <v>707</v>
      </c>
      <c r="Z393" s="82">
        <v>1.3</v>
      </c>
      <c r="AA393" s="81" t="s">
        <v>708</v>
      </c>
      <c r="AB393" s="279">
        <v>3.3</v>
      </c>
      <c r="AC393" s="81" t="s">
        <v>697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14.5</v>
      </c>
      <c r="AY393" s="78">
        <f t="shared" si="57"/>
        <v>302.08333333333331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310.04166666666663</v>
      </c>
      <c r="BC393" s="53">
        <f t="shared" si="59"/>
        <v>297.3416666666667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996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6" t="s">
        <v>699</v>
      </c>
      <c r="R394" s="268">
        <v>6</v>
      </c>
      <c r="S394" s="105" t="s">
        <v>700</v>
      </c>
      <c r="T394" s="255">
        <v>3</v>
      </c>
      <c r="U394" s="85" t="s">
        <v>701</v>
      </c>
      <c r="V394" s="86">
        <v>3</v>
      </c>
      <c r="W394" s="85" t="s">
        <v>702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996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996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1" t="s">
        <v>997</v>
      </c>
      <c r="R396" s="302">
        <v>2</v>
      </c>
      <c r="S396" s="303" t="s">
        <v>698</v>
      </c>
      <c r="T396" s="302">
        <v>2</v>
      </c>
      <c r="U396" s="105" t="s">
        <v>998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996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999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996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696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996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1000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996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1001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1001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1002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1003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422</v>
      </c>
      <c r="R404" s="90">
        <v>1.8</v>
      </c>
      <c r="S404" s="89" t="s">
        <v>530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1004</v>
      </c>
      <c r="E405">
        <f>[2]Sheet1!D405</f>
        <v>10.199999999999999</v>
      </c>
      <c r="F405">
        <f>[2]Sheet1!E405</f>
        <v>5.3</v>
      </c>
      <c r="G405" s="64">
        <f>[2]Sheet1!F405</f>
        <v>45386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314.58333333333331</v>
      </c>
      <c r="Q405" s="81" t="s">
        <v>751</v>
      </c>
      <c r="R405" s="82">
        <v>11.7</v>
      </c>
      <c r="S405" s="256" t="s">
        <v>752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15.1</v>
      </c>
      <c r="AY405" s="78">
        <f t="shared" si="57"/>
        <v>314.58333333333331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167.49166666666665</v>
      </c>
      <c r="BC405" s="53">
        <f t="shared" si="59"/>
        <v>162.59166666666667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1004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1005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1006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1006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6</v>
      </c>
      <c r="K409">
        <f>[2]Sheet1!J409</f>
        <v>0</v>
      </c>
      <c r="L409">
        <f>[2]Sheet1!K409</f>
        <v>4</v>
      </c>
      <c r="M409">
        <f>[2]Sheet1!L409</f>
        <v>20</v>
      </c>
      <c r="N409">
        <f>[2]Sheet1!M409</f>
        <v>10</v>
      </c>
      <c r="O409">
        <f>[2]Sheet1!N409</f>
        <v>0</v>
      </c>
      <c r="P409" s="69">
        <f t="shared" si="60"/>
        <v>83.333333333333329</v>
      </c>
      <c r="Q409" s="105" t="s">
        <v>402</v>
      </c>
      <c r="R409" s="255">
        <v>3</v>
      </c>
      <c r="S409" s="85" t="s">
        <v>403</v>
      </c>
      <c r="T409" s="86">
        <v>1</v>
      </c>
      <c r="U409" s="92"/>
      <c r="V409" s="80"/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76.666666666666657</v>
      </c>
      <c r="BC409" s="53">
        <f t="shared" si="59"/>
        <v>76.666666666666657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1007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1007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2</v>
      </c>
      <c r="K411">
        <f>[2]Sheet1!J411</f>
        <v>0</v>
      </c>
      <c r="L411">
        <f>[2]Sheet1!K411</f>
        <v>5</v>
      </c>
      <c r="M411">
        <f>[2]Sheet1!L411</f>
        <v>23</v>
      </c>
      <c r="N411">
        <f>[2]Sheet1!M411</f>
        <v>12</v>
      </c>
      <c r="O411">
        <f>[2]Sheet1!N411</f>
        <v>0</v>
      </c>
      <c r="P411" s="69">
        <f t="shared" si="60"/>
        <v>125</v>
      </c>
      <c r="Q411" s="81" t="s">
        <v>463</v>
      </c>
      <c r="R411" s="82">
        <v>5</v>
      </c>
      <c r="S411" s="99" t="s">
        <v>464</v>
      </c>
      <c r="T411" s="100">
        <v>1</v>
      </c>
      <c r="U411" s="92"/>
      <c r="V411" s="80"/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1008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289.58333333333331</v>
      </c>
      <c r="Q412" s="81" t="s">
        <v>544</v>
      </c>
      <c r="R412" s="82">
        <v>4.3</v>
      </c>
      <c r="S412" s="81" t="s">
        <v>545</v>
      </c>
      <c r="T412" s="82">
        <v>4.7</v>
      </c>
      <c r="U412" s="81" t="s">
        <v>546</v>
      </c>
      <c r="V412" s="82">
        <v>2.6</v>
      </c>
      <c r="W412" s="256" t="s">
        <v>547</v>
      </c>
      <c r="X412" s="255">
        <v>1.6</v>
      </c>
      <c r="Y412" s="309" t="s">
        <v>548</v>
      </c>
      <c r="Z412" s="317">
        <v>0.7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13.899999999999999</v>
      </c>
      <c r="AY412" s="78">
        <f t="shared" si="57"/>
        <v>289.58333333333331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219.79166666666666</v>
      </c>
      <c r="BC412" s="53">
        <f t="shared" si="59"/>
        <v>244.79166666666666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1008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1009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1009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1009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6</v>
      </c>
      <c r="K416">
        <f>[2]Sheet1!J416</f>
        <v>11</v>
      </c>
      <c r="L416">
        <f>[2]Sheet1!K416</f>
        <v>0</v>
      </c>
      <c r="M416">
        <f>[2]Sheet1!L416</f>
        <v>7</v>
      </c>
      <c r="N416">
        <f>[2]Sheet1!M416</f>
        <v>1</v>
      </c>
      <c r="O416">
        <f>[2]Sheet1!N416</f>
        <v>0</v>
      </c>
      <c r="P416" s="69">
        <f t="shared" si="60"/>
        <v>0</v>
      </c>
      <c r="Q416" s="92"/>
      <c r="R416" s="80"/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1009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1009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689</v>
      </c>
      <c r="R418" s="82">
        <v>5</v>
      </c>
      <c r="S418" s="303" t="s">
        <v>690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SYS02</v>
      </c>
      <c r="C419" s="52" t="str">
        <f>[2]Sheet1!C419</f>
        <v>SHTN03</v>
      </c>
      <c r="D419" s="52" t="s">
        <v>1010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SYS02</v>
      </c>
      <c r="C420" s="52" t="str">
        <f>[2]Sheet1!C420</f>
        <v>SHTN03</v>
      </c>
      <c r="D420" s="52" t="s">
        <v>1010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57</v>
      </c>
      <c r="P420" s="69">
        <f t="shared" si="60"/>
        <v>145.83333333333334</v>
      </c>
      <c r="Q420" s="81" t="s">
        <v>713</v>
      </c>
      <c r="R420" s="82">
        <v>5</v>
      </c>
      <c r="S420" s="81" t="s">
        <v>714</v>
      </c>
      <c r="T420" s="82">
        <v>1</v>
      </c>
      <c r="U420" s="101" t="s">
        <v>715</v>
      </c>
      <c r="V420" s="100">
        <v>1</v>
      </c>
      <c r="W420" s="93"/>
      <c r="X420" s="80"/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1011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1011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774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1012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1012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1013</v>
      </c>
      <c r="E425">
        <f>[2]Sheet1!D425</f>
        <v>225</v>
      </c>
      <c r="F425">
        <f>[2]Sheet1!E425</f>
        <v>225</v>
      </c>
      <c r="G425" s="64">
        <f>[2]Sheet1!F425</f>
        <v>45358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3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26</v>
      </c>
      <c r="P425" s="69">
        <f t="shared" si="60"/>
        <v>102.29166666666667</v>
      </c>
      <c r="Q425" s="101" t="s">
        <v>396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1013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373</v>
      </c>
      <c r="R426" s="90">
        <v>2</v>
      </c>
      <c r="S426" s="89" t="s">
        <v>374</v>
      </c>
      <c r="T426" s="90">
        <v>2.9</v>
      </c>
      <c r="U426" s="89" t="s">
        <v>375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1013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3" t="s">
        <v>391</v>
      </c>
      <c r="R427" s="254">
        <v>2</v>
      </c>
      <c r="S427" s="111" t="s">
        <v>392</v>
      </c>
      <c r="T427" s="113">
        <v>2</v>
      </c>
      <c r="U427" s="306" t="s">
        <v>393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1013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1013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10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5" t="s">
        <v>1014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1013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1015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1013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19</v>
      </c>
      <c r="N431">
        <f>[2]Sheet1!M431</f>
        <v>8</v>
      </c>
      <c r="O431">
        <f>[2]Sheet1!N431</f>
        <v>0</v>
      </c>
      <c r="P431" s="69">
        <f t="shared" si="60"/>
        <v>41.666666666666664</v>
      </c>
      <c r="Q431" s="83" t="s">
        <v>378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1013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1013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2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104.16666666666667</v>
      </c>
      <c r="Q433" s="83" t="s">
        <v>377</v>
      </c>
      <c r="R433" s="284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1013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1013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1013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4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1013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1013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1016</v>
      </c>
      <c r="E439">
        <f>[2]Sheet1!D439</f>
        <v>366.59999999999997</v>
      </c>
      <c r="F439">
        <f>[2]Sheet1!E439</f>
        <v>108.3</v>
      </c>
      <c r="G439" s="64">
        <f>[2]Sheet1!F439</f>
        <v>45393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1189.5833333333333</v>
      </c>
      <c r="Q439" s="111"/>
      <c r="R439" s="113"/>
      <c r="S439" s="89" t="s">
        <v>389</v>
      </c>
      <c r="T439" s="282">
        <v>1</v>
      </c>
      <c r="U439" s="87" t="s">
        <v>383</v>
      </c>
      <c r="V439" s="281">
        <v>0.7</v>
      </c>
      <c r="W439" s="87" t="s">
        <v>384</v>
      </c>
      <c r="X439" s="281">
        <v>1</v>
      </c>
      <c r="Y439" s="81" t="s">
        <v>385</v>
      </c>
      <c r="Z439" s="279">
        <v>0.9</v>
      </c>
      <c r="AA439" s="81" t="s">
        <v>380</v>
      </c>
      <c r="AB439" s="279">
        <v>53.5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57.1</v>
      </c>
      <c r="AY439" s="78">
        <f t="shared" si="68"/>
        <v>1189.5833333333333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961.39166666666665</v>
      </c>
      <c r="BC439" s="53">
        <f t="shared" si="70"/>
        <v>703.09166666666658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1016</v>
      </c>
      <c r="E440">
        <f>[2]Sheet1!D440</f>
        <v>217.00000000000003</v>
      </c>
      <c r="F440">
        <f>[2]Sheet1!E440</f>
        <v>35</v>
      </c>
      <c r="G440" s="64">
        <f>[2]Sheet1!F440</f>
        <v>45387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97.916666666666643</v>
      </c>
      <c r="Q440" s="81" t="s">
        <v>381</v>
      </c>
      <c r="R440" s="279">
        <v>2</v>
      </c>
      <c r="S440" s="81" t="s">
        <v>382</v>
      </c>
      <c r="T440" s="279">
        <v>0.8</v>
      </c>
      <c r="U440" s="81" t="s">
        <v>390</v>
      </c>
      <c r="V440" s="279">
        <v>1.9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4.6999999999999993</v>
      </c>
      <c r="AY440" s="78">
        <f t="shared" si="68"/>
        <v>97.916666666666643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265.95833333333337</v>
      </c>
      <c r="BC440" s="53">
        <f t="shared" si="70"/>
        <v>83.958333333333314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1016</v>
      </c>
      <c r="E441">
        <f>[2]Sheet1!D441</f>
        <v>262.09999999999997</v>
      </c>
      <c r="F441">
        <f>[2]Sheet1!E441</f>
        <v>55.3</v>
      </c>
      <c r="G441" s="64">
        <f>[2]Sheet1!F441</f>
        <v>45387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1056.25</v>
      </c>
      <c r="Q441" s="81" t="s">
        <v>1017</v>
      </c>
      <c r="R441" s="279">
        <v>36.200000000000003</v>
      </c>
      <c r="S441" s="89" t="s">
        <v>388</v>
      </c>
      <c r="T441" s="282">
        <v>1.4</v>
      </c>
      <c r="U441" s="81"/>
      <c r="V441" s="279"/>
      <c r="W441" s="81" t="s">
        <v>386</v>
      </c>
      <c r="X441" s="279">
        <v>0.5</v>
      </c>
      <c r="Y441" s="81" t="s">
        <v>387</v>
      </c>
      <c r="Z441" s="279">
        <v>0.5</v>
      </c>
      <c r="AA441" s="253" t="s">
        <v>394</v>
      </c>
      <c r="AB441" s="300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50.7</v>
      </c>
      <c r="AY441" s="78">
        <f t="shared" si="68"/>
        <v>1056.25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790.22499999999991</v>
      </c>
      <c r="BC441" s="53">
        <f t="shared" si="70"/>
        <v>583.42499999999995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1018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502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1019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1020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1021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1021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658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1022</v>
      </c>
      <c r="E447">
        <f>[2]Sheet1!D447</f>
        <v>52.800000000000004</v>
      </c>
      <c r="F447">
        <f>[2]Sheet1!E447</f>
        <v>2.2999999999999998</v>
      </c>
      <c r="G447" s="64">
        <f>[2]Sheet1!F447</f>
        <v>45386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454.16666666666669</v>
      </c>
      <c r="Q447" s="81" t="s">
        <v>1023</v>
      </c>
      <c r="R447" s="82">
        <v>5</v>
      </c>
      <c r="S447" s="81" t="s">
        <v>988</v>
      </c>
      <c r="T447" s="82">
        <v>11.7</v>
      </c>
      <c r="U447" s="83" t="s">
        <v>682</v>
      </c>
      <c r="V447" s="84">
        <v>2</v>
      </c>
      <c r="W447" s="85" t="s">
        <v>682</v>
      </c>
      <c r="X447" s="86">
        <v>1.8</v>
      </c>
      <c r="Y447" s="92" t="s">
        <v>681</v>
      </c>
      <c r="Z447" s="80">
        <v>1.3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21.8</v>
      </c>
      <c r="AY447" s="78">
        <f t="shared" si="68"/>
        <v>454.16666666666669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279.88333333333333</v>
      </c>
      <c r="BC447" s="53">
        <f t="shared" si="70"/>
        <v>229.38333333333335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1022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1022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679</v>
      </c>
      <c r="R449" s="82">
        <v>0.5</v>
      </c>
      <c r="S449" s="85" t="s">
        <v>1024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1025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1026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1027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1028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6" t="s">
        <v>569</v>
      </c>
      <c r="R453" s="255">
        <v>2</v>
      </c>
      <c r="S453" s="99" t="s">
        <v>714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1028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716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1029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1029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1029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1" t="s">
        <v>773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1030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1030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670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1030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1030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1030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1031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741</v>
      </c>
      <c r="R463" s="82">
        <v>5</v>
      </c>
      <c r="S463" s="99" t="s">
        <v>742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1031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828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5" t="s">
        <v>737</v>
      </c>
      <c r="R465" s="318">
        <v>2.5</v>
      </c>
      <c r="S465" s="105" t="s">
        <v>738</v>
      </c>
      <c r="T465" s="318">
        <v>2.5</v>
      </c>
      <c r="U465" s="83" t="s">
        <v>739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906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865</v>
      </c>
      <c r="E467">
        <f>[2]Sheet1!D467</f>
        <v>110.4</v>
      </c>
      <c r="F467">
        <f>[2]Sheet1!E467</f>
        <v>114.39999999999999</v>
      </c>
      <c r="G467" s="64">
        <f>[2]Sheet1!F467</f>
        <v>45399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414</v>
      </c>
      <c r="R467" s="82">
        <v>1.4</v>
      </c>
      <c r="S467" s="89" t="s">
        <v>412</v>
      </c>
      <c r="T467" s="90">
        <v>2.2000000000000002</v>
      </c>
      <c r="U467" s="89" t="s">
        <v>413</v>
      </c>
      <c r="V467" s="90">
        <v>2</v>
      </c>
      <c r="W467" s="263" t="s">
        <v>1032</v>
      </c>
      <c r="X467" s="252">
        <v>4</v>
      </c>
      <c r="Y467" s="263" t="s">
        <v>416</v>
      </c>
      <c r="Z467" s="90">
        <v>2.2999999999999998</v>
      </c>
      <c r="AA467" s="89" t="s">
        <v>411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252.06666666666666</v>
      </c>
      <c r="BC467" s="53">
        <f t="shared" si="70"/>
        <v>256.06666666666666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969</v>
      </c>
      <c r="E468">
        <f>[2]Sheet1!D468</f>
        <v>13</v>
      </c>
      <c r="F468">
        <f>[2]Sheet1!E468</f>
        <v>13</v>
      </c>
      <c r="G468" s="64">
        <f>[2]Sheet1!F468</f>
        <v>45400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5" t="s">
        <v>458</v>
      </c>
      <c r="R468" s="255">
        <v>1.7</v>
      </c>
      <c r="S468" s="256" t="s">
        <v>1033</v>
      </c>
      <c r="T468" s="255">
        <v>7.5</v>
      </c>
      <c r="U468" s="83" t="s">
        <v>461</v>
      </c>
      <c r="V468" s="284">
        <v>2</v>
      </c>
      <c r="W468" s="105" t="s">
        <v>1034</v>
      </c>
      <c r="X468" s="294">
        <v>2.9</v>
      </c>
      <c r="Y468" s="92" t="s">
        <v>457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222.375</v>
      </c>
      <c r="BC468" s="53">
        <f t="shared" si="70"/>
        <v>222.375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876</v>
      </c>
      <c r="E469">
        <f>[2]Sheet1!D469</f>
        <v>10.5</v>
      </c>
      <c r="F469">
        <f>[2]Sheet1!E469</f>
        <v>11.100000000000001</v>
      </c>
      <c r="G469" s="64">
        <f>[2]Sheet1!F469</f>
        <v>45364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291.66666666666669</v>
      </c>
      <c r="Q469" s="101"/>
      <c r="R469" s="100"/>
      <c r="S469" s="256" t="s">
        <v>1035</v>
      </c>
      <c r="T469" s="255">
        <v>1</v>
      </c>
      <c r="U469" s="105" t="s">
        <v>601</v>
      </c>
      <c r="V469" s="268">
        <v>3.4</v>
      </c>
      <c r="W469" s="311" t="s">
        <v>1036</v>
      </c>
      <c r="X469" s="268">
        <v>3.6</v>
      </c>
      <c r="Y469" s="314" t="s">
        <v>603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156.33333333333334</v>
      </c>
      <c r="BC469" s="53">
        <f t="shared" si="70"/>
        <v>156.93333333333334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914</v>
      </c>
      <c r="E470">
        <f>[2]Sheet1!D470</f>
        <v>11</v>
      </c>
      <c r="F470">
        <f>[2]Sheet1!E470</f>
        <v>15.100000000000001</v>
      </c>
      <c r="G470" s="64">
        <f>[2]Sheet1!F470</f>
        <v>45364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162.50000000000003</v>
      </c>
      <c r="Q470" s="311" t="s">
        <v>1037</v>
      </c>
      <c r="R470" s="318">
        <v>3.6</v>
      </c>
      <c r="S470" s="89" t="s">
        <v>633</v>
      </c>
      <c r="T470" s="302">
        <v>4.2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7.8000000000000007</v>
      </c>
      <c r="AY470" s="78">
        <f t="shared" si="68"/>
        <v>162.50000000000003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92.250000000000014</v>
      </c>
      <c r="BC470" s="53">
        <f t="shared" si="70"/>
        <v>96.350000000000023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828</v>
      </c>
      <c r="E471">
        <f>[2]Sheet1!D471</f>
        <v>0</v>
      </c>
      <c r="F471">
        <f>[2]Sheet1!E471</f>
        <v>0</v>
      </c>
      <c r="G471" s="64">
        <f>[2]Sheet1!F471</f>
        <v>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809</v>
      </c>
      <c r="E472">
        <f>[2]Sheet1!D472</f>
        <v>0</v>
      </c>
      <c r="F472">
        <f>[2]Sheet1!E472</f>
        <v>0.3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950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1038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712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1038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1038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1038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1038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1038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1038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1038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1038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1038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2xWp4I4uB5+m5qH7HzCFOuU0W20Hrk/5LuaXf7FwblqtHVkf1dMmGy91mYaTtBS3Y0pnxBjud3BR5F4ikqGFTg==" saltValue="5lZP+RNVF43Sx87UJR9xIw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topLeftCell="C1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49" t="s">
        <v>1039</v>
      </c>
      <c r="D3" s="350"/>
      <c r="E3" s="350"/>
      <c r="F3" s="350"/>
      <c r="G3" s="351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1040</v>
      </c>
      <c r="D6" s="124" t="s">
        <v>874</v>
      </c>
      <c r="E6" s="352" t="s">
        <v>1041</v>
      </c>
      <c r="F6" s="352"/>
      <c r="G6" s="352"/>
      <c r="H6" s="122"/>
    </row>
    <row r="7" spans="2:10" ht="19.899999999999999" customHeight="1">
      <c r="B7" s="121"/>
      <c r="C7" s="188" t="s">
        <v>1042</v>
      </c>
      <c r="D7" s="192">
        <f>SUM(D15+G15)</f>
        <v>129</v>
      </c>
      <c r="E7" s="353" t="s">
        <v>1043</v>
      </c>
      <c r="F7" s="353"/>
      <c r="G7" s="353"/>
      <c r="H7" s="122"/>
    </row>
    <row r="8" spans="2:10" ht="19.899999999999999" customHeight="1">
      <c r="B8" s="121"/>
      <c r="C8" s="188" t="s">
        <v>1042</v>
      </c>
      <c r="D8" s="211">
        <f>D7*54.5/1000</f>
        <v>7.0305</v>
      </c>
      <c r="E8" s="353" t="s">
        <v>1044</v>
      </c>
      <c r="F8" s="353"/>
      <c r="G8" s="353"/>
      <c r="H8" s="122"/>
      <c r="J8" s="125"/>
    </row>
    <row r="9" spans="2:10" ht="19.899999999999999" customHeight="1">
      <c r="B9" s="121"/>
      <c r="C9" s="184" t="s">
        <v>1045</v>
      </c>
      <c r="D9" s="192">
        <f>SUM(D16+G16)</f>
        <v>0</v>
      </c>
      <c r="E9" s="353" t="s">
        <v>1046</v>
      </c>
      <c r="F9" s="353"/>
      <c r="G9" s="353"/>
      <c r="H9" s="122"/>
    </row>
    <row r="10" spans="2:10" ht="19.899999999999999" customHeight="1">
      <c r="B10" s="121"/>
      <c r="C10" s="184" t="s">
        <v>1045</v>
      </c>
      <c r="D10" s="212">
        <f>D9*54.5/1000</f>
        <v>0</v>
      </c>
      <c r="E10" s="346" t="s">
        <v>1047</v>
      </c>
      <c r="F10" s="347"/>
      <c r="G10" s="348"/>
      <c r="H10" s="122"/>
    </row>
    <row r="11" spans="2:10" ht="19.899999999999999" customHeight="1">
      <c r="B11" s="121"/>
      <c r="C11" s="184" t="s">
        <v>1048</v>
      </c>
      <c r="D11" s="213">
        <v>18</v>
      </c>
      <c r="E11" s="352" t="s">
        <v>1049</v>
      </c>
      <c r="F11" s="352"/>
      <c r="G11" s="352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1050</v>
      </c>
      <c r="E13" s="182"/>
      <c r="F13" s="182"/>
      <c r="G13" s="183" t="s">
        <v>1051</v>
      </c>
      <c r="H13" s="122"/>
    </row>
    <row r="14" spans="2:10" ht="18.75" customHeight="1">
      <c r="B14" s="121"/>
      <c r="C14" s="184" t="s">
        <v>1052</v>
      </c>
      <c r="D14" s="185" t="str">
        <f>VLOOKUP(D6,Data!C1:D35,2,FALSE)</f>
        <v>LDMS13;DC SYS01 A</v>
      </c>
      <c r="E14" s="346"/>
      <c r="F14" s="348"/>
      <c r="G14" s="185" t="str">
        <f>VLOOKUP(D6,Data!C1:E35,3,FALSE)</f>
        <v>LDMS13;DC SYS01 B</v>
      </c>
      <c r="H14" s="122"/>
    </row>
    <row r="15" spans="2:10" ht="18.75" customHeight="1">
      <c r="B15" s="121"/>
      <c r="C15" s="184" t="s">
        <v>1053</v>
      </c>
      <c r="D15" s="187">
        <f>VLOOKUP(D14,All!A8:I268,9,FALSE)</f>
        <v>45</v>
      </c>
      <c r="E15" s="346"/>
      <c r="F15" s="348"/>
      <c r="G15" s="187">
        <f>VLOOKUP(G14,All!A8:I268,9,FALSE)</f>
        <v>84</v>
      </c>
      <c r="H15" s="122"/>
    </row>
    <row r="16" spans="2:10" ht="18.75" customHeight="1">
      <c r="B16" s="121"/>
      <c r="C16" s="184" t="s">
        <v>1054</v>
      </c>
      <c r="D16" s="187">
        <f>VLOOKUP(D14,'SYS Allocations'!A8:I269,8,FALSE)</f>
        <v>0</v>
      </c>
      <c r="E16" s="346" t="s">
        <v>1055</v>
      </c>
      <c r="F16" s="348"/>
      <c r="G16" s="187">
        <f>VLOOKUP(G14,'SYS Allocations'!A8:H269,8,FALSE)</f>
        <v>0</v>
      </c>
      <c r="H16" s="122"/>
    </row>
    <row r="17" spans="2:10" ht="18.75" customHeight="1">
      <c r="B17" s="121"/>
      <c r="C17" s="184" t="s">
        <v>1056</v>
      </c>
      <c r="D17" s="186" t="str">
        <f>VLOOKUP(D14,All!A8:H268,6,FALSE)</f>
        <v>Eaton Powerware NPR.48</v>
      </c>
      <c r="E17" s="346"/>
      <c r="F17" s="348"/>
      <c r="G17" s="186" t="str">
        <f>VLOOKUP(G14,All!A8:H268,6,FALSE)</f>
        <v>Eaton Powerware NPR.48</v>
      </c>
      <c r="H17" s="130"/>
    </row>
    <row r="18" spans="2:10" ht="18.75" customHeight="1">
      <c r="B18" s="121"/>
      <c r="C18" s="184" t="s">
        <v>1057</v>
      </c>
      <c r="D18" s="186">
        <f>VLOOKUP(D14,All!A8:H268,8,FALSE)</f>
        <v>8</v>
      </c>
      <c r="E18" s="346"/>
      <c r="F18" s="348"/>
      <c r="G18" s="186">
        <f>VLOOKUP(G14,All!A8:H268,8,FALSE)</f>
        <v>8</v>
      </c>
      <c r="H18" s="122"/>
      <c r="J18" s="177" t="s">
        <v>1058</v>
      </c>
    </row>
    <row r="19" spans="2:10" ht="18.75" customHeight="1">
      <c r="B19" s="121"/>
      <c r="C19" s="184" t="s">
        <v>1059</v>
      </c>
      <c r="D19" s="187">
        <f>D7/2</f>
        <v>64.5</v>
      </c>
      <c r="E19" s="346" t="s">
        <v>1044</v>
      </c>
      <c r="F19" s="348"/>
      <c r="G19" s="187">
        <f>D19</f>
        <v>64.5</v>
      </c>
      <c r="H19" s="122"/>
    </row>
    <row r="20" spans="2:10" ht="18.75" customHeight="1">
      <c r="B20" s="121"/>
      <c r="C20" s="188" t="s">
        <v>1060</v>
      </c>
      <c r="D20" s="187">
        <f>SUM(D7,D9,D11)/2</f>
        <v>73.5</v>
      </c>
      <c r="E20" s="346" t="s">
        <v>1044</v>
      </c>
      <c r="F20" s="348"/>
      <c r="G20" s="187">
        <f>D20</f>
        <v>73.5</v>
      </c>
      <c r="H20" s="122"/>
    </row>
    <row r="21" spans="2:10" ht="18.75" customHeight="1">
      <c r="B21" s="121"/>
      <c r="C21" s="188" t="s">
        <v>1061</v>
      </c>
      <c r="D21" s="189">
        <f>(D20*54.5)/1000</f>
        <v>4.0057499999999999</v>
      </c>
      <c r="E21" s="346" t="s">
        <v>1044</v>
      </c>
      <c r="F21" s="348"/>
      <c r="G21" s="189">
        <f>(G20*54.5)/1000</f>
        <v>4.0057499999999999</v>
      </c>
      <c r="H21" s="122"/>
    </row>
    <row r="22" spans="2:10" ht="18.75" customHeight="1">
      <c r="B22" s="121"/>
      <c r="C22" s="184" t="s">
        <v>1062</v>
      </c>
      <c r="D22" s="190" t="str">
        <f>VLOOKUP(D14,All!A8:R283,16,FALSE)</f>
        <v>6</v>
      </c>
      <c r="E22" s="346" t="s">
        <v>1063</v>
      </c>
      <c r="F22" s="348"/>
      <c r="G22" s="190" t="str">
        <f>VLOOKUP(G14,All!A8:R283,16,FALSE)</f>
        <v>6</v>
      </c>
      <c r="H22" s="122"/>
    </row>
    <row r="23" spans="2:10" ht="18.75" customHeight="1">
      <c r="B23" s="121"/>
      <c r="C23" s="184" t="s">
        <v>1064</v>
      </c>
      <c r="D23" s="190" t="str">
        <f>VLOOKUP(D14,All!A8:AP283,42,FALSE)</f>
        <v>12V101F</v>
      </c>
      <c r="E23" s="346" t="s">
        <v>1065</v>
      </c>
      <c r="F23" s="348"/>
      <c r="G23" s="190" t="str">
        <f>VLOOKUP(G14,All!A8:AP283,42,FALSE)</f>
        <v>12V101F</v>
      </c>
      <c r="H23" s="122"/>
      <c r="J23" s="177" t="s">
        <v>1058</v>
      </c>
    </row>
    <row r="24" spans="2:10" ht="18.75" customHeight="1">
      <c r="B24" s="121"/>
      <c r="C24" s="184" t="s">
        <v>1066</v>
      </c>
      <c r="D24" s="191">
        <f>(VLOOKUP(D23,Table7[],15,FALSE)*D22)</f>
        <v>60</v>
      </c>
      <c r="E24" s="346" t="s">
        <v>1067</v>
      </c>
      <c r="F24" s="348"/>
      <c r="G24" s="191">
        <f>(VLOOKUP(G23,Table7[],15,FALSE)*G22)</f>
        <v>60</v>
      </c>
      <c r="H24" s="122"/>
    </row>
    <row r="25" spans="2:10" ht="18.75" customHeight="1">
      <c r="B25" s="121"/>
      <c r="C25" s="184" t="s">
        <v>1068</v>
      </c>
      <c r="D25" s="192">
        <f>D20</f>
        <v>73.5</v>
      </c>
      <c r="E25" s="346" t="s">
        <v>1044</v>
      </c>
      <c r="F25" s="348"/>
      <c r="G25" s="192">
        <f>G20</f>
        <v>73.5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1069</v>
      </c>
      <c r="E27" s="361" t="s">
        <v>1070</v>
      </c>
      <c r="F27" s="362"/>
      <c r="G27" s="196" t="s">
        <v>1069</v>
      </c>
      <c r="H27" s="122"/>
    </row>
    <row r="28" spans="2:10" ht="18.75" customHeight="1">
      <c r="B28" s="121"/>
      <c r="C28" s="197" t="s">
        <v>1071</v>
      </c>
      <c r="D28" s="198">
        <f>((VLOOKUP(D17,Table83[#Data],2,FALSE))*(D18-1))/2</f>
        <v>192.5</v>
      </c>
      <c r="E28" s="363">
        <f>ROUNDUP((((VLOOKUP(D17,Rectifier_Lookup!A2:C23,2,FALSE))*(D18-1))-(D25+G25))/(VLOOKUP(D17,Rectifier_Lookup!A2:C23,2,FALSE)),0)</f>
        <v>5</v>
      </c>
      <c r="F28" s="363"/>
      <c r="G28" s="199">
        <f>((VLOOKUP(G17,Table83[#Data],2,FALSE))*(G18-1))/2</f>
        <v>192.5</v>
      </c>
      <c r="H28" s="122"/>
    </row>
    <row r="29" spans="2:10" ht="15.75" customHeight="1">
      <c r="B29" s="121"/>
      <c r="C29" s="197" t="s">
        <v>1072</v>
      </c>
      <c r="D29" s="200">
        <f>(D28*54.5)/1000</f>
        <v>10.491250000000001</v>
      </c>
      <c r="E29" s="363"/>
      <c r="F29" s="363"/>
      <c r="G29" s="201">
        <f>(G28*54.5)/1000</f>
        <v>10.491250000000001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1073</v>
      </c>
      <c r="E31" s="364" t="s">
        <v>1074</v>
      </c>
      <c r="F31" s="364"/>
      <c r="G31" s="203" t="s">
        <v>1075</v>
      </c>
      <c r="H31" s="122"/>
    </row>
    <row r="32" spans="2:10" ht="19.5" customHeight="1">
      <c r="B32" s="121"/>
      <c r="C32" s="204" t="s">
        <v>1076</v>
      </c>
      <c r="D32" s="131">
        <f>(D33/D28)</f>
        <v>0.61818181818181817</v>
      </c>
      <c r="E32" s="365" t="s">
        <v>1077</v>
      </c>
      <c r="F32" s="366"/>
      <c r="G32" s="131">
        <f>(G33/G28)</f>
        <v>0.61818181818181817</v>
      </c>
      <c r="H32" s="122"/>
    </row>
    <row r="33" spans="2:8" ht="19.5" customHeight="1">
      <c r="B33" s="121"/>
      <c r="C33" s="197" t="s">
        <v>1071</v>
      </c>
      <c r="D33" s="198">
        <f>D28-D25</f>
        <v>119</v>
      </c>
      <c r="E33" s="367">
        <f>D33+G33</f>
        <v>238</v>
      </c>
      <c r="F33" s="367"/>
      <c r="G33" s="198">
        <f>G28-G25</f>
        <v>119</v>
      </c>
      <c r="H33" s="122"/>
    </row>
    <row r="34" spans="2:8" ht="19.5" customHeight="1">
      <c r="B34" s="121"/>
      <c r="C34" s="197" t="s">
        <v>1072</v>
      </c>
      <c r="D34" s="200">
        <f>(D33*54.5)/1000</f>
        <v>6.4855</v>
      </c>
      <c r="E34" s="354">
        <f>D34+G34</f>
        <v>12.971</v>
      </c>
      <c r="F34" s="354"/>
      <c r="G34" s="200">
        <f>(G33*54.5)/1000</f>
        <v>6.4855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5" t="s">
        <v>1078</v>
      </c>
      <c r="D36" s="356"/>
      <c r="E36" s="356"/>
      <c r="F36" s="356"/>
      <c r="G36" s="357"/>
      <c r="H36" s="122"/>
    </row>
    <row r="37" spans="2:8" ht="15.75" customHeight="1">
      <c r="B37" s="121"/>
      <c r="C37" s="197" t="s">
        <v>1079</v>
      </c>
      <c r="D37" s="205" t="s">
        <v>1080</v>
      </c>
      <c r="E37" s="205" t="s">
        <v>1081</v>
      </c>
      <c r="F37" s="205" t="s">
        <v>1082</v>
      </c>
      <c r="G37" s="205" t="s">
        <v>1083</v>
      </c>
      <c r="H37" s="122"/>
    </row>
    <row r="38" spans="2:8" ht="21.6" customHeight="1">
      <c r="B38" s="121"/>
      <c r="C38" s="206" t="s">
        <v>1084</v>
      </c>
      <c r="D38" s="207">
        <f>VLOOKUP(D23,Table7[],6,FALSE)*D22</f>
        <v>301.52807339449544</v>
      </c>
      <c r="E38" s="207">
        <f>VLOOKUP(D23,Table7[],7,FALSE)*D22</f>
        <v>169.07449541284402</v>
      </c>
      <c r="F38" s="207">
        <f>VLOOKUP(D23,Table7[],8,FALSE)*D22</f>
        <v>123.41724770642202</v>
      </c>
      <c r="G38" s="207">
        <f>VLOOKUP(D23,Table7[],9,FALSE)*D22</f>
        <v>98.686238532110096</v>
      </c>
      <c r="H38" s="122"/>
    </row>
    <row r="39" spans="2:8" ht="21.6" customHeight="1">
      <c r="B39" s="121"/>
      <c r="C39" s="206" t="s">
        <v>1085</v>
      </c>
      <c r="D39" s="207">
        <f>VLOOKUP(D23,Table7[],10,FALSE)*D22</f>
        <v>16.43328</v>
      </c>
      <c r="E39" s="207">
        <f>VLOOKUP(D23,Table7[],11,FALSE)*D22</f>
        <v>9.2145599999999988</v>
      </c>
      <c r="F39" s="207">
        <f>VLOOKUP(D23,Table7[],12,FALSE)*D22</f>
        <v>6.7262400000000007</v>
      </c>
      <c r="G39" s="207">
        <f>VLOOKUP(D23,Table7[],13,FALSE)*D22</f>
        <v>5.378400000000001</v>
      </c>
      <c r="H39" s="122"/>
    </row>
    <row r="40" spans="2:8" ht="21.6" customHeight="1">
      <c r="B40" s="121"/>
      <c r="C40" s="208" t="s">
        <v>1086</v>
      </c>
      <c r="D40" s="207">
        <f>VLOOKUP(G23,Table7[],6,FALSE)*G22</f>
        <v>301.52807339449544</v>
      </c>
      <c r="E40" s="207">
        <f>VLOOKUP(G23,Table7[],7,FALSE)*G22</f>
        <v>169.07449541284402</v>
      </c>
      <c r="F40" s="207">
        <f>VLOOKUP(G23,Table7[],8,FALSE)*G22</f>
        <v>123.41724770642202</v>
      </c>
      <c r="G40" s="207">
        <f>VLOOKUP(G23,Table7[],9,FALSE)*G22</f>
        <v>98.686238532110096</v>
      </c>
      <c r="H40" s="122"/>
    </row>
    <row r="41" spans="2:8" ht="21.6" customHeight="1">
      <c r="B41" s="121"/>
      <c r="C41" s="208" t="s">
        <v>1087</v>
      </c>
      <c r="D41" s="207">
        <f>VLOOKUP(G23,Table7[],10,FALSE)*G22</f>
        <v>16.43328</v>
      </c>
      <c r="E41" s="207">
        <f>VLOOKUP(G23,Table7[],11,FALSE)*G22</f>
        <v>9.2145599999999988</v>
      </c>
      <c r="F41" s="207">
        <f>VLOOKUP(G23,Table7[],12,FALSE)*G22</f>
        <v>6.7262400000000007</v>
      </c>
      <c r="G41" s="207">
        <f>VLOOKUP(G23,Table7[],13,FALSE)*G22</f>
        <v>5.378400000000001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58" t="s">
        <v>1088</v>
      </c>
      <c r="D43" s="359"/>
      <c r="E43" s="359"/>
      <c r="F43" s="359"/>
      <c r="G43" s="360"/>
      <c r="H43" s="122"/>
    </row>
    <row r="44" spans="2:8" ht="21" customHeight="1">
      <c r="B44" s="121"/>
      <c r="C44" s="209" t="s">
        <v>1079</v>
      </c>
      <c r="D44" s="210" t="s">
        <v>1080</v>
      </c>
      <c r="E44" s="210" t="s">
        <v>1081</v>
      </c>
      <c r="F44" s="210" t="s">
        <v>1082</v>
      </c>
      <c r="G44" s="210" t="s">
        <v>1083</v>
      </c>
      <c r="H44" s="122"/>
    </row>
    <row r="45" spans="2:8" ht="21" customHeight="1">
      <c r="B45" s="121"/>
      <c r="C45" s="206" t="s">
        <v>1089</v>
      </c>
      <c r="D45" s="207">
        <f>VLOOKUP(D23,Table7[],6,FALSE)*D22</f>
        <v>301.52807339449544</v>
      </c>
      <c r="E45" s="207">
        <f>VLOOKUP(D23,Table7[],7,FALSE)*D22</f>
        <v>169.07449541284402</v>
      </c>
      <c r="F45" s="207">
        <f>VLOOKUP(D23,Table7[],8,FALSE)*D22</f>
        <v>123.41724770642202</v>
      </c>
      <c r="G45" s="207">
        <f>VLOOKUP(D23,Table7[],9,FALSE)*D22</f>
        <v>98.686238532110096</v>
      </c>
      <c r="H45" s="122"/>
    </row>
    <row r="46" spans="2:8" ht="21" customHeight="1">
      <c r="B46" s="121"/>
      <c r="C46" s="206" t="s">
        <v>1085</v>
      </c>
      <c r="D46" s="207">
        <f>VLOOKUP(D23,Table7[],10,FALSE)*D22</f>
        <v>16.43328</v>
      </c>
      <c r="E46" s="207">
        <f>VLOOKUP(D23,Table7[],11,FALSE)*D22</f>
        <v>9.2145599999999988</v>
      </c>
      <c r="F46" s="207">
        <f>VLOOKUP(D23,Table7[],12,FALSE)*D22</f>
        <v>6.7262400000000007</v>
      </c>
      <c r="G46" s="207">
        <f>VLOOKUP(D23,Table7[],13,FALSE)*D22</f>
        <v>5.378400000000001</v>
      </c>
      <c r="H46" s="122"/>
    </row>
    <row r="47" spans="2:8" ht="21" customHeight="1">
      <c r="B47" s="121"/>
      <c r="C47" s="208" t="s">
        <v>1090</v>
      </c>
      <c r="D47" s="207">
        <f>VLOOKUP(G23,Table7[],6,FALSE)*G22</f>
        <v>301.52807339449544</v>
      </c>
      <c r="E47" s="207">
        <f>VLOOKUP(G23,Table7[],7,FALSE)*G22</f>
        <v>169.07449541284402</v>
      </c>
      <c r="F47" s="207">
        <f>VLOOKUP(G23,Table7[],8,FALSE)*G22</f>
        <v>123.41724770642202</v>
      </c>
      <c r="G47" s="207">
        <f>VLOOKUP(G23,Table7[],9,FALSE)*G22</f>
        <v>98.686238532110096</v>
      </c>
      <c r="H47" s="122"/>
    </row>
    <row r="48" spans="2:8" ht="21" customHeight="1">
      <c r="B48" s="121"/>
      <c r="C48" s="208" t="s">
        <v>1087</v>
      </c>
      <c r="D48" s="207">
        <f>VLOOKUP(G23,Table7[],10,FALSE)*G22</f>
        <v>16.43328</v>
      </c>
      <c r="E48" s="207">
        <f>VLOOKUP(G23,Table7[],11,FALSE)*G22</f>
        <v>9.2145599999999988</v>
      </c>
      <c r="F48" s="207">
        <f>VLOOKUP(G23,Table7[],12,FALSE)*G22</f>
        <v>6.7262400000000007</v>
      </c>
      <c r="G48" s="207">
        <f>VLOOKUP(G23,Table7[],13,FALSE)*G22</f>
        <v>5.378400000000001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hUcO5Qx0Jg5f9cQIrzg3Gc7D4FXq4baM+nboUmswxOa36VUr3Yy68L/xsWZeEs1ofly3ayWsfVM5txWNymaEGw==" saltValue="phkwOPeTmpDwgDj791/Iw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31" priority="3" operator="notEqual">
      <formula>$G$18</formula>
    </cfRule>
  </conditionalFormatting>
  <conditionalFormatting sqref="D23">
    <cfRule type="cellIs" dxfId="130" priority="2" operator="notEqual">
      <formula>$G$23</formula>
    </cfRule>
  </conditionalFormatting>
  <conditionalFormatting sqref="D24">
    <cfRule type="cellIs" dxfId="129" priority="16" operator="greaterThan">
      <formula>$D$28</formula>
    </cfRule>
  </conditionalFormatting>
  <conditionalFormatting sqref="D29 G29">
    <cfRule type="cellIs" dxfId="128" priority="31" operator="greaterThanOrEqual">
      <formula>$D$21</formula>
    </cfRule>
    <cfRule type="cellIs" dxfId="127" priority="30" operator="lessThan">
      <formula>$D$21</formula>
    </cfRule>
  </conditionalFormatting>
  <conditionalFormatting sqref="D32 G32">
    <cfRule type="cellIs" dxfId="126" priority="19" operator="greaterThan">
      <formula>25%</formula>
    </cfRule>
    <cfRule type="cellIs" dxfId="125" priority="17" operator="lessThanOrEqual">
      <formula>10%</formula>
    </cfRule>
    <cfRule type="cellIs" dxfId="124" priority="18" operator="between">
      <formula>24.99999%</formula>
      <formula>9.99999999999999%</formula>
    </cfRule>
  </conditionalFormatting>
  <conditionalFormatting sqref="D46">
    <cfRule type="cellIs" dxfId="123" priority="25" operator="greaterThanOrEqual">
      <formula>$D$8</formula>
    </cfRule>
    <cfRule type="cellIs" dxfId="122" priority="24" operator="lessThan">
      <formula>$D$8</formula>
    </cfRule>
  </conditionalFormatting>
  <conditionalFormatting sqref="D48">
    <cfRule type="cellIs" dxfId="121" priority="5" operator="lessThan">
      <formula>$D$8</formula>
    </cfRule>
    <cfRule type="cellIs" dxfId="120" priority="6" operator="greaterThanOrEqual">
      <formula>$D$8</formula>
    </cfRule>
  </conditionalFormatting>
  <conditionalFormatting sqref="D28:E28 G28">
    <cfRule type="cellIs" dxfId="119" priority="37" operator="greaterThanOrEqual">
      <formula>$D$20</formula>
    </cfRule>
    <cfRule type="cellIs" dxfId="118" priority="36" operator="lessThan">
      <formula>$D$20</formula>
    </cfRule>
  </conditionalFormatting>
  <conditionalFormatting sqref="D33:E34 G33:G34">
    <cfRule type="cellIs" dxfId="117" priority="21" operator="greaterThan">
      <formula>0</formula>
    </cfRule>
    <cfRule type="cellIs" dxfId="116" priority="20" operator="lessThanOrEqual">
      <formula>0</formula>
    </cfRule>
  </conditionalFormatting>
  <conditionalFormatting sqref="D38:G38">
    <cfRule type="cellIs" dxfId="115" priority="39" operator="greaterThan">
      <formula>$D$20</formula>
    </cfRule>
    <cfRule type="cellIs" dxfId="114" priority="38" operator="lessThanOrEqual">
      <formula>$D$20</formula>
    </cfRule>
  </conditionalFormatting>
  <conditionalFormatting sqref="D39:G39">
    <cfRule type="cellIs" dxfId="113" priority="41" operator="greaterThanOrEqual">
      <formula>$D$21</formula>
    </cfRule>
    <cfRule type="cellIs" dxfId="112" priority="40" operator="lessThan">
      <formula>$D$21</formula>
    </cfRule>
  </conditionalFormatting>
  <conditionalFormatting sqref="D40:G40">
    <cfRule type="cellIs" dxfId="111" priority="12" operator="greaterThan">
      <formula>$D$20</formula>
    </cfRule>
    <cfRule type="cellIs" dxfId="110" priority="11" operator="lessThanOrEqual">
      <formula>$D$20</formula>
    </cfRule>
  </conditionalFormatting>
  <conditionalFormatting sqref="D41:G41">
    <cfRule type="cellIs" dxfId="109" priority="14" operator="greaterThanOrEqual">
      <formula>$D$21</formula>
    </cfRule>
    <cfRule type="cellIs" dxfId="108" priority="13" operator="lessThan">
      <formula>$D$21</formula>
    </cfRule>
  </conditionalFormatting>
  <conditionalFormatting sqref="D45:G45">
    <cfRule type="cellIs" dxfId="107" priority="26" operator="lessThanOrEqual">
      <formula>$D$20*2</formula>
    </cfRule>
    <cfRule type="cellIs" dxfId="106" priority="27" operator="greaterThan">
      <formula>$D$20*2</formula>
    </cfRule>
  </conditionalFormatting>
  <conditionalFormatting sqref="D47:G47">
    <cfRule type="cellIs" dxfId="105" priority="7" operator="lessThanOrEqual">
      <formula>$G$20*2</formula>
    </cfRule>
    <cfRule type="cellIs" dxfId="104" priority="8" operator="greaterThan">
      <formula>$G$20*2</formula>
    </cfRule>
  </conditionalFormatting>
  <conditionalFormatting sqref="E28">
    <cfRule type="cellIs" dxfId="103" priority="23" operator="greaterThanOrEqual">
      <formula>0</formula>
    </cfRule>
    <cfRule type="cellIs" dxfId="102" priority="22" operator="lessThan">
      <formula>0</formula>
    </cfRule>
  </conditionalFormatting>
  <conditionalFormatting sqref="E46:G46">
    <cfRule type="cellIs" dxfId="101" priority="28" operator="lessThan">
      <formula>$D$21*2</formula>
    </cfRule>
    <cfRule type="cellIs" dxfId="100" priority="29" operator="greaterThanOrEqual">
      <formula>$D$21*2</formula>
    </cfRule>
  </conditionalFormatting>
  <conditionalFormatting sqref="E48:G48">
    <cfRule type="cellIs" dxfId="99" priority="10" operator="greaterThanOrEqual">
      <formula>$G$21*2</formula>
    </cfRule>
    <cfRule type="cellIs" dxfId="98" priority="9" operator="lessThan">
      <formula>$G$21*2</formula>
    </cfRule>
  </conditionalFormatting>
  <conditionalFormatting sqref="G18">
    <cfRule type="cellIs" dxfId="97" priority="4" operator="notEqual">
      <formula>$D$18</formula>
    </cfRule>
  </conditionalFormatting>
  <conditionalFormatting sqref="G23">
    <cfRule type="cellIs" dxfId="96" priority="1" operator="notEqual">
      <formula>$D$23</formula>
    </cfRule>
  </conditionalFormatting>
  <conditionalFormatting sqref="G24">
    <cfRule type="cellIs" dxfId="95" priority="15" operator="greaterThan">
      <formula>$G$28</formula>
    </cfRule>
  </conditionalFormatting>
  <conditionalFormatting sqref="G28">
    <cfRule type="cellIs" dxfId="94" priority="32" operator="lessThan">
      <formula>$D$20</formula>
    </cfRule>
    <cfRule type="cellIs" dxfId="93" priority="33" operator="greaterThanOrEqual">
      <formula>$D$20</formula>
    </cfRule>
  </conditionalFormatting>
  <conditionalFormatting sqref="G28:G29 E28">
    <cfRule type="cellIs" dxfId="92" priority="34" operator="greaterThanOrEqual">
      <formula>0</formula>
    </cfRule>
    <cfRule type="cellIs" dxfId="91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Data!$C$2:$C$35</xm:f>
          </x14:formula1>
          <xm:sqref>D6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90" zoomScaleNormal="90" workbookViewId="0">
      <pane xSplit="1" ySplit="7" topLeftCell="B157" activePane="bottomRight" state="frozen"/>
      <selection pane="bottomRight" activeCell="A67" sqref="A67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1091</v>
      </c>
      <c r="B1" s="64">
        <f ca="1">TODAY()-365</f>
        <v>45349</v>
      </c>
    </row>
    <row r="2" spans="1:53">
      <c r="A2" s="52" t="s">
        <v>1092</v>
      </c>
      <c r="B2">
        <f ca="1">COUNTIF(K8:K254,"&lt;="&amp;B1)+COUNTIF(K8:K254,"")</f>
        <v>122</v>
      </c>
    </row>
    <row r="5" spans="1:53">
      <c r="A5" s="71" t="s">
        <v>1093</v>
      </c>
      <c r="B5" s="71" t="s">
        <v>1093</v>
      </c>
      <c r="C5" s="71" t="s">
        <v>1093</v>
      </c>
      <c r="D5" s="71" t="s">
        <v>1093</v>
      </c>
      <c r="E5" s="71" t="s">
        <v>1093</v>
      </c>
      <c r="F5" s="71" t="s">
        <v>1093</v>
      </c>
      <c r="G5" s="71" t="s">
        <v>1093</v>
      </c>
      <c r="H5" s="71" t="s">
        <v>1093</v>
      </c>
      <c r="I5" s="71" t="s">
        <v>1093</v>
      </c>
      <c r="J5" s="71" t="s">
        <v>1093</v>
      </c>
      <c r="K5" s="71" t="s">
        <v>1093</v>
      </c>
      <c r="L5" s="71" t="s">
        <v>1093</v>
      </c>
      <c r="M5" s="71" t="s">
        <v>1093</v>
      </c>
      <c r="N5" s="71" t="s">
        <v>1093</v>
      </c>
      <c r="O5" s="71" t="s">
        <v>1093</v>
      </c>
      <c r="P5" s="71" t="s">
        <v>1093</v>
      </c>
      <c r="Q5" s="71" t="s">
        <v>1093</v>
      </c>
      <c r="R5" s="71" t="s">
        <v>1093</v>
      </c>
      <c r="S5" s="71" t="s">
        <v>1093</v>
      </c>
      <c r="T5" s="71" t="s">
        <v>1093</v>
      </c>
      <c r="U5" s="71" t="s">
        <v>1093</v>
      </c>
      <c r="V5" s="71" t="s">
        <v>1093</v>
      </c>
      <c r="W5" s="71" t="s">
        <v>1093</v>
      </c>
      <c r="X5" s="71" t="s">
        <v>1093</v>
      </c>
      <c r="Y5" s="71" t="s">
        <v>1093</v>
      </c>
      <c r="Z5" s="71" t="s">
        <v>1093</v>
      </c>
    </row>
    <row r="6" spans="1:53">
      <c r="A6" s="72" t="s">
        <v>1094</v>
      </c>
      <c r="B6" s="72" t="s">
        <v>1094</v>
      </c>
      <c r="C6" s="72" t="s">
        <v>1094</v>
      </c>
      <c r="D6" s="72" t="s">
        <v>1094</v>
      </c>
      <c r="E6" s="72" t="s">
        <v>1094</v>
      </c>
      <c r="F6" s="73" t="s">
        <v>1095</v>
      </c>
      <c r="G6" s="73" t="s">
        <v>1095</v>
      </c>
      <c r="H6" s="73" t="s">
        <v>1095</v>
      </c>
      <c r="I6" s="73" t="s">
        <v>1095</v>
      </c>
      <c r="J6" s="73" t="s">
        <v>1095</v>
      </c>
      <c r="K6" s="73" t="s">
        <v>1095</v>
      </c>
      <c r="L6" s="73" t="s">
        <v>1095</v>
      </c>
      <c r="M6" s="73" t="s">
        <v>1095</v>
      </c>
      <c r="N6" s="73" t="s">
        <v>1095</v>
      </c>
      <c r="O6" s="73" t="s">
        <v>1095</v>
      </c>
      <c r="P6" s="74" t="s">
        <v>1096</v>
      </c>
      <c r="Q6" s="74" t="s">
        <v>1096</v>
      </c>
      <c r="R6" s="74" t="s">
        <v>1096</v>
      </c>
      <c r="S6" s="74" t="s">
        <v>1096</v>
      </c>
      <c r="T6" s="74" t="s">
        <v>1096</v>
      </c>
      <c r="U6" s="75" t="s">
        <v>1097</v>
      </c>
      <c r="V6" s="75" t="s">
        <v>1097</v>
      </c>
      <c r="W6" s="75" t="s">
        <v>1097</v>
      </c>
      <c r="X6" s="75" t="s">
        <v>1097</v>
      </c>
      <c r="Y6" s="76" t="s">
        <v>8</v>
      </c>
      <c r="Z6" s="76" t="s">
        <v>8</v>
      </c>
      <c r="AA6" s="73" t="s">
        <v>1095</v>
      </c>
      <c r="AB6" s="73" t="s">
        <v>1095</v>
      </c>
      <c r="AC6" s="73" t="s">
        <v>1095</v>
      </c>
      <c r="AD6" s="73" t="s">
        <v>1095</v>
      </c>
      <c r="AE6" s="73" t="s">
        <v>1095</v>
      </c>
      <c r="AF6" s="74" t="s">
        <v>1096</v>
      </c>
      <c r="AG6" s="74" t="s">
        <v>1096</v>
      </c>
      <c r="AH6" s="75" t="s">
        <v>1097</v>
      </c>
      <c r="AI6" s="75" t="s">
        <v>1097</v>
      </c>
      <c r="AJ6" s="75" t="s">
        <v>1097</v>
      </c>
      <c r="AK6" s="75" t="s">
        <v>1097</v>
      </c>
      <c r="AL6" s="75" t="s">
        <v>1097</v>
      </c>
      <c r="AM6" s="75" t="s">
        <v>1097</v>
      </c>
    </row>
    <row r="7" spans="1:53" ht="91.15">
      <c r="A7" t="s">
        <v>1098</v>
      </c>
      <c r="B7" t="s">
        <v>6</v>
      </c>
      <c r="C7" t="s">
        <v>1099</v>
      </c>
      <c r="D7" t="s">
        <v>1100</v>
      </c>
      <c r="E7" t="s">
        <v>1101</v>
      </c>
      <c r="F7" t="s">
        <v>1102</v>
      </c>
      <c r="G7" t="s">
        <v>1103</v>
      </c>
      <c r="H7" t="s">
        <v>1104</v>
      </c>
      <c r="I7" t="s">
        <v>1105</v>
      </c>
      <c r="J7" t="s">
        <v>1106</v>
      </c>
      <c r="K7" t="s">
        <v>289</v>
      </c>
      <c r="L7" t="s">
        <v>1107</v>
      </c>
      <c r="M7" t="s">
        <v>1108</v>
      </c>
      <c r="N7" t="s">
        <v>1109</v>
      </c>
      <c r="O7" t="s">
        <v>1110</v>
      </c>
      <c r="P7" t="s">
        <v>1111</v>
      </c>
      <c r="Q7" t="s">
        <v>1112</v>
      </c>
      <c r="R7" t="s">
        <v>1113</v>
      </c>
      <c r="S7" t="s">
        <v>1114</v>
      </c>
      <c r="T7" t="s">
        <v>1115</v>
      </c>
      <c r="U7" t="s">
        <v>1116</v>
      </c>
      <c r="V7" t="s">
        <v>1117</v>
      </c>
      <c r="W7" t="s">
        <v>1118</v>
      </c>
      <c r="X7" t="s">
        <v>1119</v>
      </c>
      <c r="Y7" t="s">
        <v>1120</v>
      </c>
      <c r="Z7" t="s">
        <v>1121</v>
      </c>
      <c r="AA7" s="15" t="s">
        <v>22</v>
      </c>
      <c r="AB7" s="16" t="s">
        <v>1122</v>
      </c>
      <c r="AC7" s="16" t="s">
        <v>1123</v>
      </c>
      <c r="AD7" s="16" t="s">
        <v>1124</v>
      </c>
      <c r="AE7" s="16" t="s">
        <v>1125</v>
      </c>
      <c r="AF7" s="1" t="s">
        <v>1126</v>
      </c>
      <c r="AG7" s="1" t="s">
        <v>1127</v>
      </c>
      <c r="AH7" s="18" t="s">
        <v>1128</v>
      </c>
      <c r="AI7" s="18" t="s">
        <v>1129</v>
      </c>
      <c r="AJ7" s="18" t="s">
        <v>1130</v>
      </c>
      <c r="AK7" s="1" t="s">
        <v>22</v>
      </c>
      <c r="AL7" s="1" t="s">
        <v>1131</v>
      </c>
      <c r="AM7" s="1" t="s">
        <v>1132</v>
      </c>
      <c r="AN7" s="106" t="s">
        <v>1133</v>
      </c>
      <c r="AO7" s="106" t="s">
        <v>282</v>
      </c>
      <c r="AP7" s="106" t="s">
        <v>1134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1135</v>
      </c>
    </row>
    <row r="8" spans="1:53">
      <c r="A8" s="35" t="s">
        <v>24</v>
      </c>
      <c r="B8" t="s">
        <v>1136</v>
      </c>
      <c r="C8" t="s">
        <v>1137</v>
      </c>
      <c r="D8" t="s">
        <v>1138</v>
      </c>
      <c r="E8" t="s">
        <v>1139</v>
      </c>
      <c r="F8" t="s">
        <v>1140</v>
      </c>
      <c r="G8">
        <v>36.6</v>
      </c>
      <c r="H8">
        <v>5</v>
      </c>
      <c r="I8">
        <v>34</v>
      </c>
      <c r="J8">
        <v>1.853</v>
      </c>
      <c r="K8" s="64">
        <v>45414</v>
      </c>
      <c r="L8">
        <v>6.3830400000000003</v>
      </c>
      <c r="M8">
        <v>4.5300399999999996</v>
      </c>
      <c r="N8">
        <v>1.62192</v>
      </c>
      <c r="O8">
        <v>-0.23108000000000001</v>
      </c>
      <c r="P8" t="s">
        <v>1141</v>
      </c>
      <c r="Q8" t="s">
        <v>1142</v>
      </c>
      <c r="R8" t="s">
        <v>1143</v>
      </c>
      <c r="S8">
        <v>13.154400000000001</v>
      </c>
      <c r="T8">
        <v>11.301399999999999</v>
      </c>
      <c r="U8" t="s">
        <v>1144</v>
      </c>
      <c r="V8" t="s">
        <v>1145</v>
      </c>
      <c r="W8">
        <v>7.5</v>
      </c>
      <c r="X8">
        <v>5.6470000000000002</v>
      </c>
      <c r="Y8">
        <v>23</v>
      </c>
      <c r="AA8">
        <f>VLOOKUP(A8,Cover!A:R,18,0)</f>
        <v>0</v>
      </c>
      <c r="AB8" s="77">
        <f>M8-AA8</f>
        <v>4.5300399999999996</v>
      </c>
      <c r="AC8" s="77">
        <f>O8-AA8</f>
        <v>-0.23108000000000001</v>
      </c>
      <c r="AD8" s="77">
        <f>AB8/L8%</f>
        <v>70.969945355191243</v>
      </c>
      <c r="AE8" s="77">
        <f>AC8/N8%</f>
        <v>-14.24731182795699</v>
      </c>
      <c r="AF8" s="77">
        <f>T8-AA8</f>
        <v>11.301399999999999</v>
      </c>
      <c r="AG8" s="77">
        <f>AF8/S8%</f>
        <v>85.913458614608032</v>
      </c>
      <c r="AH8" s="77">
        <f>W8</f>
        <v>7.5</v>
      </c>
      <c r="AI8" s="77">
        <f>J8</f>
        <v>1.853</v>
      </c>
      <c r="AJ8" s="77">
        <f>AH8-AI8</f>
        <v>5.6470000000000002</v>
      </c>
      <c r="AK8" s="77">
        <f>AA8</f>
        <v>0</v>
      </c>
      <c r="AL8" s="77">
        <f>AJ8-AK8</f>
        <v>5.6470000000000002</v>
      </c>
      <c r="AM8" s="77">
        <f>AL8/AH8%</f>
        <v>75.293333333333337</v>
      </c>
      <c r="AN8" t="str">
        <f>IF(ISBLANK(Z8),"","Capped")</f>
        <v/>
      </c>
      <c r="AO8" t="s">
        <v>1146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1147</v>
      </c>
      <c r="C9" t="s">
        <v>1148</v>
      </c>
      <c r="D9" t="s">
        <v>1138</v>
      </c>
      <c r="E9" t="s">
        <v>927</v>
      </c>
      <c r="F9" t="s">
        <v>1149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1141</v>
      </c>
      <c r="Q9" t="s">
        <v>1150</v>
      </c>
      <c r="R9" t="s">
        <v>1151</v>
      </c>
      <c r="S9">
        <v>26.1144</v>
      </c>
      <c r="T9">
        <v>14.8874</v>
      </c>
      <c r="U9" t="s">
        <v>1141</v>
      </c>
      <c r="V9" t="s">
        <v>1152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N9" t="str">
        <f>IF(ISBLANK(Z9),"","Capped")</f>
        <v/>
      </c>
      <c r="AO9" t="s">
        <v>1146</v>
      </c>
      <c r="AP9" t="str">
        <f t="shared" ref="AP9:AP74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3">IFERROR(LEFT(R9,FIND("(",R9,1)-1),R9)</f>
        <v>DDm85-25</v>
      </c>
    </row>
    <row r="10" spans="1:53">
      <c r="A10" s="35" t="s">
        <v>26</v>
      </c>
      <c r="B10" t="s">
        <v>1147</v>
      </c>
      <c r="C10" t="s">
        <v>1148</v>
      </c>
      <c r="D10" t="s">
        <v>1138</v>
      </c>
      <c r="E10" t="s">
        <v>929</v>
      </c>
      <c r="F10" t="s">
        <v>1153</v>
      </c>
      <c r="G10">
        <v>31</v>
      </c>
      <c r="H10">
        <v>29</v>
      </c>
      <c r="I10">
        <v>377</v>
      </c>
      <c r="J10">
        <v>20.546500000000002</v>
      </c>
      <c r="K10" s="64">
        <v>45414</v>
      </c>
      <c r="L10">
        <v>37.844799999999999</v>
      </c>
      <c r="M10">
        <v>17.298300000000001</v>
      </c>
      <c r="N10">
        <v>27.686</v>
      </c>
      <c r="O10">
        <v>7.1395</v>
      </c>
      <c r="P10" t="s">
        <v>1141</v>
      </c>
      <c r="Q10" t="s">
        <v>1150</v>
      </c>
      <c r="R10" t="s">
        <v>1154</v>
      </c>
      <c r="S10">
        <v>31.687200000000001</v>
      </c>
      <c r="T10">
        <v>11.140700000000001</v>
      </c>
      <c r="U10" t="s">
        <v>1155</v>
      </c>
      <c r="V10" t="s">
        <v>1156</v>
      </c>
      <c r="W10">
        <v>33.75</v>
      </c>
      <c r="X10">
        <v>13.2035</v>
      </c>
      <c r="Y10">
        <v>13</v>
      </c>
      <c r="AA10">
        <f>VLOOKUP(A10,Cover!A:R,18,0)</f>
        <v>2</v>
      </c>
      <c r="AB10" s="77">
        <f t="shared" si="0"/>
        <v>15.298300000000001</v>
      </c>
      <c r="AC10" s="77">
        <f t="shared" si="1"/>
        <v>5.1395</v>
      </c>
      <c r="AD10" s="77">
        <f t="shared" si="2"/>
        <v>40.423783452416188</v>
      </c>
      <c r="AE10" s="77">
        <f t="shared" si="3"/>
        <v>18.56353391605866</v>
      </c>
      <c r="AF10" s="77">
        <f t="shared" si="4"/>
        <v>9.1407000000000007</v>
      </c>
      <c r="AG10" s="77">
        <f t="shared" si="5"/>
        <v>28.846663637052188</v>
      </c>
      <c r="AH10" s="77">
        <f t="shared" si="6"/>
        <v>33.75</v>
      </c>
      <c r="AI10" s="77">
        <f t="shared" si="7"/>
        <v>20.546500000000002</v>
      </c>
      <c r="AJ10" s="77">
        <f t="shared" si="8"/>
        <v>13.203499999999998</v>
      </c>
      <c r="AK10" s="77">
        <f t="shared" si="9"/>
        <v>2</v>
      </c>
      <c r="AL10" s="77">
        <f t="shared" si="10"/>
        <v>11.203499999999998</v>
      </c>
      <c r="AM10" s="77">
        <f t="shared" si="11"/>
        <v>33.195555555555551</v>
      </c>
      <c r="AN10" t="str">
        <f t="shared" ref="AN10:AN72" si="14">IF(ISBLANK(Z10),"","Capped")</f>
        <v/>
      </c>
      <c r="AO10" t="s">
        <v>1146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t="s">
        <v>1147</v>
      </c>
      <c r="C11" t="s">
        <v>1148</v>
      </c>
      <c r="D11" t="s">
        <v>1138</v>
      </c>
      <c r="E11" t="s">
        <v>930</v>
      </c>
      <c r="F11" t="s">
        <v>1140</v>
      </c>
      <c r="G11">
        <v>36.6</v>
      </c>
      <c r="H11">
        <v>15</v>
      </c>
      <c r="I11">
        <v>177</v>
      </c>
      <c r="J11">
        <v>9.6464999999999996</v>
      </c>
      <c r="K11" s="64">
        <v>45414</v>
      </c>
      <c r="L11">
        <v>22.34064</v>
      </c>
      <c r="M11">
        <v>12.694140000000001</v>
      </c>
      <c r="N11">
        <v>13.755800000000001</v>
      </c>
      <c r="O11">
        <v>4.1093000000000002</v>
      </c>
      <c r="P11" t="s">
        <v>1144</v>
      </c>
      <c r="Q11" t="s">
        <v>1150</v>
      </c>
      <c r="R11" t="s">
        <v>1157</v>
      </c>
      <c r="S11">
        <v>22.852799999999998</v>
      </c>
      <c r="T11">
        <v>13.206300000000001</v>
      </c>
      <c r="U11" t="s">
        <v>1141</v>
      </c>
      <c r="V11" t="s">
        <v>1158</v>
      </c>
      <c r="W11">
        <v>45</v>
      </c>
      <c r="X11">
        <v>35.353499999999997</v>
      </c>
      <c r="Y11">
        <v>0</v>
      </c>
      <c r="AA11">
        <f>VLOOKUP(A11,Cover!A:R,18,0)</f>
        <v>5</v>
      </c>
      <c r="AB11" s="77">
        <f t="shared" si="0"/>
        <v>7.6941400000000009</v>
      </c>
      <c r="AC11" s="77">
        <f t="shared" si="1"/>
        <v>-0.89069999999999983</v>
      </c>
      <c r="AD11" s="77">
        <f t="shared" si="2"/>
        <v>34.440105565462765</v>
      </c>
      <c r="AE11" s="77">
        <f t="shared" si="3"/>
        <v>-6.4750868724465294</v>
      </c>
      <c r="AF11" s="77">
        <f t="shared" si="4"/>
        <v>8.2063000000000006</v>
      </c>
      <c r="AG11" s="77">
        <f t="shared" si="5"/>
        <v>35.909385283203811</v>
      </c>
      <c r="AH11" s="77">
        <f t="shared" si="6"/>
        <v>45</v>
      </c>
      <c r="AI11" s="77">
        <f t="shared" si="7"/>
        <v>9.6464999999999996</v>
      </c>
      <c r="AJ11" s="77">
        <f t="shared" si="8"/>
        <v>35.353499999999997</v>
      </c>
      <c r="AK11" s="77">
        <f t="shared" si="9"/>
        <v>5</v>
      </c>
      <c r="AL11" s="77">
        <f t="shared" si="10"/>
        <v>30.353499999999997</v>
      </c>
      <c r="AM11" s="77">
        <f t="shared" si="11"/>
        <v>67.452222222222218</v>
      </c>
      <c r="AN11" t="str">
        <f t="shared" si="14"/>
        <v/>
      </c>
      <c r="AO11" t="s">
        <v>1146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t="s">
        <v>1159</v>
      </c>
      <c r="C12" t="s">
        <v>1159</v>
      </c>
      <c r="D12" t="s">
        <v>1138</v>
      </c>
      <c r="E12" t="s">
        <v>802</v>
      </c>
      <c r="F12" t="s">
        <v>1140</v>
      </c>
      <c r="G12">
        <v>36.6</v>
      </c>
      <c r="H12">
        <v>60</v>
      </c>
      <c r="I12">
        <v>739</v>
      </c>
      <c r="J12">
        <v>40.275500000000001</v>
      </c>
      <c r="K12" s="64">
        <v>45414</v>
      </c>
      <c r="L12">
        <v>94.149839999999998</v>
      </c>
      <c r="M12">
        <v>53.874339999999997</v>
      </c>
      <c r="N12">
        <v>63.1873</v>
      </c>
      <c r="O12">
        <v>22.911799999999999</v>
      </c>
      <c r="P12" t="s">
        <v>1160</v>
      </c>
      <c r="Q12" t="s">
        <v>1150</v>
      </c>
      <c r="R12" t="s">
        <v>1161</v>
      </c>
      <c r="S12">
        <v>88.884000000000199</v>
      </c>
      <c r="T12">
        <v>48.608500000000198</v>
      </c>
      <c r="U12" t="s">
        <v>1162</v>
      </c>
      <c r="V12" t="s">
        <v>1163</v>
      </c>
      <c r="W12">
        <v>560.25</v>
      </c>
      <c r="X12">
        <v>519.97450000000003</v>
      </c>
      <c r="Y12">
        <v>178</v>
      </c>
      <c r="AA12">
        <f>VLOOKUP(A12,Cover!A:R,18,0)</f>
        <v>6.85</v>
      </c>
      <c r="AB12" s="77">
        <f t="shared" si="0"/>
        <v>47.024339999999995</v>
      </c>
      <c r="AC12" s="77">
        <f t="shared" si="1"/>
        <v>16.061799999999998</v>
      </c>
      <c r="AD12" s="77">
        <f t="shared" si="2"/>
        <v>49.946277125909077</v>
      </c>
      <c r="AE12" s="77">
        <f t="shared" si="3"/>
        <v>25.419348508323662</v>
      </c>
      <c r="AF12" s="77">
        <f t="shared" si="4"/>
        <v>41.758500000000197</v>
      </c>
      <c r="AG12" s="77">
        <f t="shared" si="5"/>
        <v>46.980896449304829</v>
      </c>
      <c r="AH12" s="368">
        <f>AVERAGE(W12:W13)</f>
        <v>560.25</v>
      </c>
      <c r="AI12" s="368">
        <f>SUM(J12:J13)</f>
        <v>83.43950000000001</v>
      </c>
      <c r="AJ12" s="368">
        <f t="shared" si="8"/>
        <v>476.81049999999999</v>
      </c>
      <c r="AK12" s="368">
        <f>SUM(AA12:AA13)</f>
        <v>12.399999999999999</v>
      </c>
      <c r="AL12" s="368">
        <f>SUM(AJ12-AK12)</f>
        <v>464.41050000000001</v>
      </c>
      <c r="AM12" s="369">
        <f t="shared" si="11"/>
        <v>82.893440428380188</v>
      </c>
      <c r="AN12" t="str">
        <f t="shared" si="14"/>
        <v/>
      </c>
      <c r="AO12" t="s">
        <v>1146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t="s">
        <v>1159</v>
      </c>
      <c r="C13" t="s">
        <v>1159</v>
      </c>
      <c r="D13" t="s">
        <v>1138</v>
      </c>
      <c r="E13" t="s">
        <v>802</v>
      </c>
      <c r="F13" t="s">
        <v>1140</v>
      </c>
      <c r="G13">
        <v>36.6</v>
      </c>
      <c r="H13">
        <v>60</v>
      </c>
      <c r="I13">
        <v>792</v>
      </c>
      <c r="J13">
        <v>43.164000000000001</v>
      </c>
      <c r="K13" s="64">
        <v>45414</v>
      </c>
      <c r="L13">
        <v>94.149839999999998</v>
      </c>
      <c r="M13">
        <v>50.985840000000003</v>
      </c>
      <c r="N13">
        <v>63.1873</v>
      </c>
      <c r="O13">
        <v>20.023299999999999</v>
      </c>
      <c r="P13" t="s">
        <v>1160</v>
      </c>
      <c r="Q13" t="s">
        <v>1150</v>
      </c>
      <c r="R13" t="s">
        <v>1161</v>
      </c>
      <c r="S13">
        <v>88.884000000000199</v>
      </c>
      <c r="T13">
        <v>45.720000000000198</v>
      </c>
      <c r="U13" t="s">
        <v>1162</v>
      </c>
      <c r="V13" t="s">
        <v>1163</v>
      </c>
      <c r="W13">
        <v>560.25</v>
      </c>
      <c r="X13">
        <v>517.08600000000001</v>
      </c>
      <c r="Y13">
        <v>178</v>
      </c>
      <c r="AA13">
        <f>VLOOKUP(A13,Cover!A:R,18,0)</f>
        <v>5.55</v>
      </c>
      <c r="AB13" s="77">
        <f t="shared" ref="AB13" si="15">M13-AA13</f>
        <v>45.435840000000006</v>
      </c>
      <c r="AC13" s="77">
        <f t="shared" ref="AC13" si="16">O13-AA13</f>
        <v>14.473299999999998</v>
      </c>
      <c r="AD13" s="77">
        <f t="shared" ref="AD13" si="17">AB13/L13%</f>
        <v>48.259072984085805</v>
      </c>
      <c r="AE13" s="77">
        <f t="shared" ref="AE13" si="18">AC13/N13%</f>
        <v>22.905393963660416</v>
      </c>
      <c r="AF13" s="77">
        <f t="shared" ref="AF13" si="19">T13-AA13</f>
        <v>40.170000000000201</v>
      </c>
      <c r="AG13" s="77">
        <f t="shared" ref="AG13" si="20">AF13/S13%</f>
        <v>45.193735655461175</v>
      </c>
      <c r="AH13" s="368"/>
      <c r="AI13" s="368"/>
      <c r="AJ13" s="368"/>
      <c r="AK13" s="368"/>
      <c r="AL13" s="368"/>
      <c r="AM13" s="369"/>
      <c r="AN13" t="str">
        <f t="shared" si="14"/>
        <v/>
      </c>
      <c r="AO13" t="s">
        <v>1146</v>
      </c>
      <c r="AP13" t="str">
        <f t="shared" ref="AP13" si="21">TRIM(BA13)</f>
        <v>DDm125-33</v>
      </c>
      <c r="BA13" t="str">
        <f t="shared" si="13"/>
        <v>DDm125-33</v>
      </c>
    </row>
    <row r="14" spans="1:53">
      <c r="A14" s="35" t="s">
        <v>30</v>
      </c>
      <c r="B14" t="s">
        <v>1164</v>
      </c>
      <c r="C14" t="s">
        <v>1165</v>
      </c>
      <c r="D14" t="s">
        <v>1138</v>
      </c>
      <c r="E14" t="s">
        <v>1166</v>
      </c>
      <c r="F14" t="s">
        <v>1167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1141</v>
      </c>
      <c r="Q14" t="s">
        <v>1168</v>
      </c>
      <c r="R14" t="s">
        <v>1169</v>
      </c>
      <c r="S14">
        <v>2.5920000000000001</v>
      </c>
      <c r="T14">
        <v>1.8889499999999999</v>
      </c>
      <c r="U14" t="s">
        <v>1144</v>
      </c>
      <c r="V14" t="s">
        <v>1170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4"/>
        <v/>
      </c>
      <c r="AO14" t="s">
        <v>1146</v>
      </c>
      <c r="AP14" t="str">
        <f t="shared" si="12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SBS C11F</v>
      </c>
    </row>
    <row r="15" spans="1:53">
      <c r="A15" s="35" t="s">
        <v>31</v>
      </c>
      <c r="B15" t="s">
        <v>1171</v>
      </c>
      <c r="C15" t="s">
        <v>1172</v>
      </c>
      <c r="D15" t="s">
        <v>1138</v>
      </c>
      <c r="E15" t="s">
        <v>951</v>
      </c>
      <c r="F15" t="s">
        <v>1140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1173</v>
      </c>
      <c r="Q15" t="s">
        <v>1168</v>
      </c>
      <c r="R15" t="s">
        <v>1174</v>
      </c>
      <c r="S15">
        <v>12.635999999999999</v>
      </c>
      <c r="T15">
        <v>4.4064999999999799</v>
      </c>
      <c r="U15" t="s">
        <v>1144</v>
      </c>
      <c r="V15" t="s">
        <v>1175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4"/>
        <v/>
      </c>
      <c r="AO15" t="s">
        <v>1146</v>
      </c>
      <c r="AP15" t="str">
        <f t="shared" si="12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12V155F</v>
      </c>
    </row>
    <row r="16" spans="1:53">
      <c r="A16" s="35" t="s">
        <v>32</v>
      </c>
      <c r="B16" t="s">
        <v>1176</v>
      </c>
      <c r="C16" t="s">
        <v>1177</v>
      </c>
      <c r="D16" t="s">
        <v>1138</v>
      </c>
      <c r="E16" t="s">
        <v>1012</v>
      </c>
      <c r="F16" t="s">
        <v>1149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1144</v>
      </c>
      <c r="Q16" t="s">
        <v>1150</v>
      </c>
      <c r="R16" t="s">
        <v>1178</v>
      </c>
      <c r="S16">
        <v>10.1088</v>
      </c>
      <c r="T16">
        <v>4.6587999999999798</v>
      </c>
      <c r="U16" t="s">
        <v>1160</v>
      </c>
      <c r="V16" t="s">
        <v>1179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4"/>
        <v/>
      </c>
      <c r="AO16" t="s">
        <v>1146</v>
      </c>
      <c r="AP16" t="str">
        <f t="shared" si="12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2DDm85-15</v>
      </c>
    </row>
    <row r="17" spans="1:53">
      <c r="A17" s="35" t="s">
        <v>33</v>
      </c>
      <c r="B17" t="s">
        <v>1147</v>
      </c>
      <c r="C17" t="s">
        <v>1180</v>
      </c>
      <c r="D17" t="s">
        <v>1181</v>
      </c>
      <c r="E17" t="s">
        <v>931</v>
      </c>
      <c r="F17" t="s">
        <v>1182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1155</v>
      </c>
      <c r="Q17" t="s">
        <v>1168</v>
      </c>
      <c r="R17" t="s">
        <v>1169</v>
      </c>
      <c r="S17">
        <v>3.456</v>
      </c>
      <c r="T17">
        <v>2.911</v>
      </c>
      <c r="U17" t="s">
        <v>1141</v>
      </c>
      <c r="V17" t="s">
        <v>1183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4"/>
        <v/>
      </c>
      <c r="AO17" t="s">
        <v>1146</v>
      </c>
      <c r="AP17" t="str">
        <f t="shared" si="12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SBS C11F</v>
      </c>
    </row>
    <row r="18" spans="1:53">
      <c r="A18" s="35" t="s">
        <v>34</v>
      </c>
      <c r="B18" t="s">
        <v>1184</v>
      </c>
      <c r="C18" t="s">
        <v>1185</v>
      </c>
      <c r="D18" t="s">
        <v>1138</v>
      </c>
      <c r="E18" t="s">
        <v>963</v>
      </c>
      <c r="F18" t="s">
        <v>1140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1186</v>
      </c>
      <c r="Q18" t="s">
        <v>1150</v>
      </c>
      <c r="R18" t="s">
        <v>1161</v>
      </c>
      <c r="S18">
        <v>106.66079999999999</v>
      </c>
      <c r="T18">
        <v>59.845300000000101</v>
      </c>
      <c r="U18" t="s">
        <v>1141</v>
      </c>
      <c r="V18" t="s">
        <v>1187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4"/>
        <v/>
      </c>
      <c r="AO18" t="s">
        <v>1146</v>
      </c>
      <c r="AP18" t="str">
        <f t="shared" si="12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DDm125-33</v>
      </c>
    </row>
    <row r="19" spans="1:53">
      <c r="A19" s="35" t="s">
        <v>35</v>
      </c>
      <c r="B19" t="s">
        <v>1188</v>
      </c>
      <c r="C19" t="s">
        <v>1189</v>
      </c>
      <c r="D19" t="s">
        <v>1138</v>
      </c>
      <c r="E19" t="s">
        <v>843</v>
      </c>
      <c r="F19" t="s">
        <v>1140</v>
      </c>
      <c r="G19">
        <v>36.6</v>
      </c>
      <c r="H19">
        <v>9</v>
      </c>
      <c r="I19">
        <v>106</v>
      </c>
      <c r="J19">
        <v>5.7770000000000001</v>
      </c>
      <c r="K19" s="64">
        <v>45414</v>
      </c>
      <c r="L19">
        <v>12.766080000000001</v>
      </c>
      <c r="M19">
        <v>6.9890800000000004</v>
      </c>
      <c r="N19">
        <v>6.2293500000000002</v>
      </c>
      <c r="O19">
        <v>0.45234999999999997</v>
      </c>
      <c r="P19" t="s">
        <v>1141</v>
      </c>
      <c r="Q19" t="s">
        <v>1150</v>
      </c>
      <c r="R19" t="s">
        <v>1178</v>
      </c>
      <c r="S19">
        <v>15.1632</v>
      </c>
      <c r="T19">
        <v>9.3861999999999899</v>
      </c>
      <c r="U19" t="s">
        <v>1190</v>
      </c>
      <c r="V19" t="s">
        <v>1191</v>
      </c>
      <c r="W19">
        <v>27</v>
      </c>
      <c r="X19">
        <v>21.222999999999999</v>
      </c>
      <c r="Y19">
        <v>19</v>
      </c>
      <c r="AA19">
        <f>VLOOKUP(A19,Cover!A:R,18,0)</f>
        <v>2</v>
      </c>
      <c r="AB19" s="77">
        <f t="shared" si="0"/>
        <v>4.9890800000000004</v>
      </c>
      <c r="AC19" s="77">
        <f t="shared" si="1"/>
        <v>-1.54765</v>
      </c>
      <c r="AD19" s="77">
        <f t="shared" si="2"/>
        <v>39.080751491452347</v>
      </c>
      <c r="AE19" s="77">
        <f t="shared" si="3"/>
        <v>-24.844486182346472</v>
      </c>
      <c r="AF19" s="77">
        <f t="shared" si="4"/>
        <v>7.3861999999999899</v>
      </c>
      <c r="AG19" s="77">
        <f t="shared" si="5"/>
        <v>48.711353803946331</v>
      </c>
      <c r="AH19" s="77">
        <f t="shared" si="6"/>
        <v>27</v>
      </c>
      <c r="AI19" s="77">
        <f t="shared" si="7"/>
        <v>5.7770000000000001</v>
      </c>
      <c r="AJ19" s="77">
        <f t="shared" si="8"/>
        <v>21.222999999999999</v>
      </c>
      <c r="AK19" s="77">
        <f t="shared" si="9"/>
        <v>2</v>
      </c>
      <c r="AL19" s="77">
        <f t="shared" si="10"/>
        <v>19.222999999999999</v>
      </c>
      <c r="AM19" s="77">
        <f t="shared" si="11"/>
        <v>71.196296296296282</v>
      </c>
      <c r="AN19" t="str">
        <f t="shared" si="14"/>
        <v/>
      </c>
      <c r="AO19" t="s">
        <v>1146</v>
      </c>
      <c r="AP19" t="str">
        <f t="shared" si="12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2DDm85-15</v>
      </c>
    </row>
    <row r="20" spans="1:53">
      <c r="A20" s="35" t="s">
        <v>36</v>
      </c>
      <c r="B20" t="s">
        <v>1184</v>
      </c>
      <c r="C20" t="s">
        <v>1192</v>
      </c>
      <c r="D20" t="s">
        <v>1138</v>
      </c>
      <c r="E20" t="s">
        <v>972</v>
      </c>
      <c r="F20" t="s">
        <v>1193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1141</v>
      </c>
      <c r="Q20" t="s">
        <v>1142</v>
      </c>
      <c r="R20" t="s">
        <v>1143</v>
      </c>
      <c r="S20">
        <v>13.154400000000001</v>
      </c>
      <c r="T20">
        <v>7.1049000000000104</v>
      </c>
      <c r="U20" t="s">
        <v>1144</v>
      </c>
      <c r="V20" t="s">
        <v>1152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4"/>
        <v/>
      </c>
      <c r="AO20" t="s">
        <v>1146</v>
      </c>
      <c r="AP20" t="str">
        <f t="shared" si="12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EN480-2</v>
      </c>
    </row>
    <row r="21" spans="1:53">
      <c r="A21" s="35" t="s">
        <v>37</v>
      </c>
      <c r="B21" t="s">
        <v>1184</v>
      </c>
      <c r="C21" t="s">
        <v>1192</v>
      </c>
      <c r="D21" t="s">
        <v>1138</v>
      </c>
      <c r="E21" t="s">
        <v>973</v>
      </c>
      <c r="F21" t="s">
        <v>1149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1141</v>
      </c>
      <c r="Q21" t="s">
        <v>1194</v>
      </c>
      <c r="R21" t="s">
        <v>1195</v>
      </c>
      <c r="S21">
        <v>27.799199999999999</v>
      </c>
      <c r="T21">
        <v>0.54919999999997104</v>
      </c>
      <c r="U21" t="s">
        <v>1141</v>
      </c>
      <c r="V21" t="s">
        <v>1196</v>
      </c>
      <c r="W21">
        <v>85.814999999999998</v>
      </c>
      <c r="X21">
        <v>58.564999999999998</v>
      </c>
      <c r="Y21">
        <v>31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N21" t="str">
        <f t="shared" si="14"/>
        <v/>
      </c>
      <c r="AO21" t="s">
        <v>1146</v>
      </c>
      <c r="AP21" t="str">
        <f t="shared" si="12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3"/>
        <v>2SLA1000</v>
      </c>
    </row>
    <row r="22" spans="1:53">
      <c r="A22" s="35" t="s">
        <v>38</v>
      </c>
      <c r="B22" t="s">
        <v>1197</v>
      </c>
      <c r="C22" t="s">
        <v>1198</v>
      </c>
      <c r="D22" t="s">
        <v>1199</v>
      </c>
      <c r="E22" t="s">
        <v>917</v>
      </c>
      <c r="F22" t="s">
        <v>1140</v>
      </c>
      <c r="G22">
        <v>36.6</v>
      </c>
      <c r="H22">
        <v>74</v>
      </c>
      <c r="I22">
        <v>862</v>
      </c>
      <c r="J22">
        <v>46.978999999999999</v>
      </c>
      <c r="K22" s="64">
        <v>45414</v>
      </c>
      <c r="L22">
        <v>116.49048000000001</v>
      </c>
      <c r="M22">
        <v>69.511480000000006</v>
      </c>
      <c r="N22">
        <v>80.213099999999997</v>
      </c>
      <c r="O22">
        <v>33.234099999999998</v>
      </c>
      <c r="P22" t="s">
        <v>1186</v>
      </c>
      <c r="Q22" t="s">
        <v>1150</v>
      </c>
      <c r="R22" t="s">
        <v>1161</v>
      </c>
      <c r="S22">
        <v>106.66079999999999</v>
      </c>
      <c r="T22">
        <v>59.681800000000102</v>
      </c>
      <c r="U22" t="s">
        <v>1186</v>
      </c>
      <c r="V22" t="s">
        <v>1200</v>
      </c>
      <c r="W22">
        <v>161.25</v>
      </c>
      <c r="X22">
        <v>114.271</v>
      </c>
      <c r="Y22">
        <v>38</v>
      </c>
      <c r="Z22" t="s">
        <v>1095</v>
      </c>
      <c r="AA22">
        <f>VLOOKUP(A22,Cover!A:R,18,0)</f>
        <v>12.55</v>
      </c>
      <c r="AB22" s="77">
        <f t="shared" si="0"/>
        <v>56.961480000000009</v>
      </c>
      <c r="AC22" s="77">
        <f t="shared" si="1"/>
        <v>20.684099999999997</v>
      </c>
      <c r="AD22" s="77">
        <f t="shared" si="2"/>
        <v>48.897970031542499</v>
      </c>
      <c r="AE22" s="77">
        <f t="shared" si="3"/>
        <v>25.786436380092528</v>
      </c>
      <c r="AF22" s="77">
        <f t="shared" si="4"/>
        <v>47.131800000000098</v>
      </c>
      <c r="AG22" s="77">
        <f t="shared" si="5"/>
        <v>44.188492867107783</v>
      </c>
      <c r="AH22" s="368">
        <f>AVERAGE(W22:W23)</f>
        <v>161.25</v>
      </c>
      <c r="AI22" s="368">
        <f>SUM(J22:J23)</f>
        <v>110.85300000000001</v>
      </c>
      <c r="AJ22" s="368">
        <f>SUM(AH22-AI22)</f>
        <v>50.396999999999991</v>
      </c>
      <c r="AK22" s="368">
        <f>SUM(AA22:AA23)</f>
        <v>24.200000000000003</v>
      </c>
      <c r="AL22" s="368">
        <f>SUM(AJ22-AK22)</f>
        <v>26.196999999999989</v>
      </c>
      <c r="AM22" s="369">
        <f t="shared" si="11"/>
        <v>16.246201550387589</v>
      </c>
      <c r="AN22" t="str">
        <f t="shared" si="14"/>
        <v>Capped</v>
      </c>
      <c r="AO22" t="s">
        <v>1201</v>
      </c>
      <c r="AP22" t="str">
        <f t="shared" si="12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3"/>
        <v>DDm125-33</v>
      </c>
    </row>
    <row r="23" spans="1:53">
      <c r="A23" s="35" t="s">
        <v>39</v>
      </c>
      <c r="B23" t="s">
        <v>1197</v>
      </c>
      <c r="C23" t="s">
        <v>1198</v>
      </c>
      <c r="D23" t="s">
        <v>1199</v>
      </c>
      <c r="E23" t="s">
        <v>917</v>
      </c>
      <c r="F23" t="s">
        <v>1140</v>
      </c>
      <c r="G23">
        <v>36.6</v>
      </c>
      <c r="H23">
        <v>74</v>
      </c>
      <c r="I23">
        <v>1172</v>
      </c>
      <c r="J23">
        <v>63.874000000000002</v>
      </c>
      <c r="K23" s="64">
        <v>45414</v>
      </c>
      <c r="L23">
        <v>116.49048000000001</v>
      </c>
      <c r="M23">
        <v>52.616480000000003</v>
      </c>
      <c r="N23">
        <v>80.213099999999997</v>
      </c>
      <c r="O23">
        <v>16.339099999999998</v>
      </c>
      <c r="P23" t="s">
        <v>1186</v>
      </c>
      <c r="Q23" t="s">
        <v>1150</v>
      </c>
      <c r="R23" t="s">
        <v>1161</v>
      </c>
      <c r="S23">
        <v>106.66079999999999</v>
      </c>
      <c r="T23">
        <v>42.786800000000099</v>
      </c>
      <c r="U23" t="s">
        <v>1186</v>
      </c>
      <c r="V23" t="s">
        <v>1200</v>
      </c>
      <c r="W23">
        <v>161.25</v>
      </c>
      <c r="X23">
        <v>97.376000000000005</v>
      </c>
      <c r="Y23">
        <v>38</v>
      </c>
      <c r="Z23" t="s">
        <v>1095</v>
      </c>
      <c r="AA23">
        <f>VLOOKUP(A23,Cover!A:R,18,0)</f>
        <v>11.65</v>
      </c>
      <c r="AB23" s="77">
        <f t="shared" ref="AB23" si="22">M23-AA23</f>
        <v>40.966480000000004</v>
      </c>
      <c r="AC23" s="77">
        <f t="shared" ref="AC23" si="23">O23-AA23</f>
        <v>4.689099999999998</v>
      </c>
      <c r="AD23" s="77">
        <f t="shared" ref="AD23" si="24">AB23/L23%</f>
        <v>35.167234266697164</v>
      </c>
      <c r="AE23" s="77">
        <f t="shared" ref="AE23" si="25">AC23/N23%</f>
        <v>5.8458032416151458</v>
      </c>
      <c r="AF23" s="77">
        <f t="shared" ref="AF23" si="26">T23-AA23</f>
        <v>31.1368000000001</v>
      </c>
      <c r="AG23" s="77">
        <f t="shared" ref="AG23" si="27">AF23/S23%</f>
        <v>29.19235557955697</v>
      </c>
      <c r="AH23" s="368"/>
      <c r="AI23" s="368"/>
      <c r="AJ23" s="368"/>
      <c r="AK23" s="368"/>
      <c r="AL23" s="368"/>
      <c r="AM23" s="369"/>
      <c r="AN23" t="str">
        <f t="shared" si="14"/>
        <v>Capped</v>
      </c>
      <c r="AO23" t="s">
        <v>1201</v>
      </c>
      <c r="AP23" t="str">
        <f t="shared" si="12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>DDm125-33</v>
      </c>
    </row>
    <row r="24" spans="1:53">
      <c r="A24" s="35" t="s">
        <v>40</v>
      </c>
      <c r="B24" t="s">
        <v>1202</v>
      </c>
      <c r="C24" t="s">
        <v>1203</v>
      </c>
      <c r="D24" t="s">
        <v>1181</v>
      </c>
      <c r="E24" t="s">
        <v>1204</v>
      </c>
      <c r="F24" t="s">
        <v>1205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1144</v>
      </c>
      <c r="Q24" t="s">
        <v>1150</v>
      </c>
      <c r="R24" t="s">
        <v>1206</v>
      </c>
      <c r="S24">
        <v>5.2271999999999998</v>
      </c>
      <c r="T24">
        <v>1.216</v>
      </c>
      <c r="U24" t="s">
        <v>1144</v>
      </c>
      <c r="V24" t="s">
        <v>1207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4"/>
        <v/>
      </c>
      <c r="AO24" t="s">
        <v>1146</v>
      </c>
      <c r="AP24" t="str">
        <f t="shared" si="12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2DDm50-13</v>
      </c>
    </row>
    <row r="25" spans="1:53">
      <c r="A25" s="35" t="s">
        <v>41</v>
      </c>
      <c r="B25" t="s">
        <v>1208</v>
      </c>
      <c r="C25" t="s">
        <v>1209</v>
      </c>
      <c r="D25" t="s">
        <v>1181</v>
      </c>
      <c r="E25" t="s">
        <v>926</v>
      </c>
      <c r="F25" t="s">
        <v>1140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1144</v>
      </c>
      <c r="Q25" t="s">
        <v>1150</v>
      </c>
      <c r="R25" t="s">
        <v>1210</v>
      </c>
      <c r="S25">
        <v>28.123200000000001</v>
      </c>
      <c r="T25">
        <v>13.626200000000001</v>
      </c>
      <c r="U25" t="s">
        <v>1160</v>
      </c>
      <c r="V25" t="s">
        <v>1211</v>
      </c>
      <c r="W25">
        <v>54</v>
      </c>
      <c r="X25">
        <v>39.503</v>
      </c>
      <c r="Y25">
        <v>12</v>
      </c>
      <c r="AA25">
        <f>VLOOKUP(A25,Cover!A:R,18,0)</f>
        <v>18.399999999999999</v>
      </c>
      <c r="AB25" s="77">
        <f t="shared" si="0"/>
        <v>6.9969999999999999</v>
      </c>
      <c r="AC25" s="77">
        <f t="shared" si="1"/>
        <v>-0.46950000000000003</v>
      </c>
      <c r="AD25" s="77">
        <f t="shared" si="2"/>
        <v>17.538978292475061</v>
      </c>
      <c r="AE25" s="77">
        <f t="shared" si="3"/>
        <v>-1.4478451931231207</v>
      </c>
      <c r="AF25" s="77">
        <f t="shared" si="4"/>
        <v>-4.7737999999999978</v>
      </c>
      <c r="AG25" s="77">
        <f t="shared" si="5"/>
        <v>-16.974597485350166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18.399999999999999</v>
      </c>
      <c r="AL25" s="77">
        <f t="shared" si="10"/>
        <v>21.103000000000002</v>
      </c>
      <c r="AM25" s="77">
        <f t="shared" si="11"/>
        <v>39.079629629629629</v>
      </c>
      <c r="AN25" t="str">
        <f t="shared" si="14"/>
        <v/>
      </c>
      <c r="AO25" t="s">
        <v>1146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t="s">
        <v>1208</v>
      </c>
      <c r="C26" t="s">
        <v>1209</v>
      </c>
      <c r="D26" t="s">
        <v>1212</v>
      </c>
      <c r="E26" t="s">
        <v>800</v>
      </c>
      <c r="F26" t="s">
        <v>1140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1141</v>
      </c>
      <c r="Q26" t="s">
        <v>1150</v>
      </c>
      <c r="R26" t="s">
        <v>1210</v>
      </c>
      <c r="S26">
        <v>42.184800000000003</v>
      </c>
      <c r="T26">
        <v>16.7333</v>
      </c>
      <c r="U26" t="s">
        <v>1155</v>
      </c>
      <c r="V26" t="s">
        <v>1213</v>
      </c>
      <c r="W26">
        <v>69.75</v>
      </c>
      <c r="X26">
        <v>44.298499999999997</v>
      </c>
      <c r="Y26">
        <v>19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N26" t="str">
        <f t="shared" si="14"/>
        <v/>
      </c>
      <c r="AO26" t="s">
        <v>1146</v>
      </c>
      <c r="AP26" t="str">
        <f t="shared" si="12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DDm100-33</v>
      </c>
    </row>
    <row r="27" spans="1:53">
      <c r="A27" s="35" t="s">
        <v>43</v>
      </c>
      <c r="B27" t="s">
        <v>1188</v>
      </c>
      <c r="C27" t="s">
        <v>1214</v>
      </c>
      <c r="D27" t="s">
        <v>1199</v>
      </c>
      <c r="E27" t="s">
        <v>1215</v>
      </c>
      <c r="F27" t="s">
        <v>1140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1144</v>
      </c>
      <c r="Q27" t="s">
        <v>1150</v>
      </c>
      <c r="R27" t="s">
        <v>1161</v>
      </c>
      <c r="S27">
        <v>35.553600000000003</v>
      </c>
      <c r="T27">
        <v>13.4811</v>
      </c>
      <c r="U27" t="s">
        <v>1144</v>
      </c>
      <c r="V27" t="s">
        <v>1216</v>
      </c>
      <c r="W27">
        <v>9.4499999999999993</v>
      </c>
      <c r="X27">
        <v>-12.6225</v>
      </c>
      <c r="Y27">
        <v>0</v>
      </c>
      <c r="Z27" t="s">
        <v>1217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4"/>
        <v>Capped</v>
      </c>
      <c r="AO27" t="s">
        <v>1146</v>
      </c>
      <c r="AP27" t="str">
        <f t="shared" si="12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DDm125-33</v>
      </c>
    </row>
    <row r="28" spans="1:53">
      <c r="A28" s="35" t="s">
        <v>44</v>
      </c>
      <c r="B28" t="s">
        <v>1188</v>
      </c>
      <c r="C28" t="s">
        <v>1214</v>
      </c>
      <c r="D28" t="s">
        <v>1199</v>
      </c>
      <c r="E28" t="s">
        <v>275</v>
      </c>
      <c r="F28" t="s">
        <v>1140</v>
      </c>
      <c r="G28">
        <v>36.6</v>
      </c>
      <c r="H28">
        <v>59</v>
      </c>
      <c r="I28">
        <v>599</v>
      </c>
      <c r="J28">
        <v>32.645499999999998</v>
      </c>
      <c r="K28" s="64">
        <v>45414</v>
      </c>
      <c r="L28">
        <v>92.554079999999999</v>
      </c>
      <c r="M28">
        <v>59.908580000000001</v>
      </c>
      <c r="N28">
        <v>84.627600000000001</v>
      </c>
      <c r="O28">
        <v>51.982100000000003</v>
      </c>
      <c r="P28" t="s">
        <v>1141</v>
      </c>
      <c r="Q28" t="s">
        <v>1150</v>
      </c>
      <c r="R28" t="s">
        <v>1218</v>
      </c>
      <c r="S28">
        <v>48.068640000000002</v>
      </c>
      <c r="T28">
        <v>15.42314</v>
      </c>
      <c r="U28" t="s">
        <v>1173</v>
      </c>
      <c r="V28" t="s">
        <v>1219</v>
      </c>
      <c r="W28">
        <v>82.5</v>
      </c>
      <c r="X28">
        <v>49.854500000000002</v>
      </c>
      <c r="Y28">
        <v>5</v>
      </c>
      <c r="Z28" t="s">
        <v>8</v>
      </c>
      <c r="AA28">
        <f>VLOOKUP(A28,Cover!A:R,18,0)</f>
        <v>1</v>
      </c>
      <c r="AB28" s="77">
        <f t="shared" si="0"/>
        <v>58.908580000000001</v>
      </c>
      <c r="AC28" s="77">
        <f t="shared" si="1"/>
        <v>50.982100000000003</v>
      </c>
      <c r="AD28" s="77">
        <f t="shared" si="2"/>
        <v>63.647739786295759</v>
      </c>
      <c r="AE28" s="77">
        <f t="shared" si="3"/>
        <v>60.242875846650506</v>
      </c>
      <c r="AF28" s="77">
        <f t="shared" si="4"/>
        <v>14.42314</v>
      </c>
      <c r="AG28" s="77">
        <f t="shared" si="5"/>
        <v>30.005300753256176</v>
      </c>
      <c r="AH28" s="77">
        <f t="shared" si="6"/>
        <v>82.5</v>
      </c>
      <c r="AI28" s="77">
        <f t="shared" si="7"/>
        <v>32.645499999999998</v>
      </c>
      <c r="AJ28" s="77">
        <f t="shared" si="8"/>
        <v>49.854500000000002</v>
      </c>
      <c r="AK28" s="77">
        <f t="shared" si="9"/>
        <v>1</v>
      </c>
      <c r="AL28" s="77">
        <f t="shared" si="10"/>
        <v>48.854500000000002</v>
      </c>
      <c r="AM28" s="77">
        <f t="shared" si="11"/>
        <v>59.217575757575766</v>
      </c>
      <c r="AN28" t="str">
        <f t="shared" si="14"/>
        <v>Capped</v>
      </c>
      <c r="AO28" s="52" t="s">
        <v>1201</v>
      </c>
      <c r="AP28" t="str">
        <f t="shared" si="12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2CP2000</v>
      </c>
    </row>
    <row r="29" spans="1:53">
      <c r="A29" s="35" t="s">
        <v>45</v>
      </c>
      <c r="B29" t="s">
        <v>1188</v>
      </c>
      <c r="C29" t="s">
        <v>1214</v>
      </c>
      <c r="D29" t="s">
        <v>1199</v>
      </c>
      <c r="E29" t="s">
        <v>275</v>
      </c>
      <c r="F29" t="s">
        <v>1140</v>
      </c>
      <c r="G29">
        <v>36.6</v>
      </c>
      <c r="H29">
        <v>59</v>
      </c>
      <c r="I29">
        <v>677</v>
      </c>
      <c r="J29">
        <v>36.896500000000003</v>
      </c>
      <c r="K29" s="64">
        <v>45414</v>
      </c>
      <c r="L29">
        <v>92.554079999999999</v>
      </c>
      <c r="M29">
        <v>55.657580000000003</v>
      </c>
      <c r="N29">
        <v>82.992599999999996</v>
      </c>
      <c r="O29">
        <v>46.0961</v>
      </c>
      <c r="P29" t="s">
        <v>1141</v>
      </c>
      <c r="Q29" t="s">
        <v>1150</v>
      </c>
      <c r="R29" t="s">
        <v>1161</v>
      </c>
      <c r="S29">
        <v>53.330399999999997</v>
      </c>
      <c r="T29">
        <v>16.433900000000001</v>
      </c>
      <c r="U29" t="s">
        <v>1173</v>
      </c>
      <c r="V29" t="s">
        <v>1219</v>
      </c>
      <c r="W29">
        <v>82.5</v>
      </c>
      <c r="X29">
        <v>45.603499999999997</v>
      </c>
      <c r="Y29">
        <v>5</v>
      </c>
      <c r="Z29" t="s">
        <v>8</v>
      </c>
      <c r="AA29">
        <f>VLOOKUP(A29,Cover!A:R,18,0)</f>
        <v>1</v>
      </c>
      <c r="AB29" s="77">
        <f t="shared" si="0"/>
        <v>54.657580000000003</v>
      </c>
      <c r="AC29" s="77">
        <f t="shared" si="1"/>
        <v>45.0961</v>
      </c>
      <c r="AD29" s="77">
        <f t="shared" si="2"/>
        <v>59.054749396244887</v>
      </c>
      <c r="AE29" s="77">
        <f t="shared" si="3"/>
        <v>54.337495150170021</v>
      </c>
      <c r="AF29" s="77">
        <f t="shared" si="4"/>
        <v>15.433900000000001</v>
      </c>
      <c r="AG29" s="77">
        <f t="shared" si="5"/>
        <v>28.94015420848147</v>
      </c>
      <c r="AH29" s="77">
        <f t="shared" si="6"/>
        <v>82.5</v>
      </c>
      <c r="AI29" s="77">
        <f t="shared" si="7"/>
        <v>36.896500000000003</v>
      </c>
      <c r="AJ29" s="77">
        <f t="shared" si="8"/>
        <v>45.603499999999997</v>
      </c>
      <c r="AK29" s="77">
        <f t="shared" si="9"/>
        <v>1</v>
      </c>
      <c r="AL29" s="77">
        <f t="shared" si="10"/>
        <v>44.603499999999997</v>
      </c>
      <c r="AM29" s="77">
        <f t="shared" si="11"/>
        <v>54.064848484848483</v>
      </c>
      <c r="AN29" t="str">
        <f t="shared" si="14"/>
        <v>Capped</v>
      </c>
      <c r="AO29" s="52" t="s">
        <v>1201</v>
      </c>
      <c r="AP29" t="str">
        <f t="shared" si="12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3"/>
        <v>DDm125-33</v>
      </c>
    </row>
    <row r="30" spans="1:53">
      <c r="A30" s="35" t="s">
        <v>46</v>
      </c>
      <c r="B30" t="s">
        <v>1188</v>
      </c>
      <c r="C30" t="s">
        <v>1214</v>
      </c>
      <c r="D30" t="s">
        <v>1181</v>
      </c>
      <c r="E30" t="s">
        <v>848</v>
      </c>
      <c r="F30" t="s">
        <v>1140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1144</v>
      </c>
      <c r="Q30" t="s">
        <v>1150</v>
      </c>
      <c r="R30" t="s">
        <v>1161</v>
      </c>
      <c r="S30">
        <v>35.553600000000003</v>
      </c>
      <c r="T30">
        <v>30.049099999999999</v>
      </c>
      <c r="U30" t="s">
        <v>1144</v>
      </c>
      <c r="V30" t="s">
        <v>1158</v>
      </c>
      <c r="W30">
        <v>45</v>
      </c>
      <c r="X30">
        <v>39.4955</v>
      </c>
      <c r="Y30">
        <v>23</v>
      </c>
      <c r="AA30">
        <f>VLOOKUP(A30,Cover!A:R,18,0)</f>
        <v>7.85</v>
      </c>
      <c r="AB30" s="77">
        <f t="shared" ref="AB30" si="28">M30-AA30</f>
        <v>24.943739999999998</v>
      </c>
      <c r="AC30" s="77">
        <f t="shared" ref="AC30" si="29">O30-AA30</f>
        <v>12.718300000000001</v>
      </c>
      <c r="AD30" s="77">
        <f t="shared" ref="AD30" si="30">AB30/L30%</f>
        <v>65.13025141625306</v>
      </c>
      <c r="AE30" s="77">
        <f t="shared" ref="AE30" si="31">AC30/N30%</f>
        <v>48.779954588690131</v>
      </c>
      <c r="AF30" s="77">
        <f t="shared" ref="AF30" si="32">T30-AA30</f>
        <v>22.199100000000001</v>
      </c>
      <c r="AG30" s="77">
        <f t="shared" ref="AG30" si="33">AF30/S30%</f>
        <v>62.438402862157417</v>
      </c>
      <c r="AH30" s="77">
        <f t="shared" ref="AH30" si="34">W30</f>
        <v>45</v>
      </c>
      <c r="AI30" s="77">
        <f t="shared" ref="AI30" si="35">J30</f>
        <v>5.5045000000000002</v>
      </c>
      <c r="AJ30" s="77">
        <f t="shared" ref="AJ30" si="36">AH30-AI30</f>
        <v>39.4955</v>
      </c>
      <c r="AK30" s="77">
        <f t="shared" ref="AK30" si="37">AA30</f>
        <v>7.85</v>
      </c>
      <c r="AL30" s="77">
        <f t="shared" ref="AL30" si="38">AJ30-AK30</f>
        <v>31.645499999999998</v>
      </c>
      <c r="AM30" s="77">
        <f t="shared" ref="AM30" si="39">AL30/AH30%</f>
        <v>70.323333333333323</v>
      </c>
      <c r="AN30" t="str">
        <f t="shared" si="14"/>
        <v/>
      </c>
      <c r="AO30" s="52" t="s">
        <v>1201</v>
      </c>
      <c r="AP30" t="str">
        <f t="shared" si="12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3"/>
        <v>DDm125-33</v>
      </c>
    </row>
    <row r="31" spans="1:53">
      <c r="A31" s="35" t="s">
        <v>47</v>
      </c>
      <c r="B31" t="s">
        <v>1188</v>
      </c>
      <c r="C31" t="s">
        <v>1214</v>
      </c>
      <c r="D31" t="s">
        <v>1181</v>
      </c>
      <c r="E31" t="s">
        <v>848</v>
      </c>
      <c r="F31" t="s">
        <v>1140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1144</v>
      </c>
      <c r="Q31" t="s">
        <v>1150</v>
      </c>
      <c r="R31" t="s">
        <v>1161</v>
      </c>
      <c r="S31">
        <v>35.553600000000003</v>
      </c>
      <c r="T31">
        <v>28.032599999999999</v>
      </c>
      <c r="U31" t="s">
        <v>1144</v>
      </c>
      <c r="V31" t="s">
        <v>1158</v>
      </c>
      <c r="W31">
        <v>45</v>
      </c>
      <c r="X31">
        <v>37.478999999999999</v>
      </c>
      <c r="Y31">
        <v>23</v>
      </c>
      <c r="AA31">
        <f>VLOOKUP(A31,Cover!A:R,18,0)</f>
        <v>8.2799999999999994</v>
      </c>
      <c r="AB31" s="77">
        <f t="shared" ref="AB31" si="40">M31-AA31</f>
        <v>22.497239999999998</v>
      </c>
      <c r="AC31" s="77">
        <f t="shared" ref="AC31" si="41">O31-AA31</f>
        <v>10.271800000000001</v>
      </c>
      <c r="AD31" s="77">
        <f t="shared" ref="AD31" si="42">AB31/L31%</f>
        <v>58.742229407931013</v>
      </c>
      <c r="AE31" s="77">
        <f t="shared" ref="AE31" si="43">AC31/N31%</f>
        <v>39.396612561750175</v>
      </c>
      <c r="AF31" s="77">
        <f t="shared" ref="AF31" si="44">T31-AA31</f>
        <v>19.752600000000001</v>
      </c>
      <c r="AG31" s="77">
        <f t="shared" ref="AG31" si="45">AF31/S31%</f>
        <v>55.557243148373161</v>
      </c>
      <c r="AH31" s="77">
        <f t="shared" ref="AH31" si="46">W31</f>
        <v>45</v>
      </c>
      <c r="AI31" s="77">
        <f t="shared" ref="AI31" si="47">J31</f>
        <v>7.5209999999999999</v>
      </c>
      <c r="AJ31" s="77">
        <f t="shared" ref="AJ31" si="48">AH31-AI31</f>
        <v>37.478999999999999</v>
      </c>
      <c r="AK31" s="77">
        <f t="shared" ref="AK31" si="49">AA31</f>
        <v>8.2799999999999994</v>
      </c>
      <c r="AL31" s="77">
        <f t="shared" ref="AL31" si="50">AJ31-AK31</f>
        <v>29.198999999999998</v>
      </c>
      <c r="AM31" s="77">
        <f t="shared" ref="AM31" si="51">AL31/AH31%</f>
        <v>64.886666666666656</v>
      </c>
      <c r="AN31" t="str">
        <f t="shared" si="14"/>
        <v/>
      </c>
      <c r="AO31" s="52" t="s">
        <v>1201</v>
      </c>
      <c r="AP31" t="str">
        <f t="shared" si="12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t="s">
        <v>1188</v>
      </c>
      <c r="C32" t="s">
        <v>1214</v>
      </c>
      <c r="D32" t="s">
        <v>1138</v>
      </c>
      <c r="E32" t="s">
        <v>845</v>
      </c>
      <c r="F32" t="s">
        <v>1140</v>
      </c>
      <c r="G32">
        <v>36.6</v>
      </c>
      <c r="H32">
        <v>26</v>
      </c>
      <c r="I32">
        <v>96</v>
      </c>
      <c r="J32">
        <v>5.2320000000000002</v>
      </c>
      <c r="K32" s="64">
        <v>45414</v>
      </c>
      <c r="L32">
        <v>39.893999999999998</v>
      </c>
      <c r="M32">
        <v>34.661999999999999</v>
      </c>
      <c r="N32">
        <v>28.067499999999999</v>
      </c>
      <c r="O32">
        <v>22.8355</v>
      </c>
      <c r="P32" t="s">
        <v>1144</v>
      </c>
      <c r="Q32" t="s">
        <v>1150</v>
      </c>
      <c r="R32" t="s">
        <v>1161</v>
      </c>
      <c r="S32">
        <v>35.553600000000003</v>
      </c>
      <c r="T32">
        <v>30.3216</v>
      </c>
      <c r="U32" t="s">
        <v>1160</v>
      </c>
      <c r="V32" t="s">
        <v>1220</v>
      </c>
      <c r="W32">
        <v>90</v>
      </c>
      <c r="X32">
        <v>84.768000000000001</v>
      </c>
      <c r="Y32">
        <v>12</v>
      </c>
      <c r="AA32">
        <f>VLOOKUP(A32,Cover!A:R,18,0)</f>
        <v>2.4</v>
      </c>
      <c r="AB32" s="77">
        <f t="shared" si="0"/>
        <v>32.262</v>
      </c>
      <c r="AC32" s="77">
        <f t="shared" si="1"/>
        <v>20.435500000000001</v>
      </c>
      <c r="AD32" s="77">
        <f t="shared" si="2"/>
        <v>80.869303654684927</v>
      </c>
      <c r="AE32" s="77">
        <f t="shared" si="3"/>
        <v>72.808408301416236</v>
      </c>
      <c r="AF32" s="77">
        <f t="shared" si="4"/>
        <v>27.921600000000002</v>
      </c>
      <c r="AG32" s="77">
        <f t="shared" si="5"/>
        <v>78.533819360064797</v>
      </c>
      <c r="AH32" s="77">
        <f t="shared" si="6"/>
        <v>90</v>
      </c>
      <c r="AI32" s="77">
        <f t="shared" si="7"/>
        <v>5.2320000000000002</v>
      </c>
      <c r="AJ32" s="77">
        <f t="shared" si="8"/>
        <v>84.768000000000001</v>
      </c>
      <c r="AK32" s="77">
        <f t="shared" si="9"/>
        <v>2.4</v>
      </c>
      <c r="AL32" s="77">
        <f t="shared" si="10"/>
        <v>82.367999999999995</v>
      </c>
      <c r="AM32" s="77">
        <f t="shared" si="11"/>
        <v>91.52</v>
      </c>
      <c r="AN32" t="str">
        <f t="shared" si="14"/>
        <v/>
      </c>
      <c r="AO32" s="52" t="s">
        <v>1201</v>
      </c>
      <c r="AP32" t="str">
        <f t="shared" si="12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t="s">
        <v>1188</v>
      </c>
      <c r="C33" t="s">
        <v>1214</v>
      </c>
      <c r="D33" t="s">
        <v>1138</v>
      </c>
      <c r="E33" t="s">
        <v>845</v>
      </c>
      <c r="F33" t="s">
        <v>1140</v>
      </c>
      <c r="G33">
        <v>36.6</v>
      </c>
      <c r="H33">
        <v>25</v>
      </c>
      <c r="I33">
        <v>123</v>
      </c>
      <c r="J33">
        <v>6.7035</v>
      </c>
      <c r="K33" s="64">
        <v>45414</v>
      </c>
      <c r="L33">
        <v>38.29824</v>
      </c>
      <c r="M33">
        <v>31.594740000000002</v>
      </c>
      <c r="N33">
        <v>26.072800000000001</v>
      </c>
      <c r="O33">
        <v>19.369299999999999</v>
      </c>
      <c r="P33" t="s">
        <v>1144</v>
      </c>
      <c r="Q33" t="s">
        <v>1150</v>
      </c>
      <c r="R33" t="s">
        <v>1161</v>
      </c>
      <c r="S33">
        <v>35.553600000000003</v>
      </c>
      <c r="T33">
        <v>28.850100000000001</v>
      </c>
      <c r="U33" t="s">
        <v>1160</v>
      </c>
      <c r="V33" t="s">
        <v>1220</v>
      </c>
      <c r="W33">
        <v>90</v>
      </c>
      <c r="X33">
        <v>83.296499999999995</v>
      </c>
      <c r="Y33">
        <v>12</v>
      </c>
      <c r="AA33">
        <f>VLOOKUP(A33,Cover!A:R,18,0)</f>
        <v>2.5</v>
      </c>
      <c r="AB33" s="77">
        <f t="shared" si="0"/>
        <v>29.094740000000002</v>
      </c>
      <c r="AC33" s="77">
        <f t="shared" si="1"/>
        <v>16.869299999999999</v>
      </c>
      <c r="AD33" s="77">
        <f t="shared" si="2"/>
        <v>75.968869587740855</v>
      </c>
      <c r="AE33" s="77">
        <f t="shared" si="3"/>
        <v>64.700760946273505</v>
      </c>
      <c r="AF33" s="77">
        <f t="shared" si="4"/>
        <v>26.350100000000001</v>
      </c>
      <c r="AG33" s="77">
        <f t="shared" si="5"/>
        <v>74.113732505287786</v>
      </c>
      <c r="AH33" s="77">
        <f t="shared" si="6"/>
        <v>90</v>
      </c>
      <c r="AI33" s="77">
        <f t="shared" si="7"/>
        <v>6.7035</v>
      </c>
      <c r="AJ33" s="77">
        <f t="shared" si="8"/>
        <v>83.296499999999995</v>
      </c>
      <c r="AK33" s="77">
        <f t="shared" si="9"/>
        <v>2.5</v>
      </c>
      <c r="AL33" s="77">
        <f t="shared" si="10"/>
        <v>80.796499999999995</v>
      </c>
      <c r="AM33" s="77">
        <f t="shared" si="11"/>
        <v>89.773888888888877</v>
      </c>
      <c r="AN33" t="str">
        <f t="shared" si="14"/>
        <v/>
      </c>
      <c r="AO33" s="52" t="s">
        <v>1201</v>
      </c>
      <c r="AP33" t="str">
        <f t="shared" si="12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DDm125-33</v>
      </c>
    </row>
    <row r="34" spans="1:53">
      <c r="A34" s="35" t="s">
        <v>50</v>
      </c>
      <c r="B34" t="s">
        <v>1159</v>
      </c>
      <c r="C34" t="s">
        <v>1221</v>
      </c>
      <c r="D34" t="s">
        <v>1133</v>
      </c>
      <c r="E34" t="s">
        <v>803</v>
      </c>
      <c r="F34" t="s">
        <v>1193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1141</v>
      </c>
      <c r="Q34" t="s">
        <v>1150</v>
      </c>
      <c r="R34" t="s">
        <v>1178</v>
      </c>
      <c r="S34">
        <v>15.1632</v>
      </c>
      <c r="T34">
        <v>4.5901999999999896</v>
      </c>
      <c r="U34" t="s">
        <v>1141</v>
      </c>
      <c r="V34" t="s">
        <v>1183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4"/>
        <v>Capped</v>
      </c>
      <c r="AO34" t="s">
        <v>1146</v>
      </c>
      <c r="AP34" t="str">
        <f t="shared" si="12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2DDm85-15</v>
      </c>
    </row>
    <row r="35" spans="1:53">
      <c r="A35" s="35" t="s">
        <v>51</v>
      </c>
      <c r="B35" t="s">
        <v>1222</v>
      </c>
      <c r="C35" t="s">
        <v>1223</v>
      </c>
      <c r="D35" t="s">
        <v>1199</v>
      </c>
      <c r="E35" t="s">
        <v>893</v>
      </c>
      <c r="F35" t="s">
        <v>1182</v>
      </c>
      <c r="G35">
        <v>23</v>
      </c>
      <c r="H35">
        <v>6</v>
      </c>
      <c r="I35">
        <v>39</v>
      </c>
      <c r="J35">
        <v>2.1255000000000002</v>
      </c>
      <c r="K35" s="64">
        <v>45356</v>
      </c>
      <c r="L35">
        <v>5.0140000000000002</v>
      </c>
      <c r="M35">
        <v>2.8885000000000001</v>
      </c>
      <c r="N35">
        <v>5.9950000000000001</v>
      </c>
      <c r="O35">
        <v>3.8694999999999999</v>
      </c>
      <c r="P35" t="s">
        <v>1160</v>
      </c>
      <c r="Q35" t="s">
        <v>1168</v>
      </c>
      <c r="R35" t="s">
        <v>1169</v>
      </c>
      <c r="S35">
        <v>4.32</v>
      </c>
      <c r="T35">
        <v>2.1945000000000001</v>
      </c>
      <c r="U35" t="s">
        <v>1224</v>
      </c>
      <c r="V35" t="s">
        <v>1160</v>
      </c>
      <c r="W35">
        <v>3.75</v>
      </c>
      <c r="X35">
        <v>1.6245000000000001</v>
      </c>
      <c r="Y35">
        <v>0</v>
      </c>
      <c r="Z35" t="s">
        <v>1225</v>
      </c>
      <c r="AA35">
        <f>VLOOKUP(A35,Cover!A:R,18,0)</f>
        <v>0</v>
      </c>
      <c r="AB35" s="77">
        <f t="shared" si="0"/>
        <v>2.8885000000000001</v>
      </c>
      <c r="AC35" s="77">
        <f t="shared" si="1"/>
        <v>3.8694999999999999</v>
      </c>
      <c r="AD35" s="77">
        <f t="shared" si="2"/>
        <v>57.608695652173907</v>
      </c>
      <c r="AE35" s="77">
        <f t="shared" si="3"/>
        <v>64.545454545454547</v>
      </c>
      <c r="AF35" s="77">
        <f t="shared" si="4"/>
        <v>2.1945000000000001</v>
      </c>
      <c r="AG35" s="77">
        <f t="shared" si="5"/>
        <v>50.798611111111114</v>
      </c>
      <c r="AH35" s="77">
        <f t="shared" si="6"/>
        <v>3.75</v>
      </c>
      <c r="AI35" s="77">
        <f t="shared" si="7"/>
        <v>2.1255000000000002</v>
      </c>
      <c r="AJ35" s="77">
        <f t="shared" si="8"/>
        <v>1.6244999999999998</v>
      </c>
      <c r="AK35" s="77">
        <f t="shared" si="9"/>
        <v>0</v>
      </c>
      <c r="AL35" s="77">
        <f t="shared" si="10"/>
        <v>1.6244999999999998</v>
      </c>
      <c r="AM35" s="77">
        <f t="shared" si="11"/>
        <v>43.32</v>
      </c>
      <c r="AN35" t="str">
        <f t="shared" si="14"/>
        <v>Capped</v>
      </c>
      <c r="AO35" t="s">
        <v>1146</v>
      </c>
      <c r="AP35" t="str">
        <f t="shared" si="12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SBS C11F</v>
      </c>
    </row>
    <row r="36" spans="1:53">
      <c r="A36" s="35" t="s">
        <v>52</v>
      </c>
      <c r="B36" t="s">
        <v>1222</v>
      </c>
      <c r="C36" t="s">
        <v>1226</v>
      </c>
      <c r="D36" t="s">
        <v>1181</v>
      </c>
      <c r="E36" t="s">
        <v>1227</v>
      </c>
      <c r="F36" t="s">
        <v>1140</v>
      </c>
      <c r="G36">
        <v>36.6</v>
      </c>
      <c r="H36">
        <v>9</v>
      </c>
      <c r="I36">
        <v>60</v>
      </c>
      <c r="J36">
        <v>3.27</v>
      </c>
      <c r="K36" s="64">
        <v>45414</v>
      </c>
      <c r="L36">
        <v>12.766080000000001</v>
      </c>
      <c r="M36">
        <v>9.4960799999999992</v>
      </c>
      <c r="N36">
        <v>9.4720999999999993</v>
      </c>
      <c r="O36">
        <v>6.2020999999999997</v>
      </c>
      <c r="P36" t="s">
        <v>1144</v>
      </c>
      <c r="Q36" t="s">
        <v>1150</v>
      </c>
      <c r="R36" t="s">
        <v>1178</v>
      </c>
      <c r="S36">
        <v>10.1088</v>
      </c>
      <c r="T36">
        <v>6.8387999999999796</v>
      </c>
      <c r="U36" t="s">
        <v>1141</v>
      </c>
      <c r="V36" t="s">
        <v>1152</v>
      </c>
      <c r="W36">
        <v>22.5</v>
      </c>
      <c r="X36">
        <v>19.23</v>
      </c>
      <c r="Y36">
        <v>20</v>
      </c>
      <c r="AA36">
        <f>VLOOKUP(A36,Cover!A:R,18,0)</f>
        <v>3</v>
      </c>
      <c r="AB36" s="77">
        <f t="shared" si="0"/>
        <v>6.4960799999999992</v>
      </c>
      <c r="AC36" s="77">
        <f t="shared" si="1"/>
        <v>3.2020999999999997</v>
      </c>
      <c r="AD36" s="77">
        <f t="shared" si="2"/>
        <v>50.885471499473589</v>
      </c>
      <c r="AE36" s="77">
        <f t="shared" si="3"/>
        <v>33.805597491580535</v>
      </c>
      <c r="AF36" s="77">
        <f t="shared" si="4"/>
        <v>3.8387999999999796</v>
      </c>
      <c r="AG36" s="77">
        <f t="shared" si="5"/>
        <v>37.974833808166935</v>
      </c>
      <c r="AH36" s="77">
        <f t="shared" si="6"/>
        <v>22.5</v>
      </c>
      <c r="AI36" s="77">
        <f t="shared" si="7"/>
        <v>3.27</v>
      </c>
      <c r="AJ36" s="77">
        <f t="shared" si="8"/>
        <v>19.23</v>
      </c>
      <c r="AK36" s="77">
        <f t="shared" si="9"/>
        <v>3</v>
      </c>
      <c r="AL36" s="77">
        <f t="shared" si="10"/>
        <v>16.23</v>
      </c>
      <c r="AM36" s="77">
        <f t="shared" si="11"/>
        <v>72.13333333333334</v>
      </c>
      <c r="AN36" t="str">
        <f t="shared" si="14"/>
        <v/>
      </c>
      <c r="AO36" t="s">
        <v>1146</v>
      </c>
      <c r="AP36" t="str">
        <f t="shared" si="12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2DDm85-15</v>
      </c>
    </row>
    <row r="37" spans="1:53">
      <c r="A37" s="35" t="s">
        <v>53</v>
      </c>
      <c r="B37" t="s">
        <v>1176</v>
      </c>
      <c r="C37" t="s">
        <v>1228</v>
      </c>
      <c r="D37" t="s">
        <v>1181</v>
      </c>
      <c r="E37" t="s">
        <v>1013</v>
      </c>
      <c r="F37" t="s">
        <v>1140</v>
      </c>
      <c r="G37">
        <v>36.6</v>
      </c>
      <c r="H37">
        <v>61</v>
      </c>
      <c r="I37">
        <v>1155.5</v>
      </c>
      <c r="J37">
        <v>62.97475</v>
      </c>
      <c r="K37" s="64">
        <v>45415</v>
      </c>
      <c r="L37">
        <v>95.745599999999996</v>
      </c>
      <c r="M37">
        <v>32.770850000000003</v>
      </c>
      <c r="N37">
        <v>86.981999999999999</v>
      </c>
      <c r="O37">
        <v>24.007249999999999</v>
      </c>
      <c r="P37" t="s">
        <v>1141</v>
      </c>
      <c r="Q37" t="s">
        <v>1150</v>
      </c>
      <c r="R37" t="s">
        <v>1161</v>
      </c>
      <c r="S37">
        <v>53.330399999999997</v>
      </c>
      <c r="T37">
        <v>-9.6443500000000206</v>
      </c>
      <c r="U37" t="s">
        <v>1229</v>
      </c>
      <c r="V37" t="s">
        <v>1230</v>
      </c>
      <c r="W37">
        <v>371.25</v>
      </c>
      <c r="X37">
        <v>308.27525000000003</v>
      </c>
      <c r="Y37">
        <v>104</v>
      </c>
      <c r="AA37">
        <f>VLOOKUP(A37,Cover!A:R,18,0)</f>
        <v>37.799999999999997</v>
      </c>
      <c r="AB37" s="77">
        <f t="shared" si="0"/>
        <v>-5.0291499999999942</v>
      </c>
      <c r="AC37" s="77">
        <f t="shared" si="1"/>
        <v>-13.792749999999998</v>
      </c>
      <c r="AD37" s="77">
        <f t="shared" si="2"/>
        <v>-5.2526173526511863</v>
      </c>
      <c r="AE37" s="77">
        <f t="shared" si="3"/>
        <v>-15.857016394196497</v>
      </c>
      <c r="AF37" s="77">
        <f t="shared" si="4"/>
        <v>-47.444350000000014</v>
      </c>
      <c r="AG37" s="77">
        <f t="shared" si="5"/>
        <v>-88.963049217706995</v>
      </c>
      <c r="AH37" s="368">
        <f>AVERAGE(W37:W39)</f>
        <v>413.5</v>
      </c>
      <c r="AI37" s="368">
        <f>SUM(J37:J39)</f>
        <v>198.43450000000001</v>
      </c>
      <c r="AJ37" s="368">
        <f>AH37-AI37</f>
        <v>215.06549999999999</v>
      </c>
      <c r="AK37" s="368">
        <f>SUM(AA37:AA39)</f>
        <v>121.45000000000002</v>
      </c>
      <c r="AL37" s="368">
        <f>AJ37-AK37</f>
        <v>93.615499999999969</v>
      </c>
      <c r="AM37" s="369">
        <f>AL37/AH37%</f>
        <v>22.639782345828287</v>
      </c>
      <c r="AN37" t="str">
        <f t="shared" si="14"/>
        <v/>
      </c>
      <c r="AO37" t="s">
        <v>1146</v>
      </c>
      <c r="AP37" t="str">
        <f t="shared" si="12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t="s">
        <v>1176</v>
      </c>
      <c r="C38" t="s">
        <v>1228</v>
      </c>
      <c r="D38" t="s">
        <v>1181</v>
      </c>
      <c r="E38" t="s">
        <v>1013</v>
      </c>
      <c r="F38" t="s">
        <v>1140</v>
      </c>
      <c r="G38">
        <v>36.6</v>
      </c>
      <c r="H38">
        <v>57</v>
      </c>
      <c r="I38">
        <v>1155.5</v>
      </c>
      <c r="J38">
        <v>62.97475</v>
      </c>
      <c r="K38" s="64">
        <v>45415</v>
      </c>
      <c r="L38">
        <v>89.362560000000002</v>
      </c>
      <c r="M38">
        <v>26.387810000000002</v>
      </c>
      <c r="N38">
        <v>46.303199999999997</v>
      </c>
      <c r="O38">
        <v>-16.67155</v>
      </c>
      <c r="P38" t="s">
        <v>1186</v>
      </c>
      <c r="Q38" t="s">
        <v>1150</v>
      </c>
      <c r="R38" t="s">
        <v>1161</v>
      </c>
      <c r="S38">
        <v>106.66079999999999</v>
      </c>
      <c r="T38">
        <v>43.686050000000101</v>
      </c>
      <c r="U38" t="s">
        <v>1229</v>
      </c>
      <c r="V38" t="s">
        <v>1230</v>
      </c>
      <c r="W38">
        <v>371.25</v>
      </c>
      <c r="X38">
        <v>308.27525000000003</v>
      </c>
      <c r="Y38">
        <v>104</v>
      </c>
      <c r="AA38">
        <f>VLOOKUP(A38,Cover!A:R,18,0)</f>
        <v>21</v>
      </c>
      <c r="AB38" s="77">
        <f t="shared" si="0"/>
        <v>5.3878100000000018</v>
      </c>
      <c r="AC38" s="77">
        <f t="shared" si="1"/>
        <v>-37.671549999999996</v>
      </c>
      <c r="AD38" s="77">
        <f t="shared" si="2"/>
        <v>6.0291580724634581</v>
      </c>
      <c r="AE38" s="77">
        <f t="shared" si="3"/>
        <v>-81.358415833030975</v>
      </c>
      <c r="AF38" s="77">
        <f t="shared" si="4"/>
        <v>22.686050000000101</v>
      </c>
      <c r="AG38" s="77">
        <f t="shared" si="5"/>
        <v>21.269341688792977</v>
      </c>
      <c r="AH38" s="368"/>
      <c r="AI38" s="368"/>
      <c r="AJ38" s="368"/>
      <c r="AK38" s="368"/>
      <c r="AL38" s="368"/>
      <c r="AM38" s="369"/>
      <c r="AN38" t="str">
        <f t="shared" si="14"/>
        <v/>
      </c>
      <c r="AO38" t="s">
        <v>1201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3"/>
        <v>DDm125-33</v>
      </c>
    </row>
    <row r="39" spans="1:53">
      <c r="A39" s="35" t="s">
        <v>55</v>
      </c>
      <c r="B39" t="s">
        <v>1176</v>
      </c>
      <c r="C39" t="s">
        <v>1228</v>
      </c>
      <c r="D39" t="s">
        <v>1181</v>
      </c>
      <c r="E39" t="s">
        <v>1016</v>
      </c>
      <c r="F39" t="s">
        <v>1193</v>
      </c>
      <c r="G39">
        <v>55</v>
      </c>
      <c r="H39">
        <v>102</v>
      </c>
      <c r="I39">
        <v>1330</v>
      </c>
      <c r="J39">
        <v>72.484999999999999</v>
      </c>
      <c r="K39" s="64">
        <v>45414</v>
      </c>
      <c r="L39">
        <v>242.19800000000001</v>
      </c>
      <c r="M39">
        <v>169.71299999999999</v>
      </c>
      <c r="N39">
        <v>171.94749999999999</v>
      </c>
      <c r="O39">
        <v>99.462500000000006</v>
      </c>
      <c r="P39" t="s">
        <v>1229</v>
      </c>
      <c r="Q39" t="s">
        <v>1150</v>
      </c>
      <c r="R39" t="s">
        <v>1161</v>
      </c>
      <c r="S39">
        <v>213.32159999999999</v>
      </c>
      <c r="T39">
        <v>140.8366</v>
      </c>
      <c r="U39" t="s">
        <v>1145</v>
      </c>
      <c r="V39" t="s">
        <v>1231</v>
      </c>
      <c r="W39">
        <v>498</v>
      </c>
      <c r="X39">
        <v>425.51499999999999</v>
      </c>
      <c r="Y39">
        <v>23</v>
      </c>
      <c r="AA39">
        <f>VLOOKUP(A39,Cover!A:R,18,0)</f>
        <v>62.650000000000013</v>
      </c>
      <c r="AB39" s="77">
        <f>M39-AA39</f>
        <v>107.06299999999999</v>
      </c>
      <c r="AC39" s="77">
        <f>O39-AA39</f>
        <v>36.812499999999993</v>
      </c>
      <c r="AD39" s="77">
        <f>AB39/L39%</f>
        <v>44.204741575074934</v>
      </c>
      <c r="AE39" s="77">
        <f>AC39/N39%</f>
        <v>21.409151049012049</v>
      </c>
      <c r="AF39" s="77">
        <f>T39-AA39</f>
        <v>78.186599999999999</v>
      </c>
      <c r="AG39" s="77">
        <f>AF39/S39%</f>
        <v>36.651984609153502</v>
      </c>
      <c r="AH39" s="368"/>
      <c r="AI39" s="368"/>
      <c r="AJ39" s="368"/>
      <c r="AK39" s="368"/>
      <c r="AL39" s="368"/>
      <c r="AM39" s="369"/>
      <c r="AN39" t="str">
        <f t="shared" si="14"/>
        <v/>
      </c>
      <c r="AO39" t="s">
        <v>1201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3"/>
        <v>DDm125-33</v>
      </c>
    </row>
    <row r="40" spans="1:53">
      <c r="A40" s="35" t="s">
        <v>56</v>
      </c>
      <c r="B40" t="s">
        <v>1176</v>
      </c>
      <c r="C40" t="s">
        <v>1228</v>
      </c>
      <c r="D40" t="s">
        <v>1181</v>
      </c>
      <c r="E40" t="s">
        <v>1013</v>
      </c>
      <c r="F40" t="s">
        <v>1232</v>
      </c>
      <c r="G40">
        <v>55</v>
      </c>
      <c r="H40">
        <v>102</v>
      </c>
      <c r="I40">
        <v>1059</v>
      </c>
      <c r="J40">
        <v>57.715499999999999</v>
      </c>
      <c r="K40" s="64">
        <v>45414</v>
      </c>
      <c r="L40">
        <v>242.19800000000001</v>
      </c>
      <c r="M40">
        <v>184.48249999999999</v>
      </c>
      <c r="N40">
        <v>171.94749999999999</v>
      </c>
      <c r="O40">
        <v>114.232</v>
      </c>
      <c r="P40" t="s">
        <v>1229</v>
      </c>
      <c r="Q40" t="s">
        <v>1150</v>
      </c>
      <c r="R40" t="s">
        <v>1161</v>
      </c>
      <c r="S40">
        <v>213.32159999999999</v>
      </c>
      <c r="T40">
        <v>155.6061</v>
      </c>
      <c r="U40" t="s">
        <v>1229</v>
      </c>
      <c r="V40" t="s">
        <v>1230</v>
      </c>
      <c r="W40">
        <v>371.25</v>
      </c>
      <c r="X40">
        <v>313.53449999999998</v>
      </c>
      <c r="Y40">
        <v>104</v>
      </c>
      <c r="AA40">
        <f>VLOOKUP(A40,Cover!A:R,18,0)</f>
        <v>62.650000000000013</v>
      </c>
      <c r="AB40" s="77">
        <f>M40-AA40</f>
        <v>121.83249999999998</v>
      </c>
      <c r="AC40" s="77">
        <f>O40-AA40</f>
        <v>51.581999999999987</v>
      </c>
      <c r="AD40" s="77">
        <f>AB40/L40%</f>
        <v>50.302851386056027</v>
      </c>
      <c r="AE40" s="77">
        <f>AC40/N40%</f>
        <v>29.998691461056421</v>
      </c>
      <c r="AF40" s="77">
        <f>T40-AA40</f>
        <v>92.956099999999992</v>
      </c>
      <c r="AG40" s="77">
        <f>AF40/S40%</f>
        <v>43.575568531269219</v>
      </c>
      <c r="AH40" s="77">
        <f>W40</f>
        <v>371.25</v>
      </c>
      <c r="AI40" s="77">
        <f t="shared" si="7"/>
        <v>57.715499999999999</v>
      </c>
      <c r="AJ40" s="77">
        <f t="shared" si="8"/>
        <v>313.53449999999998</v>
      </c>
      <c r="AK40" s="77">
        <f t="shared" si="9"/>
        <v>62.650000000000013</v>
      </c>
      <c r="AL40" s="77">
        <f t="shared" si="10"/>
        <v>250.88449999999997</v>
      </c>
      <c r="AM40" s="77">
        <f t="shared" si="11"/>
        <v>67.578316498316497</v>
      </c>
      <c r="AN40" t="str">
        <f t="shared" si="14"/>
        <v/>
      </c>
      <c r="AO40" t="s">
        <v>1146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3"/>
        <v>DDm125-33</v>
      </c>
    </row>
    <row r="41" spans="1:53">
      <c r="A41" s="35" t="s">
        <v>57</v>
      </c>
      <c r="B41" t="s">
        <v>1188</v>
      </c>
      <c r="C41" t="s">
        <v>1214</v>
      </c>
      <c r="D41" t="s">
        <v>1138</v>
      </c>
      <c r="E41" t="s">
        <v>847</v>
      </c>
      <c r="F41" t="s">
        <v>1233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1144</v>
      </c>
      <c r="Q41" t="s">
        <v>1150</v>
      </c>
      <c r="R41" t="s">
        <v>1210</v>
      </c>
      <c r="S41">
        <v>28.123200000000001</v>
      </c>
      <c r="T41">
        <v>21.855699999999999</v>
      </c>
      <c r="U41" t="s">
        <v>1155</v>
      </c>
      <c r="V41" t="s">
        <v>1234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68">
        <f>AVERAGE(W41:W42)</f>
        <v>67.5</v>
      </c>
      <c r="AI41" s="368">
        <f>SUM(J41:J42)</f>
        <v>19.5655</v>
      </c>
      <c r="AJ41" s="368">
        <f t="shared" si="8"/>
        <v>47.9345</v>
      </c>
      <c r="AK41" s="368">
        <f>SUM(AA41:AA42)</f>
        <v>0</v>
      </c>
      <c r="AL41" s="368">
        <f t="shared" si="10"/>
        <v>47.9345</v>
      </c>
      <c r="AM41" s="369">
        <f t="shared" si="11"/>
        <v>71.014074074074074</v>
      </c>
      <c r="AN41" t="str">
        <f t="shared" si="14"/>
        <v/>
      </c>
      <c r="AO41" t="s">
        <v>1201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t="s">
        <v>1188</v>
      </c>
      <c r="C42" t="s">
        <v>1214</v>
      </c>
      <c r="D42" t="s">
        <v>1138</v>
      </c>
      <c r="E42" t="s">
        <v>847</v>
      </c>
      <c r="F42" t="s">
        <v>1233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1144</v>
      </c>
      <c r="Q42" t="s">
        <v>1150</v>
      </c>
      <c r="R42" t="s">
        <v>1210</v>
      </c>
      <c r="S42">
        <v>28.123200000000001</v>
      </c>
      <c r="T42">
        <v>14.825200000000001</v>
      </c>
      <c r="U42" t="s">
        <v>1155</v>
      </c>
      <c r="V42" t="s">
        <v>1234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68"/>
      <c r="AI42" s="368"/>
      <c r="AJ42" s="368"/>
      <c r="AK42" s="368"/>
      <c r="AL42" s="368"/>
      <c r="AM42" s="369"/>
      <c r="AN42" t="str">
        <f t="shared" si="14"/>
        <v/>
      </c>
      <c r="AO42" t="s">
        <v>1201</v>
      </c>
      <c r="AP42" t="str">
        <f t="shared" si="12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DDm100-33</v>
      </c>
    </row>
    <row r="43" spans="1:53">
      <c r="A43" s="35" t="s">
        <v>59</v>
      </c>
      <c r="B43" t="s">
        <v>1235</v>
      </c>
      <c r="C43" t="s">
        <v>1236</v>
      </c>
      <c r="D43" t="s">
        <v>1199</v>
      </c>
      <c r="E43" t="s">
        <v>1237</v>
      </c>
      <c r="F43" t="s">
        <v>1238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1144</v>
      </c>
      <c r="Q43" t="s">
        <v>1142</v>
      </c>
      <c r="R43" t="s">
        <v>1239</v>
      </c>
      <c r="S43">
        <v>2.9159999999999999</v>
      </c>
      <c r="T43">
        <v>-2.8065000000000002</v>
      </c>
      <c r="U43" t="s">
        <v>1144</v>
      </c>
      <c r="V43" t="s">
        <v>1240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4"/>
        <v>Capped</v>
      </c>
      <c r="AO43" t="s">
        <v>1146</v>
      </c>
      <c r="AP43" t="str">
        <f t="shared" si="12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>EN160</v>
      </c>
    </row>
    <row r="44" spans="1:53">
      <c r="A44" s="35" t="s">
        <v>60</v>
      </c>
      <c r="B44" t="s">
        <v>1222</v>
      </c>
      <c r="C44" t="s">
        <v>1241</v>
      </c>
      <c r="D44" t="s">
        <v>1181</v>
      </c>
      <c r="E44" t="s">
        <v>894</v>
      </c>
      <c r="F44" t="s">
        <v>1140</v>
      </c>
      <c r="G44">
        <v>36.6</v>
      </c>
      <c r="H44">
        <v>6</v>
      </c>
      <c r="I44">
        <v>51</v>
      </c>
      <c r="J44">
        <v>2.7795000000000001</v>
      </c>
      <c r="K44" s="64">
        <v>45414</v>
      </c>
      <c r="L44">
        <v>7.9787999999999997</v>
      </c>
      <c r="M44">
        <v>5.1993</v>
      </c>
      <c r="N44">
        <v>6.1585000000000001</v>
      </c>
      <c r="O44">
        <v>3.379</v>
      </c>
      <c r="P44" t="s">
        <v>1190</v>
      </c>
      <c r="Q44" t="s">
        <v>1150</v>
      </c>
      <c r="R44" t="s">
        <v>1242</v>
      </c>
      <c r="S44">
        <v>6.2747999999999804</v>
      </c>
      <c r="T44">
        <v>3.4952999999999799</v>
      </c>
      <c r="U44" t="s">
        <v>1141</v>
      </c>
      <c r="V44" t="s">
        <v>1243</v>
      </c>
      <c r="W44">
        <v>6</v>
      </c>
      <c r="X44">
        <v>3.2204999999999999</v>
      </c>
      <c r="Y44">
        <v>6</v>
      </c>
      <c r="AA44">
        <f>VLOOKUP(A44,Cover!A:R,18,0)</f>
        <v>5.4</v>
      </c>
      <c r="AB44" s="77">
        <f t="shared" si="0"/>
        <v>-0.20070000000000032</v>
      </c>
      <c r="AC44" s="77">
        <f t="shared" si="1"/>
        <v>-2.0210000000000004</v>
      </c>
      <c r="AD44" s="77">
        <f t="shared" si="2"/>
        <v>-2.5154158520078247</v>
      </c>
      <c r="AE44" s="77">
        <f t="shared" si="3"/>
        <v>-32.816432572866773</v>
      </c>
      <c r="AF44" s="77">
        <f t="shared" si="4"/>
        <v>-1.9047000000000205</v>
      </c>
      <c r="AG44" s="77">
        <f t="shared" si="5"/>
        <v>-30.354752342704572</v>
      </c>
      <c r="AH44" s="77">
        <f t="shared" si="6"/>
        <v>6</v>
      </c>
      <c r="AI44" s="77">
        <f t="shared" si="7"/>
        <v>2.7795000000000001</v>
      </c>
      <c r="AJ44" s="77">
        <f t="shared" si="8"/>
        <v>3.2204999999999999</v>
      </c>
      <c r="AK44" s="77">
        <f t="shared" si="9"/>
        <v>5.4</v>
      </c>
      <c r="AL44" s="77">
        <f t="shared" si="10"/>
        <v>-2.1795000000000004</v>
      </c>
      <c r="AM44" s="77">
        <f t="shared" si="11"/>
        <v>-36.32500000000001</v>
      </c>
      <c r="AN44" t="str">
        <f t="shared" si="14"/>
        <v/>
      </c>
      <c r="AO44" t="s">
        <v>1146</v>
      </c>
      <c r="AP44" t="str">
        <f t="shared" si="12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 xml:space="preserve">12V101F </v>
      </c>
    </row>
    <row r="45" spans="1:53">
      <c r="A45" s="35" t="s">
        <v>61</v>
      </c>
      <c r="B45" t="s">
        <v>1147</v>
      </c>
      <c r="C45" t="s">
        <v>1244</v>
      </c>
      <c r="D45" t="s">
        <v>1138</v>
      </c>
      <c r="E45" t="s">
        <v>1245</v>
      </c>
      <c r="F45" t="s">
        <v>1246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1144</v>
      </c>
      <c r="Q45" t="s">
        <v>1168</v>
      </c>
      <c r="R45" t="s">
        <v>1247</v>
      </c>
      <c r="S45">
        <v>1.9526399999999999</v>
      </c>
      <c r="T45">
        <v>1.8436399999999999</v>
      </c>
      <c r="U45" t="s">
        <v>1144</v>
      </c>
      <c r="V45" t="s">
        <v>1170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4"/>
        <v/>
      </c>
      <c r="AO45" t="s">
        <v>1146</v>
      </c>
      <c r="AP45" t="str">
        <f t="shared" si="12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12V100F</v>
      </c>
    </row>
    <row r="46" spans="1:53">
      <c r="A46" s="35" t="s">
        <v>62</v>
      </c>
      <c r="B46" t="s">
        <v>1164</v>
      </c>
      <c r="C46" t="s">
        <v>1248</v>
      </c>
      <c r="D46" t="s">
        <v>1138</v>
      </c>
      <c r="E46" t="s">
        <v>1249</v>
      </c>
      <c r="F46" t="s">
        <v>1140</v>
      </c>
      <c r="G46">
        <v>36.6</v>
      </c>
      <c r="H46">
        <v>2</v>
      </c>
      <c r="I46">
        <v>13</v>
      </c>
      <c r="J46">
        <v>0.70850000000000002</v>
      </c>
      <c r="K46" s="64">
        <v>45414</v>
      </c>
      <c r="L46">
        <v>1.5957600000000001</v>
      </c>
      <c r="M46">
        <v>0.88726000000000005</v>
      </c>
      <c r="N46">
        <v>-0.11445016349999999</v>
      </c>
      <c r="O46">
        <v>-0.82295016350000005</v>
      </c>
      <c r="P46" t="s">
        <v>1141</v>
      </c>
      <c r="Q46" t="s">
        <v>1168</v>
      </c>
      <c r="R46" t="s">
        <v>1174</v>
      </c>
      <c r="S46">
        <v>4.2119999999999997</v>
      </c>
      <c r="T46">
        <v>3.5034999999999998</v>
      </c>
      <c r="U46" t="s">
        <v>1224</v>
      </c>
      <c r="V46" t="s">
        <v>1160</v>
      </c>
      <c r="W46">
        <v>3.75</v>
      </c>
      <c r="X46">
        <v>3.0415000000000001</v>
      </c>
      <c r="Y46">
        <v>1</v>
      </c>
      <c r="AA46">
        <f>VLOOKUP(A46,Cover!A:R,18,0)</f>
        <v>0.4</v>
      </c>
      <c r="AB46" s="77">
        <f t="shared" si="0"/>
        <v>0.48726000000000003</v>
      </c>
      <c r="AC46" s="77">
        <f t="shared" si="1"/>
        <v>-1.2229501635000002</v>
      </c>
      <c r="AD46" s="77">
        <f t="shared" si="2"/>
        <v>30.534666867198073</v>
      </c>
      <c r="AE46" s="77">
        <f t="shared" si="3"/>
        <v>1068.543832617592</v>
      </c>
      <c r="AF46" s="77">
        <f t="shared" si="4"/>
        <v>3.1034999999999999</v>
      </c>
      <c r="AG46" s="77">
        <f t="shared" si="5"/>
        <v>73.682336182336186</v>
      </c>
      <c r="AH46" s="77">
        <f t="shared" si="6"/>
        <v>3.75</v>
      </c>
      <c r="AI46" s="77">
        <f t="shared" si="7"/>
        <v>0.70850000000000002</v>
      </c>
      <c r="AJ46" s="77">
        <f t="shared" si="8"/>
        <v>3.0415000000000001</v>
      </c>
      <c r="AK46" s="77">
        <f t="shared" si="9"/>
        <v>0.4</v>
      </c>
      <c r="AL46" s="77">
        <f t="shared" si="10"/>
        <v>2.6415000000000002</v>
      </c>
      <c r="AM46" s="77">
        <f t="shared" si="11"/>
        <v>70.440000000000012</v>
      </c>
      <c r="AN46" t="str">
        <f t="shared" si="14"/>
        <v/>
      </c>
      <c r="AO46" t="s">
        <v>1146</v>
      </c>
      <c r="AP46" t="str">
        <f t="shared" si="12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12V155F</v>
      </c>
    </row>
    <row r="47" spans="1:53">
      <c r="A47" s="35" t="s">
        <v>63</v>
      </c>
      <c r="B47" t="s">
        <v>1176</v>
      </c>
      <c r="C47" t="s">
        <v>1250</v>
      </c>
      <c r="D47" t="s">
        <v>1138</v>
      </c>
      <c r="E47" t="s">
        <v>1006</v>
      </c>
      <c r="F47" t="s">
        <v>1140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1144</v>
      </c>
      <c r="Q47" t="s">
        <v>1150</v>
      </c>
      <c r="R47" t="s">
        <v>1210</v>
      </c>
      <c r="S47">
        <v>28.123200000000001</v>
      </c>
      <c r="T47">
        <v>12.4817</v>
      </c>
      <c r="U47" t="s">
        <v>1141</v>
      </c>
      <c r="V47" t="s">
        <v>1251</v>
      </c>
      <c r="W47">
        <v>33</v>
      </c>
      <c r="X47">
        <v>17.358499999999999</v>
      </c>
      <c r="Y47">
        <v>57</v>
      </c>
      <c r="AA47">
        <f>VLOOKUP(A47,Cover!A:R,18,0)</f>
        <v>4</v>
      </c>
      <c r="AB47" s="77">
        <f t="shared" si="0"/>
        <v>12.273700000000002</v>
      </c>
      <c r="AC47" s="77">
        <f t="shared" si="1"/>
        <v>2.8125</v>
      </c>
      <c r="AD47" s="77">
        <f t="shared" si="2"/>
        <v>38.457224143981556</v>
      </c>
      <c r="AE47" s="77">
        <f t="shared" si="3"/>
        <v>12.525607909503874</v>
      </c>
      <c r="AF47" s="77">
        <f t="shared" si="4"/>
        <v>8.4817</v>
      </c>
      <c r="AG47" s="77">
        <f t="shared" si="5"/>
        <v>30.159085737042727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4</v>
      </c>
      <c r="AL47" s="77">
        <f t="shared" si="10"/>
        <v>13.358499999999999</v>
      </c>
      <c r="AM47" s="77">
        <f t="shared" si="11"/>
        <v>40.480303030303027</v>
      </c>
      <c r="AN47" t="str">
        <f t="shared" si="14"/>
        <v/>
      </c>
      <c r="AO47" t="s">
        <v>1146</v>
      </c>
      <c r="AP47" t="str">
        <f t="shared" si="12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DDm100-33</v>
      </c>
    </row>
    <row r="48" spans="1:53">
      <c r="A48" s="35" t="s">
        <v>64</v>
      </c>
      <c r="B48" t="s">
        <v>1188</v>
      </c>
      <c r="C48" t="s">
        <v>1214</v>
      </c>
      <c r="D48" t="s">
        <v>1138</v>
      </c>
      <c r="E48" t="s">
        <v>863</v>
      </c>
      <c r="F48" t="s">
        <v>1140</v>
      </c>
      <c r="G48">
        <v>36.6</v>
      </c>
      <c r="H48">
        <v>57</v>
      </c>
      <c r="I48">
        <v>580</v>
      </c>
      <c r="J48">
        <v>31.61</v>
      </c>
      <c r="K48" s="64">
        <v>45356</v>
      </c>
      <c r="L48">
        <v>87.766800000000003</v>
      </c>
      <c r="M48">
        <v>56.156799999999997</v>
      </c>
      <c r="N48">
        <v>44.308500000000002</v>
      </c>
      <c r="O48">
        <v>12.698499999999999</v>
      </c>
      <c r="P48" t="s">
        <v>1186</v>
      </c>
      <c r="Q48" t="s">
        <v>1150</v>
      </c>
      <c r="R48" t="s">
        <v>1161</v>
      </c>
      <c r="S48">
        <v>106.66079999999999</v>
      </c>
      <c r="T48">
        <v>75.050800000000095</v>
      </c>
      <c r="U48" t="s">
        <v>1155</v>
      </c>
      <c r="V48" t="s">
        <v>1252</v>
      </c>
      <c r="W48">
        <v>101.25</v>
      </c>
      <c r="X48">
        <v>69.64</v>
      </c>
      <c r="Y48">
        <v>31</v>
      </c>
      <c r="AA48">
        <f>VLOOKUP(A48,Cover!A:R,18,0)</f>
        <v>20.8</v>
      </c>
      <c r="AB48" s="77">
        <f t="shared" si="0"/>
        <v>35.356799999999993</v>
      </c>
      <c r="AC48" s="77">
        <f t="shared" si="1"/>
        <v>-8.1015000000000015</v>
      </c>
      <c r="AD48" s="77">
        <f t="shared" si="2"/>
        <v>40.284936900969377</v>
      </c>
      <c r="AE48" s="77">
        <f t="shared" si="3"/>
        <v>-18.28430210907614</v>
      </c>
      <c r="AF48" s="77">
        <f t="shared" si="4"/>
        <v>54.250800000000098</v>
      </c>
      <c r="AG48" s="77">
        <f t="shared" si="5"/>
        <v>50.862922460735433</v>
      </c>
      <c r="AH48" s="77">
        <f t="shared" si="6"/>
        <v>101.25</v>
      </c>
      <c r="AI48" s="77">
        <f t="shared" si="7"/>
        <v>31.61</v>
      </c>
      <c r="AJ48" s="77">
        <f t="shared" si="8"/>
        <v>69.64</v>
      </c>
      <c r="AK48" s="77">
        <f t="shared" si="9"/>
        <v>20.8</v>
      </c>
      <c r="AL48" s="77">
        <f t="shared" si="10"/>
        <v>48.84</v>
      </c>
      <c r="AM48" s="77">
        <f t="shared" si="11"/>
        <v>48.237037037037041</v>
      </c>
      <c r="AN48" t="str">
        <f t="shared" si="14"/>
        <v/>
      </c>
      <c r="AO48" t="s">
        <v>1146</v>
      </c>
      <c r="AP48" t="str">
        <f t="shared" si="12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t="s">
        <v>1188</v>
      </c>
      <c r="C49" t="s">
        <v>1214</v>
      </c>
      <c r="D49" t="s">
        <v>1138</v>
      </c>
      <c r="E49" t="s">
        <v>863</v>
      </c>
      <c r="F49" t="s">
        <v>1140</v>
      </c>
      <c r="G49">
        <v>36.6</v>
      </c>
      <c r="H49">
        <v>57</v>
      </c>
      <c r="I49">
        <v>1135</v>
      </c>
      <c r="J49">
        <v>61.857500000000002</v>
      </c>
      <c r="K49" s="64">
        <v>45384</v>
      </c>
      <c r="L49">
        <v>87.766800000000003</v>
      </c>
      <c r="M49">
        <v>25.909300000000002</v>
      </c>
      <c r="N49">
        <v>44.308500000000002</v>
      </c>
      <c r="O49">
        <v>-17.548999999999999</v>
      </c>
      <c r="P49" t="s">
        <v>1186</v>
      </c>
      <c r="Q49" t="s">
        <v>1150</v>
      </c>
      <c r="R49" t="s">
        <v>1161</v>
      </c>
      <c r="S49">
        <v>106.66079999999999</v>
      </c>
      <c r="T49">
        <v>44.8033000000001</v>
      </c>
      <c r="U49" t="s">
        <v>1155</v>
      </c>
      <c r="V49" t="s">
        <v>1252</v>
      </c>
      <c r="W49">
        <v>101.25</v>
      </c>
      <c r="X49">
        <v>39.392499999999998</v>
      </c>
      <c r="Y49">
        <v>31</v>
      </c>
      <c r="AA49">
        <f>VLOOKUP(A49,Cover!A:R,18,0)</f>
        <v>23.299999999999997</v>
      </c>
      <c r="AB49" s="77">
        <f t="shared" si="0"/>
        <v>2.6093000000000046</v>
      </c>
      <c r="AC49" s="77">
        <f t="shared" si="1"/>
        <v>-40.848999999999997</v>
      </c>
      <c r="AD49" s="77">
        <f t="shared" si="2"/>
        <v>2.9729920653367841</v>
      </c>
      <c r="AE49" s="77">
        <f t="shared" si="3"/>
        <v>-92.192243023347658</v>
      </c>
      <c r="AF49" s="77">
        <f t="shared" si="4"/>
        <v>21.503300000000102</v>
      </c>
      <c r="AG49" s="77">
        <f t="shared" si="5"/>
        <v>20.160452574891714</v>
      </c>
      <c r="AH49" s="77">
        <f t="shared" si="6"/>
        <v>101.25</v>
      </c>
      <c r="AI49" s="77">
        <f t="shared" si="7"/>
        <v>61.857500000000002</v>
      </c>
      <c r="AJ49" s="77">
        <f t="shared" si="8"/>
        <v>39.392499999999998</v>
      </c>
      <c r="AK49" s="77">
        <f t="shared" si="9"/>
        <v>23.299999999999997</v>
      </c>
      <c r="AL49" s="77">
        <f t="shared" si="10"/>
        <v>16.092500000000001</v>
      </c>
      <c r="AM49" s="77">
        <f t="shared" si="11"/>
        <v>15.89382716049383</v>
      </c>
      <c r="AN49" t="str">
        <f t="shared" si="14"/>
        <v/>
      </c>
      <c r="AO49" t="s">
        <v>1146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t="s">
        <v>1188</v>
      </c>
      <c r="C50" t="s">
        <v>1214</v>
      </c>
      <c r="D50" t="s">
        <v>1138</v>
      </c>
      <c r="E50" t="s">
        <v>863</v>
      </c>
      <c r="F50" t="s">
        <v>1140</v>
      </c>
      <c r="G50">
        <v>36.6</v>
      </c>
      <c r="H50">
        <v>57</v>
      </c>
      <c r="I50">
        <v>807</v>
      </c>
      <c r="J50">
        <v>43.981499999999997</v>
      </c>
      <c r="K50" s="64">
        <v>45414</v>
      </c>
      <c r="L50">
        <v>87.766800000000003</v>
      </c>
      <c r="M50">
        <v>43.785299999999999</v>
      </c>
      <c r="N50">
        <v>66.108500000000006</v>
      </c>
      <c r="O50">
        <v>22.126999999999999</v>
      </c>
      <c r="P50" t="s">
        <v>1155</v>
      </c>
      <c r="Q50" t="s">
        <v>1150</v>
      </c>
      <c r="R50" t="s">
        <v>1161</v>
      </c>
      <c r="S50">
        <v>71.107200000000205</v>
      </c>
      <c r="T50">
        <v>27.125700000000201</v>
      </c>
      <c r="U50" t="s">
        <v>1155</v>
      </c>
      <c r="V50" t="s">
        <v>1252</v>
      </c>
      <c r="W50">
        <v>101.25</v>
      </c>
      <c r="X50">
        <v>57.268500000000003</v>
      </c>
      <c r="Y50">
        <v>31</v>
      </c>
      <c r="AA50">
        <f>VLOOKUP(A50,Cover!A:R,18,0)</f>
        <v>3.6</v>
      </c>
      <c r="AB50" s="77">
        <f t="shared" si="0"/>
        <v>40.185299999999998</v>
      </c>
      <c r="AC50" s="77">
        <f t="shared" si="1"/>
        <v>18.526999999999997</v>
      </c>
      <c r="AD50" s="77">
        <f t="shared" si="2"/>
        <v>45.786447722829131</v>
      </c>
      <c r="AE50" s="77">
        <f t="shared" si="3"/>
        <v>28.025140488741986</v>
      </c>
      <c r="AF50" s="77">
        <f t="shared" si="4"/>
        <v>23.525700000000199</v>
      </c>
      <c r="AG50" s="77">
        <f t="shared" si="5"/>
        <v>33.084835290941186</v>
      </c>
      <c r="AH50" s="77">
        <f t="shared" si="6"/>
        <v>101.25</v>
      </c>
      <c r="AI50" s="77">
        <f t="shared" si="7"/>
        <v>43.981499999999997</v>
      </c>
      <c r="AJ50" s="77">
        <f t="shared" si="8"/>
        <v>57.268500000000003</v>
      </c>
      <c r="AK50" s="77">
        <f t="shared" si="9"/>
        <v>3.6</v>
      </c>
      <c r="AL50" s="77">
        <f t="shared" si="10"/>
        <v>53.668500000000002</v>
      </c>
      <c r="AM50" s="77">
        <f t="shared" si="11"/>
        <v>53.005925925925929</v>
      </c>
      <c r="AN50" t="str">
        <f t="shared" si="14"/>
        <v/>
      </c>
      <c r="AO50" t="s">
        <v>1146</v>
      </c>
      <c r="AP50" t="str">
        <f t="shared" si="12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DDm125-33</v>
      </c>
    </row>
    <row r="51" spans="1:53">
      <c r="A51" s="35" t="s">
        <v>67</v>
      </c>
      <c r="B51" t="s">
        <v>1188</v>
      </c>
      <c r="C51" t="s">
        <v>1214</v>
      </c>
      <c r="D51" t="s">
        <v>1138</v>
      </c>
      <c r="E51" t="s">
        <v>862</v>
      </c>
      <c r="F51" t="s">
        <v>1193</v>
      </c>
      <c r="G51">
        <v>55</v>
      </c>
      <c r="H51">
        <v>88</v>
      </c>
      <c r="I51">
        <v>1300</v>
      </c>
      <c r="J51">
        <v>70.849999999999994</v>
      </c>
      <c r="K51" s="64">
        <v>45414</v>
      </c>
      <c r="L51">
        <v>208.626</v>
      </c>
      <c r="M51">
        <v>137.77600000000001</v>
      </c>
      <c r="N51">
        <v>198.6525</v>
      </c>
      <c r="O51">
        <v>127.80249999999999</v>
      </c>
      <c r="P51" t="s">
        <v>1186</v>
      </c>
      <c r="Q51" t="s">
        <v>1150</v>
      </c>
      <c r="R51" t="s">
        <v>1218</v>
      </c>
      <c r="S51">
        <v>96.137280000000203</v>
      </c>
      <c r="T51">
        <v>25.287280000000202</v>
      </c>
      <c r="U51" t="s">
        <v>1175</v>
      </c>
      <c r="V51" t="s">
        <v>1253</v>
      </c>
      <c r="W51">
        <v>405</v>
      </c>
      <c r="X51">
        <v>334.15</v>
      </c>
      <c r="Y51">
        <v>130</v>
      </c>
      <c r="AA51">
        <f>VLOOKUP(A51,Cover!A:R,18,0)</f>
        <v>16.599999999999998</v>
      </c>
      <c r="AB51" s="77">
        <f t="shared" si="0"/>
        <v>121.17600000000002</v>
      </c>
      <c r="AC51" s="77">
        <f t="shared" si="1"/>
        <v>111.2025</v>
      </c>
      <c r="AD51" s="77">
        <f t="shared" si="2"/>
        <v>58.082885162923127</v>
      </c>
      <c r="AE51" s="77">
        <f t="shared" si="3"/>
        <v>55.978404500320913</v>
      </c>
      <c r="AF51" s="77">
        <f t="shared" si="4"/>
        <v>8.6872800000002037</v>
      </c>
      <c r="AG51" s="77">
        <f t="shared" si="5"/>
        <v>9.0363280508874233</v>
      </c>
      <c r="AH51" s="369">
        <f>AVERAGE(W51:W52)</f>
        <v>405</v>
      </c>
      <c r="AI51" s="369">
        <f>SUM(J51:J52)</f>
        <v>146.60499999999999</v>
      </c>
      <c r="AJ51" s="369">
        <f t="shared" si="8"/>
        <v>258.39499999999998</v>
      </c>
      <c r="AK51" s="369">
        <f>SUM(AA51:AA52)</f>
        <v>31.199999999999996</v>
      </c>
      <c r="AL51" s="369">
        <f t="shared" si="10"/>
        <v>227.19499999999999</v>
      </c>
      <c r="AM51" s="369">
        <f t="shared" si="11"/>
        <v>56.09753086419753</v>
      </c>
      <c r="AN51" t="str">
        <f t="shared" si="14"/>
        <v/>
      </c>
      <c r="AO51" t="s">
        <v>1146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t="s">
        <v>1188</v>
      </c>
      <c r="C52" t="s">
        <v>1214</v>
      </c>
      <c r="D52" t="s">
        <v>1138</v>
      </c>
      <c r="E52" t="s">
        <v>862</v>
      </c>
      <c r="F52" t="s">
        <v>1193</v>
      </c>
      <c r="G52">
        <v>55</v>
      </c>
      <c r="H52">
        <v>88</v>
      </c>
      <c r="I52">
        <v>1390</v>
      </c>
      <c r="J52">
        <v>75.754999999999995</v>
      </c>
      <c r="K52" s="64">
        <v>45414</v>
      </c>
      <c r="L52">
        <v>208.626</v>
      </c>
      <c r="M52">
        <v>132.87100000000001</v>
      </c>
      <c r="N52">
        <v>198.6525</v>
      </c>
      <c r="O52">
        <v>122.89749999999999</v>
      </c>
      <c r="P52" t="s">
        <v>1186</v>
      </c>
      <c r="Q52" t="s">
        <v>1150</v>
      </c>
      <c r="R52" t="s">
        <v>1218</v>
      </c>
      <c r="S52">
        <v>96.137280000000203</v>
      </c>
      <c r="T52">
        <v>20.3822800000002</v>
      </c>
      <c r="U52" t="s">
        <v>1175</v>
      </c>
      <c r="V52" t="s">
        <v>1253</v>
      </c>
      <c r="W52">
        <v>405</v>
      </c>
      <c r="X52">
        <v>329.245</v>
      </c>
      <c r="Y52">
        <v>130</v>
      </c>
      <c r="AA52">
        <f>VLOOKUP(A52,Cover!A:R,18,0)</f>
        <v>14.599999999999998</v>
      </c>
      <c r="AB52" s="77">
        <f t="shared" ref="AB52" si="52">M52-AA52</f>
        <v>118.27100000000002</v>
      </c>
      <c r="AC52" s="77">
        <f t="shared" ref="AC52" si="53">O52-AA52</f>
        <v>108.2975</v>
      </c>
      <c r="AD52" s="77">
        <f t="shared" ref="AD52" si="54">AB52/L52%</f>
        <v>56.690441268106568</v>
      </c>
      <c r="AE52" s="77">
        <f t="shared" ref="AE52" si="55">AC52/N52%</f>
        <v>54.516051899674054</v>
      </c>
      <c r="AF52" s="77">
        <f t="shared" ref="AF52" si="56">T52-AA52</f>
        <v>5.7822800000002026</v>
      </c>
      <c r="AG52" s="77">
        <f t="shared" ref="AG52" si="57">AF52/S52%</f>
        <v>6.0146074446876288</v>
      </c>
      <c r="AH52" s="369"/>
      <c r="AI52" s="369"/>
      <c r="AJ52" s="369"/>
      <c r="AK52" s="369"/>
      <c r="AL52" s="369"/>
      <c r="AM52" s="369"/>
      <c r="AN52" t="str">
        <f t="shared" si="14"/>
        <v/>
      </c>
      <c r="AO52" t="s">
        <v>1146</v>
      </c>
      <c r="AP52" t="str">
        <f t="shared" si="12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2CP2000</v>
      </c>
    </row>
    <row r="53" spans="1:53">
      <c r="A53" s="35" t="s">
        <v>69</v>
      </c>
      <c r="B53" t="s">
        <v>1159</v>
      </c>
      <c r="C53" t="s">
        <v>1254</v>
      </c>
      <c r="D53" t="s">
        <v>1199</v>
      </c>
      <c r="E53" t="s">
        <v>804</v>
      </c>
      <c r="F53" t="s">
        <v>1140</v>
      </c>
      <c r="G53">
        <v>36.6</v>
      </c>
      <c r="H53">
        <v>53</v>
      </c>
      <c r="I53">
        <v>1219</v>
      </c>
      <c r="J53">
        <v>66.435500000000005</v>
      </c>
      <c r="K53" s="64">
        <v>45414</v>
      </c>
      <c r="L53">
        <v>82.979519999999994</v>
      </c>
      <c r="M53">
        <v>16.54402</v>
      </c>
      <c r="N53">
        <v>60.124400000000001</v>
      </c>
      <c r="O53">
        <v>-6.3110999999999997</v>
      </c>
      <c r="P53" t="s">
        <v>1160</v>
      </c>
      <c r="Q53" t="s">
        <v>1150</v>
      </c>
      <c r="R53" t="s">
        <v>1210</v>
      </c>
      <c r="S53">
        <v>70.308000000000007</v>
      </c>
      <c r="T53">
        <v>3.87250000000002</v>
      </c>
      <c r="U53" t="s">
        <v>1160</v>
      </c>
      <c r="V53" t="s">
        <v>1255</v>
      </c>
      <c r="W53">
        <v>139.5</v>
      </c>
      <c r="X53">
        <v>73.064499999999995</v>
      </c>
      <c r="Y53">
        <v>18</v>
      </c>
      <c r="Z53" t="s">
        <v>1256</v>
      </c>
      <c r="AA53">
        <f>VLOOKUP(A53,Cover!A:R,18,0)</f>
        <v>0</v>
      </c>
      <c r="AB53" s="77">
        <f t="shared" si="0"/>
        <v>16.54402</v>
      </c>
      <c r="AC53" s="77">
        <f t="shared" si="1"/>
        <v>-6.3110999999999997</v>
      </c>
      <c r="AD53" s="77">
        <f t="shared" si="2"/>
        <v>19.937473728457334</v>
      </c>
      <c r="AE53" s="77">
        <f t="shared" si="3"/>
        <v>-10.496736765772297</v>
      </c>
      <c r="AF53" s="77">
        <f t="shared" si="4"/>
        <v>3.87250000000002</v>
      </c>
      <c r="AG53" s="77">
        <f t="shared" si="5"/>
        <v>5.5079080616715306</v>
      </c>
      <c r="AH53" s="77">
        <f t="shared" si="6"/>
        <v>139.5</v>
      </c>
      <c r="AI53" s="77">
        <f t="shared" si="7"/>
        <v>66.435500000000005</v>
      </c>
      <c r="AJ53" s="77">
        <f t="shared" si="8"/>
        <v>73.064499999999995</v>
      </c>
      <c r="AK53" s="77">
        <f t="shared" si="9"/>
        <v>0</v>
      </c>
      <c r="AL53" s="77">
        <f t="shared" si="10"/>
        <v>73.064499999999995</v>
      </c>
      <c r="AM53" s="77">
        <f t="shared" si="11"/>
        <v>52.375985663082432</v>
      </c>
      <c r="AN53" t="str">
        <f t="shared" si="14"/>
        <v>Capped</v>
      </c>
      <c r="AO53" t="s">
        <v>1146</v>
      </c>
      <c r="AP53" t="str">
        <f t="shared" si="12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3"/>
        <v>DDm100-33</v>
      </c>
    </row>
    <row r="54" spans="1:53">
      <c r="A54" s="35" t="s">
        <v>70</v>
      </c>
      <c r="B54" t="s">
        <v>1159</v>
      </c>
      <c r="C54" t="s">
        <v>1254</v>
      </c>
      <c r="D54" t="s">
        <v>1199</v>
      </c>
      <c r="E54" t="s">
        <v>804</v>
      </c>
      <c r="F54" t="s">
        <v>1140</v>
      </c>
      <c r="G54">
        <v>36.6</v>
      </c>
      <c r="H54">
        <v>61</v>
      </c>
      <c r="I54">
        <v>605</v>
      </c>
      <c r="J54">
        <v>32.972499999999997</v>
      </c>
      <c r="K54" s="64">
        <v>45414</v>
      </c>
      <c r="L54">
        <v>95.745599999999996</v>
      </c>
      <c r="M54">
        <v>62.773099999999999</v>
      </c>
      <c r="N54">
        <v>65.182000000000002</v>
      </c>
      <c r="O54">
        <v>32.209499999999998</v>
      </c>
      <c r="P54" t="s">
        <v>1160</v>
      </c>
      <c r="Q54" t="s">
        <v>1150</v>
      </c>
      <c r="R54" t="s">
        <v>1161</v>
      </c>
      <c r="S54">
        <v>88.884000000000199</v>
      </c>
      <c r="T54">
        <v>55.911500000000203</v>
      </c>
      <c r="U54" t="s">
        <v>1160</v>
      </c>
      <c r="V54" t="s">
        <v>1255</v>
      </c>
      <c r="W54">
        <v>139.5</v>
      </c>
      <c r="X54">
        <v>106.5275</v>
      </c>
      <c r="Y54">
        <v>18</v>
      </c>
      <c r="Z54" t="s">
        <v>1256</v>
      </c>
      <c r="AA54">
        <f>VLOOKUP(A54,Cover!A:R,18,0)</f>
        <v>32.449999999999996</v>
      </c>
      <c r="AB54" s="77">
        <f t="shared" si="0"/>
        <v>30.323100000000004</v>
      </c>
      <c r="AC54" s="77">
        <f t="shared" si="1"/>
        <v>-0.24049999999999727</v>
      </c>
      <c r="AD54" s="77">
        <f t="shared" si="2"/>
        <v>31.670489296636092</v>
      </c>
      <c r="AE54" s="77">
        <f t="shared" si="3"/>
        <v>-0.36896689270043453</v>
      </c>
      <c r="AF54" s="77">
        <f t="shared" si="4"/>
        <v>23.461500000000207</v>
      </c>
      <c r="AG54" s="77">
        <f t="shared" si="5"/>
        <v>26.395639260159484</v>
      </c>
      <c r="AH54" s="77">
        <f t="shared" si="6"/>
        <v>139.5</v>
      </c>
      <c r="AI54" s="77">
        <f t="shared" si="7"/>
        <v>32.972499999999997</v>
      </c>
      <c r="AJ54" s="77">
        <f t="shared" si="8"/>
        <v>106.5275</v>
      </c>
      <c r="AK54" s="77">
        <f t="shared" si="9"/>
        <v>32.449999999999996</v>
      </c>
      <c r="AL54" s="77">
        <f t="shared" si="10"/>
        <v>74.077500000000015</v>
      </c>
      <c r="AM54" s="77">
        <f t="shared" si="11"/>
        <v>53.102150537634415</v>
      </c>
      <c r="AN54" t="str">
        <f t="shared" si="14"/>
        <v>Capped</v>
      </c>
      <c r="AO54" t="s">
        <v>1146</v>
      </c>
      <c r="AP54" t="str">
        <f t="shared" si="12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3"/>
        <v>DDm125-33</v>
      </c>
    </row>
    <row r="55" spans="1:53">
      <c r="A55" s="35" t="s">
        <v>71</v>
      </c>
      <c r="B55" t="s">
        <v>1184</v>
      </c>
      <c r="C55" t="s">
        <v>1185</v>
      </c>
      <c r="D55" t="s">
        <v>1199</v>
      </c>
      <c r="E55" t="s">
        <v>966</v>
      </c>
      <c r="F55" t="s">
        <v>1193</v>
      </c>
      <c r="G55">
        <v>55</v>
      </c>
      <c r="H55">
        <v>29</v>
      </c>
      <c r="I55">
        <v>748</v>
      </c>
      <c r="J55">
        <v>40.765999999999998</v>
      </c>
      <c r="K55" s="64">
        <v>44987</v>
      </c>
      <c r="L55">
        <v>67.144000000000005</v>
      </c>
      <c r="M55">
        <v>26.378</v>
      </c>
      <c r="N55">
        <v>49.05</v>
      </c>
      <c r="O55">
        <v>8.2840000000000007</v>
      </c>
      <c r="P55" t="s">
        <v>1155</v>
      </c>
      <c r="Q55" t="s">
        <v>1150</v>
      </c>
      <c r="R55" t="s">
        <v>1210</v>
      </c>
      <c r="S55">
        <v>56.246400000000101</v>
      </c>
      <c r="T55">
        <v>15.480400000000101</v>
      </c>
      <c r="U55" t="s">
        <v>1160</v>
      </c>
      <c r="V55" t="s">
        <v>1257</v>
      </c>
      <c r="W55">
        <v>87.75</v>
      </c>
      <c r="X55">
        <v>46.984000000000002</v>
      </c>
      <c r="Y55">
        <v>45</v>
      </c>
      <c r="Z55" t="s">
        <v>1258</v>
      </c>
      <c r="AA55">
        <f>VLOOKUP(A55,Cover!A:R,18,0)</f>
        <v>2.25</v>
      </c>
      <c r="AB55" s="77">
        <f t="shared" si="0"/>
        <v>24.128</v>
      </c>
      <c r="AC55" s="77">
        <f t="shared" si="1"/>
        <v>6.0340000000000007</v>
      </c>
      <c r="AD55" s="77">
        <f t="shared" si="2"/>
        <v>35.934707494340522</v>
      </c>
      <c r="AE55" s="77">
        <f t="shared" si="3"/>
        <v>12.301732925586139</v>
      </c>
      <c r="AF55" s="77">
        <f t="shared" si="4"/>
        <v>13.230400000000101</v>
      </c>
      <c r="AG55" s="77">
        <f t="shared" si="5"/>
        <v>23.52221653296936</v>
      </c>
      <c r="AH55" s="77">
        <f t="shared" si="6"/>
        <v>87.75</v>
      </c>
      <c r="AI55" s="77">
        <f t="shared" si="7"/>
        <v>40.765999999999998</v>
      </c>
      <c r="AJ55" s="77">
        <f t="shared" si="8"/>
        <v>46.984000000000002</v>
      </c>
      <c r="AK55" s="77">
        <f t="shared" si="9"/>
        <v>2.25</v>
      </c>
      <c r="AL55" s="77">
        <f t="shared" si="10"/>
        <v>44.734000000000002</v>
      </c>
      <c r="AM55" s="77">
        <f t="shared" si="11"/>
        <v>50.978917378917387</v>
      </c>
      <c r="AN55" t="str">
        <f t="shared" si="14"/>
        <v>Capped</v>
      </c>
      <c r="AO55" t="s">
        <v>1146</v>
      </c>
      <c r="AP55" t="str">
        <f t="shared" si="12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DDm100-33</v>
      </c>
    </row>
    <row r="56" spans="1:53">
      <c r="A56" s="35" t="s">
        <v>72</v>
      </c>
      <c r="B56" t="s">
        <v>1184</v>
      </c>
      <c r="C56" t="s">
        <v>1185</v>
      </c>
      <c r="D56" t="s">
        <v>1199</v>
      </c>
      <c r="E56" t="s">
        <v>967</v>
      </c>
      <c r="F56" t="s">
        <v>1140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1155</v>
      </c>
      <c r="Q56" t="s">
        <v>1150</v>
      </c>
      <c r="R56" t="s">
        <v>1161</v>
      </c>
      <c r="S56">
        <v>71.107200000000205</v>
      </c>
      <c r="T56">
        <v>13.282700000000199</v>
      </c>
      <c r="U56" t="s">
        <v>1243</v>
      </c>
      <c r="V56" t="s">
        <v>1259</v>
      </c>
      <c r="W56">
        <v>94.5</v>
      </c>
      <c r="X56">
        <v>36.6755</v>
      </c>
      <c r="Y56">
        <v>14</v>
      </c>
      <c r="Z56" t="s">
        <v>1096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4"/>
        <v>Capped</v>
      </c>
      <c r="AO56" t="s">
        <v>1146</v>
      </c>
      <c r="AP56" t="str">
        <f t="shared" si="12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3"/>
        <v>DDm125-33</v>
      </c>
    </row>
    <row r="57" spans="1:53">
      <c r="A57" s="35" t="s">
        <v>73</v>
      </c>
      <c r="B57" t="s">
        <v>1184</v>
      </c>
      <c r="C57" t="s">
        <v>1185</v>
      </c>
      <c r="D57" t="s">
        <v>1181</v>
      </c>
      <c r="E57" t="s">
        <v>969</v>
      </c>
      <c r="F57" t="s">
        <v>1140</v>
      </c>
      <c r="G57">
        <v>36.6</v>
      </c>
      <c r="H57">
        <v>56</v>
      </c>
      <c r="I57">
        <v>573</v>
      </c>
      <c r="J57">
        <v>31.2285</v>
      </c>
      <c r="K57" s="64">
        <v>45415</v>
      </c>
      <c r="L57">
        <v>87.766800000000003</v>
      </c>
      <c r="M57">
        <v>56.5383</v>
      </c>
      <c r="N57">
        <v>55.208500000000001</v>
      </c>
      <c r="O57">
        <v>23.98</v>
      </c>
      <c r="P57" t="s">
        <v>1160</v>
      </c>
      <c r="Q57" t="s">
        <v>1150</v>
      </c>
      <c r="R57" t="s">
        <v>1161</v>
      </c>
      <c r="S57">
        <v>88.884000000000199</v>
      </c>
      <c r="T57">
        <v>57.655500000000202</v>
      </c>
      <c r="U57" t="s">
        <v>1160</v>
      </c>
      <c r="V57" t="s">
        <v>1260</v>
      </c>
      <c r="W57">
        <v>106.5</v>
      </c>
      <c r="X57">
        <v>75.271500000000003</v>
      </c>
      <c r="Y57">
        <v>20</v>
      </c>
      <c r="AA57">
        <f>VLOOKUP(A57,Cover!A:R,18,0)</f>
        <v>48.13</v>
      </c>
      <c r="AB57" s="77">
        <f t="shared" si="0"/>
        <v>8.408299999999997</v>
      </c>
      <c r="AC57" s="77">
        <f t="shared" si="1"/>
        <v>-24.150000000000002</v>
      </c>
      <c r="AD57" s="77">
        <f t="shared" si="2"/>
        <v>9.5802740899747931</v>
      </c>
      <c r="AE57" s="77">
        <f t="shared" si="3"/>
        <v>-43.743264171277971</v>
      </c>
      <c r="AF57" s="77">
        <f t="shared" si="4"/>
        <v>9.5255000000001999</v>
      </c>
      <c r="AG57" s="77">
        <f t="shared" si="5"/>
        <v>10.716776922730951</v>
      </c>
      <c r="AH57" s="77">
        <f t="shared" si="6"/>
        <v>106.5</v>
      </c>
      <c r="AI57" s="77">
        <f t="shared" si="7"/>
        <v>31.2285</v>
      </c>
      <c r="AJ57" s="77">
        <f t="shared" si="8"/>
        <v>75.271500000000003</v>
      </c>
      <c r="AK57" s="77">
        <f t="shared" si="9"/>
        <v>48.13</v>
      </c>
      <c r="AL57" s="77">
        <f t="shared" si="10"/>
        <v>27.141500000000001</v>
      </c>
      <c r="AM57" s="77">
        <f t="shared" si="11"/>
        <v>25.484976525821597</v>
      </c>
      <c r="AN57" t="str">
        <f t="shared" si="14"/>
        <v/>
      </c>
      <c r="AO57" t="s">
        <v>1146</v>
      </c>
      <c r="AP57" t="str">
        <f t="shared" si="12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3"/>
        <v>DDm125-33</v>
      </c>
    </row>
    <row r="58" spans="1:53">
      <c r="A58" s="35" t="s">
        <v>74</v>
      </c>
      <c r="B58" t="s">
        <v>1235</v>
      </c>
      <c r="C58" t="s">
        <v>1261</v>
      </c>
      <c r="D58" t="s">
        <v>1212</v>
      </c>
      <c r="E58" t="s">
        <v>1007</v>
      </c>
      <c r="F58" t="s">
        <v>1140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1155</v>
      </c>
      <c r="Q58" t="s">
        <v>1150</v>
      </c>
      <c r="R58" t="s">
        <v>1262</v>
      </c>
      <c r="S58">
        <v>45.964799999999997</v>
      </c>
      <c r="T58">
        <v>26.998799999999999</v>
      </c>
      <c r="U58" t="s">
        <v>1141</v>
      </c>
      <c r="V58" t="s">
        <v>1263</v>
      </c>
      <c r="W58">
        <v>60</v>
      </c>
      <c r="X58">
        <v>41.033999999999999</v>
      </c>
      <c r="Y58">
        <v>59</v>
      </c>
      <c r="AA58">
        <f>VLOOKUP(A58,Cover!A:R,18,0)</f>
        <v>2.7</v>
      </c>
      <c r="AB58" s="77">
        <f t="shared" si="0"/>
        <v>29.398320000000002</v>
      </c>
      <c r="AC58" s="77">
        <f t="shared" si="1"/>
        <v>12.516400000000001</v>
      </c>
      <c r="AD58" s="77">
        <f t="shared" si="2"/>
        <v>57.571157316889753</v>
      </c>
      <c r="AE58" s="77">
        <f t="shared" si="3"/>
        <v>36.616504399925105</v>
      </c>
      <c r="AF58" s="77">
        <f t="shared" si="4"/>
        <v>24.2988</v>
      </c>
      <c r="AG58" s="77">
        <f t="shared" si="5"/>
        <v>52.863930659983296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2.7</v>
      </c>
      <c r="AL58" s="77">
        <f t="shared" si="10"/>
        <v>38.333999999999996</v>
      </c>
      <c r="AM58" s="77">
        <f t="shared" si="11"/>
        <v>63.889999999999993</v>
      </c>
      <c r="AN58" t="str">
        <f t="shared" si="14"/>
        <v/>
      </c>
      <c r="AO58" t="s">
        <v>1146</v>
      </c>
      <c r="AP58" t="str">
        <f t="shared" si="12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>DDm85-33</v>
      </c>
    </row>
    <row r="59" spans="1:53">
      <c r="A59" s="35" t="s">
        <v>75</v>
      </c>
      <c r="B59" t="s">
        <v>1188</v>
      </c>
      <c r="C59" t="s">
        <v>1264</v>
      </c>
      <c r="D59" t="s">
        <v>1199</v>
      </c>
      <c r="E59" t="s">
        <v>841</v>
      </c>
      <c r="F59" t="s">
        <v>1140</v>
      </c>
      <c r="G59">
        <v>36.6</v>
      </c>
      <c r="H59">
        <v>8</v>
      </c>
      <c r="I59">
        <v>75</v>
      </c>
      <c r="J59">
        <v>4.0875000000000004</v>
      </c>
      <c r="K59" s="64">
        <v>45414</v>
      </c>
      <c r="L59">
        <v>11.17032</v>
      </c>
      <c r="M59">
        <v>7.0828199999999999</v>
      </c>
      <c r="N59">
        <v>8.5129000000000001</v>
      </c>
      <c r="O59">
        <v>4.4253999999999998</v>
      </c>
      <c r="P59" t="s">
        <v>1145</v>
      </c>
      <c r="Q59" t="s">
        <v>1150</v>
      </c>
      <c r="R59" t="s">
        <v>1242</v>
      </c>
      <c r="S59">
        <v>8.9639999999999702</v>
      </c>
      <c r="T59">
        <v>4.8764999999999699</v>
      </c>
      <c r="U59" t="s">
        <v>1144</v>
      </c>
      <c r="V59" t="s">
        <v>1265</v>
      </c>
      <c r="W59">
        <v>6.9</v>
      </c>
      <c r="X59">
        <v>2.8125</v>
      </c>
      <c r="Y59">
        <v>1</v>
      </c>
      <c r="Z59" t="s">
        <v>8</v>
      </c>
      <c r="AA59">
        <f>VLOOKUP(A59,Cover!A:R,18,0)</f>
        <v>0</v>
      </c>
      <c r="AB59" s="77">
        <f t="shared" si="0"/>
        <v>7.0828199999999999</v>
      </c>
      <c r="AC59" s="77">
        <f t="shared" si="1"/>
        <v>4.4253999999999998</v>
      </c>
      <c r="AD59" s="77">
        <f t="shared" si="2"/>
        <v>63.40749414519906</v>
      </c>
      <c r="AE59" s="77">
        <f t="shared" si="3"/>
        <v>51.984635083226635</v>
      </c>
      <c r="AF59" s="77">
        <f t="shared" si="4"/>
        <v>4.8764999999999699</v>
      </c>
      <c r="AG59" s="77">
        <f t="shared" si="5"/>
        <v>54.400937081659812</v>
      </c>
      <c r="AH59" s="77">
        <f t="shared" si="6"/>
        <v>6.9</v>
      </c>
      <c r="AI59" s="77">
        <f t="shared" si="7"/>
        <v>4.0875000000000004</v>
      </c>
      <c r="AJ59" s="77">
        <f t="shared" si="8"/>
        <v>2.8125</v>
      </c>
      <c r="AK59" s="77">
        <f t="shared" si="9"/>
        <v>0</v>
      </c>
      <c r="AL59" s="77">
        <f t="shared" si="10"/>
        <v>2.8125</v>
      </c>
      <c r="AM59" s="77">
        <f t="shared" si="11"/>
        <v>40.760869565217391</v>
      </c>
      <c r="AN59" t="str">
        <f t="shared" si="14"/>
        <v>Capped</v>
      </c>
      <c r="AO59" t="s">
        <v>1146</v>
      </c>
      <c r="AP59" t="str">
        <f t="shared" si="12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 xml:space="preserve">12V101F </v>
      </c>
    </row>
    <row r="60" spans="1:53">
      <c r="A60" s="35" t="s">
        <v>76</v>
      </c>
      <c r="B60" t="s">
        <v>1147</v>
      </c>
      <c r="C60" t="s">
        <v>1266</v>
      </c>
      <c r="D60" t="s">
        <v>1138</v>
      </c>
      <c r="E60" t="s">
        <v>940</v>
      </c>
      <c r="F60" t="s">
        <v>1140</v>
      </c>
      <c r="G60">
        <v>36.6</v>
      </c>
      <c r="H60">
        <v>19</v>
      </c>
      <c r="I60">
        <v>144</v>
      </c>
      <c r="J60">
        <v>7.8479999999999999</v>
      </c>
      <c r="K60" s="64">
        <v>45414</v>
      </c>
      <c r="L60">
        <v>28.723680000000002</v>
      </c>
      <c r="M60">
        <v>20.875679999999999</v>
      </c>
      <c r="N60">
        <v>18.464600000000001</v>
      </c>
      <c r="O60">
        <v>10.6166</v>
      </c>
      <c r="P60" t="s">
        <v>1144</v>
      </c>
      <c r="Q60" t="s">
        <v>1150</v>
      </c>
      <c r="R60" t="s">
        <v>1210</v>
      </c>
      <c r="S60">
        <v>28.123200000000001</v>
      </c>
      <c r="T60">
        <v>20.275200000000002</v>
      </c>
      <c r="U60" t="s">
        <v>1160</v>
      </c>
      <c r="V60" t="s">
        <v>1220</v>
      </c>
      <c r="W60">
        <v>90</v>
      </c>
      <c r="X60">
        <v>82.152000000000001</v>
      </c>
      <c r="Y60">
        <v>3</v>
      </c>
      <c r="AA60">
        <f>VLOOKUP(A60,Cover!A:R,18,0)</f>
        <v>0</v>
      </c>
      <c r="AB60" s="77">
        <f t="shared" si="0"/>
        <v>20.875679999999999</v>
      </c>
      <c r="AC60" s="77">
        <f t="shared" si="1"/>
        <v>10.6166</v>
      </c>
      <c r="AD60" s="77">
        <f t="shared" si="2"/>
        <v>72.67759562841529</v>
      </c>
      <c r="AE60" s="77">
        <f t="shared" si="3"/>
        <v>57.497048406139314</v>
      </c>
      <c r="AF60" s="77">
        <f t="shared" si="4"/>
        <v>20.275200000000002</v>
      </c>
      <c r="AG60" s="77">
        <f t="shared" si="5"/>
        <v>72.094214029697909</v>
      </c>
      <c r="AH60" s="77">
        <f t="shared" si="6"/>
        <v>90</v>
      </c>
      <c r="AI60" s="77">
        <f t="shared" si="7"/>
        <v>7.8479999999999999</v>
      </c>
      <c r="AJ60" s="77">
        <f t="shared" si="8"/>
        <v>82.152000000000001</v>
      </c>
      <c r="AK60" s="77">
        <f t="shared" si="9"/>
        <v>0</v>
      </c>
      <c r="AL60" s="77">
        <f t="shared" si="10"/>
        <v>82.152000000000001</v>
      </c>
      <c r="AM60" s="77">
        <f t="shared" si="11"/>
        <v>91.28</v>
      </c>
      <c r="AN60" t="str">
        <f t="shared" si="14"/>
        <v/>
      </c>
      <c r="AO60" t="s">
        <v>1146</v>
      </c>
      <c r="AP60" t="str">
        <f t="shared" si="12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>DDm100-33</v>
      </c>
    </row>
    <row r="61" spans="1:53">
      <c r="A61" s="35" t="s">
        <v>77</v>
      </c>
      <c r="B61" t="s">
        <v>1208</v>
      </c>
      <c r="C61" t="s">
        <v>1267</v>
      </c>
      <c r="D61" t="s">
        <v>1212</v>
      </c>
      <c r="E61" t="s">
        <v>1268</v>
      </c>
      <c r="F61" t="s">
        <v>1149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1155</v>
      </c>
      <c r="Q61" t="s">
        <v>1150</v>
      </c>
      <c r="R61" t="s">
        <v>1242</v>
      </c>
      <c r="S61">
        <v>3.5855999999999999</v>
      </c>
      <c r="T61">
        <v>3.3130999999999999</v>
      </c>
      <c r="U61" t="s">
        <v>1155</v>
      </c>
      <c r="V61" t="s">
        <v>1240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4"/>
        <v/>
      </c>
      <c r="AO61" t="s">
        <v>1146</v>
      </c>
      <c r="AP61" t="str">
        <f t="shared" si="12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 xml:space="preserve">12V101F </v>
      </c>
    </row>
    <row r="62" spans="1:53">
      <c r="A62" s="35" t="s">
        <v>78</v>
      </c>
      <c r="B62" t="s">
        <v>1136</v>
      </c>
      <c r="C62" t="s">
        <v>1269</v>
      </c>
      <c r="D62" t="s">
        <v>1199</v>
      </c>
      <c r="E62" t="s">
        <v>792</v>
      </c>
      <c r="F62" t="s">
        <v>1149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1141</v>
      </c>
      <c r="Q62" t="s">
        <v>1150</v>
      </c>
      <c r="R62" t="s">
        <v>1178</v>
      </c>
      <c r="S62">
        <v>15.1632</v>
      </c>
      <c r="T62">
        <v>7.5331999999999901</v>
      </c>
      <c r="U62" t="s">
        <v>1141</v>
      </c>
      <c r="V62" t="s">
        <v>1152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4"/>
        <v>Capped</v>
      </c>
      <c r="AO62" t="s">
        <v>1146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t="s">
        <v>1136</v>
      </c>
      <c r="C63" t="s">
        <v>1269</v>
      </c>
      <c r="D63" t="s">
        <v>1181</v>
      </c>
      <c r="E63" t="s">
        <v>793</v>
      </c>
      <c r="F63" t="s">
        <v>1140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1144</v>
      </c>
      <c r="Q63" t="s">
        <v>1150</v>
      </c>
      <c r="R63" t="s">
        <v>1178</v>
      </c>
      <c r="S63">
        <v>10.1088</v>
      </c>
      <c r="T63">
        <v>6.3482999999999796</v>
      </c>
      <c r="U63" t="s">
        <v>1144</v>
      </c>
      <c r="V63" t="s">
        <v>1240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4"/>
        <v/>
      </c>
      <c r="AO63" t="s">
        <v>1146</v>
      </c>
      <c r="AP63" t="str">
        <f t="shared" si="12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2DDm85-15</v>
      </c>
    </row>
    <row r="64" spans="1:53">
      <c r="A64" s="35" t="s">
        <v>80</v>
      </c>
      <c r="B64" t="s">
        <v>1171</v>
      </c>
      <c r="C64" t="s">
        <v>1270</v>
      </c>
      <c r="D64" t="s">
        <v>1138</v>
      </c>
      <c r="E64" t="s">
        <v>952</v>
      </c>
      <c r="F64" t="s">
        <v>1140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1160</v>
      </c>
      <c r="Q64" t="s">
        <v>1150</v>
      </c>
      <c r="R64" t="s">
        <v>1271</v>
      </c>
      <c r="S64">
        <v>21.815999999999999</v>
      </c>
      <c r="T64">
        <v>14.622</v>
      </c>
      <c r="U64" t="s">
        <v>1155</v>
      </c>
      <c r="V64" t="s">
        <v>1272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4"/>
        <v/>
      </c>
      <c r="AO64" t="s">
        <v>1146</v>
      </c>
      <c r="AP64" t="str">
        <f t="shared" si="12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2DDm85-13</v>
      </c>
    </row>
    <row r="65" spans="1:53">
      <c r="A65" s="35" t="s">
        <v>81</v>
      </c>
      <c r="B65" t="s">
        <v>1273</v>
      </c>
      <c r="C65" t="s">
        <v>1274</v>
      </c>
      <c r="D65" t="s">
        <v>1181</v>
      </c>
      <c r="E65" t="s">
        <v>976</v>
      </c>
      <c r="F65" t="s">
        <v>1140</v>
      </c>
      <c r="G65">
        <v>36.6</v>
      </c>
      <c r="H65">
        <v>27</v>
      </c>
      <c r="I65">
        <v>321</v>
      </c>
      <c r="J65">
        <v>17.494499999999999</v>
      </c>
      <c r="K65" s="64">
        <v>45414</v>
      </c>
      <c r="L65">
        <v>41.489759999999997</v>
      </c>
      <c r="M65">
        <v>23.995259999999998</v>
      </c>
      <c r="N65">
        <v>30.062200000000001</v>
      </c>
      <c r="O65">
        <v>12.5677</v>
      </c>
      <c r="P65" t="s">
        <v>1144</v>
      </c>
      <c r="Q65" t="s">
        <v>1150</v>
      </c>
      <c r="R65" t="s">
        <v>1161</v>
      </c>
      <c r="S65">
        <v>35.553600000000003</v>
      </c>
      <c r="T65">
        <v>18.059100000000001</v>
      </c>
      <c r="U65" t="s">
        <v>1141</v>
      </c>
      <c r="V65" t="s">
        <v>1152</v>
      </c>
      <c r="W65">
        <v>22.5</v>
      </c>
      <c r="X65">
        <v>5.0054999999999996</v>
      </c>
      <c r="Y65">
        <v>15</v>
      </c>
      <c r="AA65">
        <f>VLOOKUP(A65,Cover!A:R,18,0)</f>
        <v>3</v>
      </c>
      <c r="AB65" s="77">
        <f t="shared" si="0"/>
        <v>20.995259999999998</v>
      </c>
      <c r="AC65" s="77">
        <f t="shared" si="1"/>
        <v>9.5677000000000003</v>
      </c>
      <c r="AD65" s="77">
        <f t="shared" si="2"/>
        <v>50.603474206647611</v>
      </c>
      <c r="AE65" s="77">
        <f t="shared" si="3"/>
        <v>31.826346707825774</v>
      </c>
      <c r="AF65" s="77">
        <f t="shared" si="4"/>
        <v>15.059100000000001</v>
      </c>
      <c r="AG65" s="77">
        <f t="shared" si="5"/>
        <v>42.356048332658297</v>
      </c>
      <c r="AH65" s="77">
        <f t="shared" si="6"/>
        <v>22.5</v>
      </c>
      <c r="AI65" s="77">
        <f t="shared" si="7"/>
        <v>17.494499999999999</v>
      </c>
      <c r="AJ65" s="77">
        <f t="shared" si="8"/>
        <v>5.0055000000000014</v>
      </c>
      <c r="AK65" s="77">
        <f t="shared" si="9"/>
        <v>3</v>
      </c>
      <c r="AL65" s="77">
        <f t="shared" si="10"/>
        <v>2.0055000000000014</v>
      </c>
      <c r="AM65" s="77">
        <f t="shared" si="11"/>
        <v>8.9133333333333393</v>
      </c>
      <c r="AN65" t="str">
        <f t="shared" si="14"/>
        <v/>
      </c>
      <c r="AO65" t="s">
        <v>1146</v>
      </c>
      <c r="AP65" t="str">
        <f t="shared" si="12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DDm125-33</v>
      </c>
    </row>
    <row r="66" spans="1:53">
      <c r="A66" s="35" t="s">
        <v>82</v>
      </c>
      <c r="B66" t="s">
        <v>1188</v>
      </c>
      <c r="C66" t="s">
        <v>1275</v>
      </c>
      <c r="D66" t="s">
        <v>1181</v>
      </c>
      <c r="E66" t="s">
        <v>851</v>
      </c>
      <c r="F66" t="s">
        <v>1140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1243</v>
      </c>
      <c r="Q66" t="s">
        <v>1168</v>
      </c>
      <c r="R66" t="s">
        <v>1247</v>
      </c>
      <c r="S66">
        <v>7.8105600000000104</v>
      </c>
      <c r="T66">
        <v>5.6850600000000098</v>
      </c>
      <c r="U66" t="s">
        <v>1144</v>
      </c>
      <c r="V66" t="s">
        <v>1243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4"/>
        <v/>
      </c>
      <c r="AO66" t="s">
        <v>1146</v>
      </c>
      <c r="AP66" t="str">
        <f t="shared" si="12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12V100F</v>
      </c>
    </row>
    <row r="67" spans="1:53">
      <c r="A67" s="35" t="s">
        <v>83</v>
      </c>
      <c r="B67" t="s">
        <v>1136</v>
      </c>
      <c r="C67" t="s">
        <v>1276</v>
      </c>
      <c r="D67" t="s">
        <v>1138</v>
      </c>
      <c r="E67" t="s">
        <v>794</v>
      </c>
      <c r="F67" t="s">
        <v>1140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1155</v>
      </c>
      <c r="Q67" t="s">
        <v>1150</v>
      </c>
      <c r="R67" t="s">
        <v>1262</v>
      </c>
      <c r="S67">
        <v>45.964799999999997</v>
      </c>
      <c r="T67">
        <v>33.974800000000002</v>
      </c>
      <c r="U67" t="s">
        <v>1144</v>
      </c>
      <c r="V67" t="s">
        <v>1277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4"/>
        <v/>
      </c>
      <c r="AO67" t="s">
        <v>1146</v>
      </c>
      <c r="AP67" t="str">
        <f t="shared" si="12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DDm85-33</v>
      </c>
    </row>
    <row r="68" spans="1:53">
      <c r="A68" s="35" t="s">
        <v>84</v>
      </c>
      <c r="B68" t="s">
        <v>1202</v>
      </c>
      <c r="C68" t="s">
        <v>1278</v>
      </c>
      <c r="D68" t="s">
        <v>1133</v>
      </c>
      <c r="E68" t="s">
        <v>872</v>
      </c>
      <c r="F68" t="s">
        <v>1140</v>
      </c>
      <c r="G68">
        <v>36.6</v>
      </c>
      <c r="H68">
        <v>11</v>
      </c>
      <c r="I68">
        <v>78</v>
      </c>
      <c r="J68">
        <v>4.2510000000000003</v>
      </c>
      <c r="K68" s="64">
        <v>45414</v>
      </c>
      <c r="L68">
        <v>15.957599999999999</v>
      </c>
      <c r="M68">
        <v>11.7066</v>
      </c>
      <c r="N68">
        <v>14.388</v>
      </c>
      <c r="O68">
        <v>10.137</v>
      </c>
      <c r="P68" t="s">
        <v>1144</v>
      </c>
      <c r="Q68" t="s">
        <v>1150</v>
      </c>
      <c r="R68" t="s">
        <v>1271</v>
      </c>
      <c r="S68">
        <v>8.7264000000000301</v>
      </c>
      <c r="T68">
        <v>4.47540000000002</v>
      </c>
      <c r="U68" t="s">
        <v>1144</v>
      </c>
      <c r="V68" t="s">
        <v>1243</v>
      </c>
      <c r="W68">
        <v>6</v>
      </c>
      <c r="X68">
        <v>1.7490000000000001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11.7066</v>
      </c>
      <c r="AC68" s="77">
        <f t="shared" si="1"/>
        <v>10.137</v>
      </c>
      <c r="AD68" s="77">
        <f t="shared" si="2"/>
        <v>73.360655737704917</v>
      </c>
      <c r="AE68" s="77">
        <f t="shared" si="3"/>
        <v>70.454545454545453</v>
      </c>
      <c r="AF68" s="77">
        <f t="shared" si="4"/>
        <v>4.47540000000002</v>
      </c>
      <c r="AG68" s="77">
        <f t="shared" si="5"/>
        <v>51.285753575357589</v>
      </c>
      <c r="AH68" s="77">
        <f t="shared" si="6"/>
        <v>6</v>
      </c>
      <c r="AI68" s="77">
        <f t="shared" si="7"/>
        <v>4.2510000000000003</v>
      </c>
      <c r="AJ68" s="77">
        <f t="shared" si="8"/>
        <v>1.7489999999999997</v>
      </c>
      <c r="AK68" s="77">
        <f t="shared" si="9"/>
        <v>0</v>
      </c>
      <c r="AL68" s="77">
        <f t="shared" si="10"/>
        <v>1.7489999999999997</v>
      </c>
      <c r="AM68" s="77">
        <f t="shared" si="11"/>
        <v>29.149999999999995</v>
      </c>
      <c r="AN68" t="str">
        <f t="shared" si="14"/>
        <v>Capped</v>
      </c>
      <c r="AO68" t="s">
        <v>1146</v>
      </c>
      <c r="AP68" t="str">
        <f t="shared" si="12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2DDm85-13</v>
      </c>
    </row>
    <row r="69" spans="1:53">
      <c r="A69" s="35" t="s">
        <v>85</v>
      </c>
      <c r="B69" t="s">
        <v>1184</v>
      </c>
      <c r="C69" t="s">
        <v>1279</v>
      </c>
      <c r="D69" t="s">
        <v>1181</v>
      </c>
      <c r="E69" t="s">
        <v>977</v>
      </c>
      <c r="F69" t="s">
        <v>1140</v>
      </c>
      <c r="G69">
        <v>36.6</v>
      </c>
      <c r="H69">
        <v>7</v>
      </c>
      <c r="I69">
        <v>41</v>
      </c>
      <c r="J69">
        <v>2.2345000000000002</v>
      </c>
      <c r="K69" s="64">
        <v>45414</v>
      </c>
      <c r="L69">
        <v>9.57456</v>
      </c>
      <c r="M69">
        <v>7.3400600000000003</v>
      </c>
      <c r="N69">
        <v>5.4827000000000004</v>
      </c>
      <c r="O69">
        <v>3.2482000000000002</v>
      </c>
      <c r="P69" t="s">
        <v>1144</v>
      </c>
      <c r="Q69" t="s">
        <v>1150</v>
      </c>
      <c r="R69" t="s">
        <v>1178</v>
      </c>
      <c r="S69">
        <v>10.1088</v>
      </c>
      <c r="T69">
        <v>7.8742999999999803</v>
      </c>
      <c r="U69" t="s">
        <v>1144</v>
      </c>
      <c r="V69" t="s">
        <v>1240</v>
      </c>
      <c r="W69">
        <v>11.25</v>
      </c>
      <c r="X69">
        <v>9.0154999999999994</v>
      </c>
      <c r="Y69">
        <v>25</v>
      </c>
      <c r="AA69">
        <f>VLOOKUP(A69,Cover!A:R,18,0)</f>
        <v>0</v>
      </c>
      <c r="AB69" s="77">
        <f t="shared" si="0"/>
        <v>7.3400600000000003</v>
      </c>
      <c r="AC69" s="77">
        <f t="shared" si="1"/>
        <v>3.2482000000000002</v>
      </c>
      <c r="AD69" s="77">
        <f t="shared" si="2"/>
        <v>76.662112932604742</v>
      </c>
      <c r="AE69" s="77">
        <f t="shared" si="3"/>
        <v>59.244532803180917</v>
      </c>
      <c r="AF69" s="77">
        <f t="shared" si="4"/>
        <v>7.8742999999999803</v>
      </c>
      <c r="AG69" s="77">
        <f t="shared" si="5"/>
        <v>77.895496992719018</v>
      </c>
      <c r="AH69" s="77">
        <f t="shared" si="6"/>
        <v>11.25</v>
      </c>
      <c r="AI69" s="77">
        <f t="shared" si="7"/>
        <v>2.2345000000000002</v>
      </c>
      <c r="AJ69" s="77">
        <f t="shared" si="8"/>
        <v>9.0154999999999994</v>
      </c>
      <c r="AK69" s="77">
        <f t="shared" si="9"/>
        <v>0</v>
      </c>
      <c r="AL69" s="77">
        <f t="shared" si="10"/>
        <v>9.0154999999999994</v>
      </c>
      <c r="AM69" s="77">
        <f t="shared" si="11"/>
        <v>80.137777777777771</v>
      </c>
      <c r="AN69" t="str">
        <f t="shared" si="14"/>
        <v/>
      </c>
      <c r="AO69" t="s">
        <v>1146</v>
      </c>
      <c r="AP69" t="str">
        <f t="shared" si="12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2DDm85-15</v>
      </c>
    </row>
    <row r="70" spans="1:53">
      <c r="A70" s="35" t="s">
        <v>86</v>
      </c>
      <c r="B70" t="s">
        <v>1159</v>
      </c>
      <c r="C70" t="s">
        <v>1159</v>
      </c>
      <c r="D70" t="s">
        <v>1199</v>
      </c>
      <c r="E70" t="s">
        <v>807</v>
      </c>
      <c r="F70" t="s">
        <v>1149</v>
      </c>
      <c r="G70">
        <v>75</v>
      </c>
      <c r="H70">
        <v>28</v>
      </c>
      <c r="I70">
        <v>780</v>
      </c>
      <c r="J70">
        <v>42.51</v>
      </c>
      <c r="K70" s="64">
        <v>45211</v>
      </c>
      <c r="L70">
        <v>88.29</v>
      </c>
      <c r="M70">
        <v>45.78</v>
      </c>
      <c r="N70">
        <v>77.662499999999994</v>
      </c>
      <c r="O70">
        <v>35.152500000000003</v>
      </c>
      <c r="P70" t="s">
        <v>1141</v>
      </c>
      <c r="Q70" t="s">
        <v>1150</v>
      </c>
      <c r="R70" t="s">
        <v>1161</v>
      </c>
      <c r="S70">
        <v>53.330399999999997</v>
      </c>
      <c r="T70">
        <v>10.820399999999999</v>
      </c>
      <c r="U70" t="s">
        <v>1173</v>
      </c>
      <c r="V70" t="s">
        <v>1280</v>
      </c>
      <c r="W70">
        <v>180</v>
      </c>
      <c r="X70">
        <v>137.49</v>
      </c>
      <c r="Y70">
        <v>18</v>
      </c>
      <c r="Z70" t="s">
        <v>8</v>
      </c>
      <c r="AA70">
        <f>VLOOKUP(A70,Cover!A:R,18,0)</f>
        <v>15.5</v>
      </c>
      <c r="AB70" s="77">
        <f t="shared" si="0"/>
        <v>30.28</v>
      </c>
      <c r="AC70" s="77">
        <f t="shared" si="1"/>
        <v>19.652500000000003</v>
      </c>
      <c r="AD70" s="77">
        <f t="shared" si="2"/>
        <v>34.296069770075889</v>
      </c>
      <c r="AE70" s="77">
        <f t="shared" si="3"/>
        <v>25.305005633349435</v>
      </c>
      <c r="AF70" s="77">
        <f t="shared" si="4"/>
        <v>-4.6796000000000006</v>
      </c>
      <c r="AG70" s="77">
        <f t="shared" si="5"/>
        <v>-8.774732610293567</v>
      </c>
      <c r="AH70" s="368">
        <f>AVERAGE(W70:W71)</f>
        <v>180</v>
      </c>
      <c r="AI70" s="368">
        <f>SUM(J70:J71)</f>
        <v>142.245</v>
      </c>
      <c r="AJ70" s="368">
        <f t="shared" si="8"/>
        <v>37.754999999999995</v>
      </c>
      <c r="AK70" s="368">
        <f>SUM(AA70:AA71)</f>
        <v>17</v>
      </c>
      <c r="AL70" s="368">
        <f t="shared" si="10"/>
        <v>20.754999999999995</v>
      </c>
      <c r="AM70" s="369">
        <f t="shared" si="11"/>
        <v>11.530555555555553</v>
      </c>
      <c r="AN70" t="str">
        <f t="shared" si="14"/>
        <v>Capped</v>
      </c>
      <c r="AO70" t="s">
        <v>1146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t="s">
        <v>1159</v>
      </c>
      <c r="C71" t="s">
        <v>1159</v>
      </c>
      <c r="D71" t="s">
        <v>1199</v>
      </c>
      <c r="E71" t="s">
        <v>807</v>
      </c>
      <c r="F71" t="s">
        <v>1193</v>
      </c>
      <c r="G71">
        <v>55</v>
      </c>
      <c r="H71">
        <v>54</v>
      </c>
      <c r="I71">
        <v>1830</v>
      </c>
      <c r="J71">
        <v>99.734999999999999</v>
      </c>
      <c r="K71" s="64">
        <v>45211</v>
      </c>
      <c r="L71">
        <v>127.09399999999999</v>
      </c>
      <c r="M71">
        <v>27.359000000000002</v>
      </c>
      <c r="N71">
        <v>93.467500000000001</v>
      </c>
      <c r="O71">
        <v>-6.2675000000000001</v>
      </c>
      <c r="P71" t="s">
        <v>1186</v>
      </c>
      <c r="Q71" t="s">
        <v>1150</v>
      </c>
      <c r="R71" t="s">
        <v>1161</v>
      </c>
      <c r="S71">
        <v>106.66079999999999</v>
      </c>
      <c r="T71">
        <v>6.9258000000000797</v>
      </c>
      <c r="U71" t="s">
        <v>1173</v>
      </c>
      <c r="V71" t="s">
        <v>1280</v>
      </c>
      <c r="W71">
        <v>180</v>
      </c>
      <c r="X71">
        <v>80.265000000000001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25.859000000000002</v>
      </c>
      <c r="AC71" s="77">
        <f t="shared" si="1"/>
        <v>-7.7675000000000001</v>
      </c>
      <c r="AD71" s="77">
        <f t="shared" si="2"/>
        <v>20.346357813901523</v>
      </c>
      <c r="AE71" s="77">
        <f t="shared" si="3"/>
        <v>-8.3103752641292434</v>
      </c>
      <c r="AF71" s="77">
        <f t="shared" si="4"/>
        <v>5.4258000000000797</v>
      </c>
      <c r="AG71" s="77">
        <f t="shared" si="5"/>
        <v>5.0869672832006509</v>
      </c>
      <c r="AH71" s="368"/>
      <c r="AI71" s="368"/>
      <c r="AJ71" s="368"/>
      <c r="AK71" s="368"/>
      <c r="AL71" s="368"/>
      <c r="AM71" s="369"/>
      <c r="AN71" t="str">
        <f t="shared" si="14"/>
        <v>Capped</v>
      </c>
      <c r="AO71" t="s">
        <v>1146</v>
      </c>
      <c r="AP71" t="str">
        <f t="shared" si="12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3"/>
        <v>DDm125-33</v>
      </c>
    </row>
    <row r="72" spans="1:53">
      <c r="A72" s="35" t="s">
        <v>88</v>
      </c>
      <c r="B72" t="s">
        <v>1159</v>
      </c>
      <c r="C72" t="s">
        <v>1159</v>
      </c>
      <c r="D72" t="s">
        <v>1181</v>
      </c>
      <c r="E72" t="s">
        <v>809</v>
      </c>
      <c r="F72" t="s">
        <v>1140</v>
      </c>
      <c r="G72">
        <v>36.6</v>
      </c>
      <c r="H72">
        <v>39</v>
      </c>
      <c r="I72">
        <v>293</v>
      </c>
      <c r="J72">
        <v>15.968500000000001</v>
      </c>
      <c r="K72" s="64">
        <v>44804</v>
      </c>
      <c r="L72">
        <v>60.63888</v>
      </c>
      <c r="M72">
        <v>44.670380000000002</v>
      </c>
      <c r="N72">
        <v>43.098599999999998</v>
      </c>
      <c r="O72">
        <v>27.130099999999999</v>
      </c>
      <c r="P72" t="s">
        <v>1141</v>
      </c>
      <c r="Q72" t="s">
        <v>1150</v>
      </c>
      <c r="R72" t="s">
        <v>1161</v>
      </c>
      <c r="S72">
        <v>53.330399999999997</v>
      </c>
      <c r="T72">
        <v>37.361899999999999</v>
      </c>
      <c r="U72" t="s">
        <v>1186</v>
      </c>
      <c r="V72" t="s">
        <v>1281</v>
      </c>
      <c r="W72">
        <v>196.5</v>
      </c>
      <c r="X72">
        <v>180.53149999999999</v>
      </c>
      <c r="Y72">
        <v>65</v>
      </c>
      <c r="AA72">
        <f>VLOOKUP(A72,Cover!A:R,18,0)</f>
        <v>7.8000000000000007</v>
      </c>
      <c r="AB72" s="77">
        <f t="shared" si="0"/>
        <v>36.870379999999997</v>
      </c>
      <c r="AC72" s="77">
        <f t="shared" si="1"/>
        <v>19.330099999999998</v>
      </c>
      <c r="AD72" s="77">
        <f t="shared" si="2"/>
        <v>60.803200850675346</v>
      </c>
      <c r="AE72" s="77">
        <f t="shared" si="3"/>
        <v>44.850876826625459</v>
      </c>
      <c r="AF72" s="77">
        <f t="shared" si="4"/>
        <v>29.561899999999998</v>
      </c>
      <c r="AG72" s="77">
        <f t="shared" si="5"/>
        <v>55.431611238618117</v>
      </c>
      <c r="AH72" s="368">
        <f>AVERAGE(W72:W73)</f>
        <v>196.5</v>
      </c>
      <c r="AI72" s="368">
        <f>SUM(J72:J73)</f>
        <v>31.392000000000003</v>
      </c>
      <c r="AJ72" s="368">
        <f t="shared" si="8"/>
        <v>165.108</v>
      </c>
      <c r="AK72" s="368">
        <f>SUM(AA72:AA73)</f>
        <v>16.200000000000003</v>
      </c>
      <c r="AL72" s="368">
        <f t="shared" si="10"/>
        <v>148.90800000000002</v>
      </c>
      <c r="AM72" s="369">
        <f t="shared" si="11"/>
        <v>75.780152671755729</v>
      </c>
      <c r="AN72" t="str">
        <f t="shared" si="14"/>
        <v/>
      </c>
      <c r="AO72" t="s">
        <v>1201</v>
      </c>
      <c r="AP72" t="str">
        <f t="shared" si="12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3"/>
        <v>DDm125-33</v>
      </c>
    </row>
    <row r="73" spans="1:53">
      <c r="A73" s="35" t="s">
        <v>89</v>
      </c>
      <c r="B73" t="s">
        <v>1159</v>
      </c>
      <c r="C73" t="s">
        <v>1159</v>
      </c>
      <c r="D73" t="s">
        <v>1181</v>
      </c>
      <c r="E73" t="s">
        <v>809</v>
      </c>
      <c r="F73" t="s">
        <v>1140</v>
      </c>
      <c r="G73">
        <v>36.6</v>
      </c>
      <c r="H73">
        <v>39</v>
      </c>
      <c r="I73">
        <v>283</v>
      </c>
      <c r="J73">
        <v>15.423500000000001</v>
      </c>
      <c r="K73" s="64">
        <v>44979</v>
      </c>
      <c r="L73">
        <v>60.63888</v>
      </c>
      <c r="M73">
        <v>45.215380000000003</v>
      </c>
      <c r="N73">
        <v>43.098599999999998</v>
      </c>
      <c r="O73">
        <v>27.6751</v>
      </c>
      <c r="P73" t="s">
        <v>1141</v>
      </c>
      <c r="Q73" t="s">
        <v>1150</v>
      </c>
      <c r="R73" t="s">
        <v>1161</v>
      </c>
      <c r="S73">
        <v>53.330399999999997</v>
      </c>
      <c r="T73">
        <v>37.9069</v>
      </c>
      <c r="U73" t="s">
        <v>1186</v>
      </c>
      <c r="V73" t="s">
        <v>1281</v>
      </c>
      <c r="W73">
        <v>196.5</v>
      </c>
      <c r="X73">
        <v>181.07650000000001</v>
      </c>
      <c r="Y73">
        <v>65</v>
      </c>
      <c r="AA73">
        <f>VLOOKUP(A73,Cover!A:R,18,0)</f>
        <v>8.4</v>
      </c>
      <c r="AB73" s="77">
        <f t="shared" ref="AB73" si="58">M73-AA73</f>
        <v>36.815380000000005</v>
      </c>
      <c r="AC73" s="77">
        <f t="shared" ref="AC73" si="59">O73-AA73</f>
        <v>19.275100000000002</v>
      </c>
      <c r="AD73" s="77">
        <f t="shared" ref="AD73" si="60">AB73/L73%</f>
        <v>60.712499967017877</v>
      </c>
      <c r="AE73" s="77">
        <f t="shared" ref="AE73" si="61">AC73/N73%</f>
        <v>44.723262472562922</v>
      </c>
      <c r="AF73" s="77">
        <f t="shared" ref="AF73" si="62">T73-AA73</f>
        <v>29.506900000000002</v>
      </c>
      <c r="AG73" s="77">
        <f t="shared" ref="AG73" si="63">AF73/S73%</f>
        <v>55.328480566431153</v>
      </c>
      <c r="AH73" s="368"/>
      <c r="AI73" s="368"/>
      <c r="AJ73" s="368"/>
      <c r="AK73" s="368"/>
      <c r="AL73" s="368"/>
      <c r="AM73" s="369"/>
      <c r="AN73" t="str">
        <f t="shared" ref="AN73:AN136" si="64">IF(ISBLANK(Z73),"","Capped")</f>
        <v/>
      </c>
      <c r="AO73" t="s">
        <v>1201</v>
      </c>
      <c r="AP73" t="str">
        <f t="shared" si="12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3"/>
        <v>DDm125-33</v>
      </c>
    </row>
    <row r="74" spans="1:53">
      <c r="A74" s="35" t="s">
        <v>90</v>
      </c>
      <c r="B74" t="s">
        <v>1184</v>
      </c>
      <c r="C74" t="s">
        <v>1282</v>
      </c>
      <c r="D74" t="s">
        <v>1138</v>
      </c>
      <c r="E74" t="s">
        <v>981</v>
      </c>
      <c r="F74" t="s">
        <v>1140</v>
      </c>
      <c r="G74">
        <v>36.6</v>
      </c>
      <c r="H74">
        <v>18</v>
      </c>
      <c r="I74">
        <v>35</v>
      </c>
      <c r="J74">
        <v>1.9075</v>
      </c>
      <c r="K74" s="64">
        <v>45414</v>
      </c>
      <c r="L74">
        <v>27.12792</v>
      </c>
      <c r="M74">
        <v>25.220420000000001</v>
      </c>
      <c r="N74">
        <v>22.791899999999998</v>
      </c>
      <c r="O74">
        <v>20.884399999999999</v>
      </c>
      <c r="P74" t="s">
        <v>1144</v>
      </c>
      <c r="Q74" t="s">
        <v>1150</v>
      </c>
      <c r="R74" t="s">
        <v>1151</v>
      </c>
      <c r="S74">
        <v>17.409600000000001</v>
      </c>
      <c r="T74">
        <v>15.5021</v>
      </c>
      <c r="U74" t="s">
        <v>1186</v>
      </c>
      <c r="V74" t="s">
        <v>1179</v>
      </c>
      <c r="W74">
        <v>112.5</v>
      </c>
      <c r="X74">
        <v>110.5925</v>
      </c>
      <c r="Y74">
        <v>24</v>
      </c>
      <c r="AA74">
        <f>VLOOKUP(A74,Cover!A:R,18,0)</f>
        <v>6.9</v>
      </c>
      <c r="AB74" s="77">
        <f t="shared" si="0"/>
        <v>18.320419999999999</v>
      </c>
      <c r="AC74" s="77">
        <f t="shared" si="1"/>
        <v>13.984399999999999</v>
      </c>
      <c r="AD74" s="77">
        <f t="shared" si="2"/>
        <v>67.533448933792187</v>
      </c>
      <c r="AE74" s="77">
        <f t="shared" si="3"/>
        <v>61.35688556022096</v>
      </c>
      <c r="AF74" s="77">
        <f t="shared" si="4"/>
        <v>8.6021000000000001</v>
      </c>
      <c r="AG74" s="77">
        <f t="shared" si="5"/>
        <v>49.41009557945042</v>
      </c>
      <c r="AH74" s="77">
        <f t="shared" si="6"/>
        <v>112.5</v>
      </c>
      <c r="AI74" s="77">
        <f t="shared" si="7"/>
        <v>1.9075</v>
      </c>
      <c r="AJ74" s="77">
        <f t="shared" si="8"/>
        <v>110.5925</v>
      </c>
      <c r="AK74" s="77">
        <f t="shared" si="9"/>
        <v>6.9</v>
      </c>
      <c r="AL74" s="77">
        <f t="shared" si="10"/>
        <v>103.6925</v>
      </c>
      <c r="AM74" s="77">
        <f t="shared" si="11"/>
        <v>92.171111111111102</v>
      </c>
      <c r="AN74" t="str">
        <f t="shared" si="64"/>
        <v/>
      </c>
      <c r="AO74" t="s">
        <v>1201</v>
      </c>
      <c r="AP74" t="str">
        <f t="shared" si="12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3"/>
        <v>DDm85-25</v>
      </c>
    </row>
    <row r="75" spans="1:53">
      <c r="A75" s="35" t="s">
        <v>91</v>
      </c>
      <c r="B75" t="s">
        <v>1184</v>
      </c>
      <c r="C75" t="s">
        <v>1282</v>
      </c>
      <c r="D75" t="s">
        <v>1138</v>
      </c>
      <c r="E75" t="s">
        <v>981</v>
      </c>
      <c r="F75" t="s">
        <v>1140</v>
      </c>
      <c r="G75">
        <v>36.6</v>
      </c>
      <c r="H75">
        <v>18</v>
      </c>
      <c r="I75">
        <v>54</v>
      </c>
      <c r="J75">
        <v>2.9430000000000001</v>
      </c>
      <c r="K75" s="64">
        <v>45414</v>
      </c>
      <c r="L75">
        <v>27.12792</v>
      </c>
      <c r="M75">
        <v>24.184920000000002</v>
      </c>
      <c r="N75">
        <v>22.791899999999998</v>
      </c>
      <c r="O75">
        <v>19.8489</v>
      </c>
      <c r="P75" t="s">
        <v>1144</v>
      </c>
      <c r="Q75" t="s">
        <v>1150</v>
      </c>
      <c r="R75" t="s">
        <v>1151</v>
      </c>
      <c r="S75">
        <v>17.409600000000001</v>
      </c>
      <c r="T75">
        <v>14.4666</v>
      </c>
      <c r="U75" t="s">
        <v>1186</v>
      </c>
      <c r="V75" t="s">
        <v>1179</v>
      </c>
      <c r="W75">
        <v>112.5</v>
      </c>
      <c r="X75">
        <v>109.557</v>
      </c>
      <c r="Y75">
        <v>24</v>
      </c>
      <c r="AA75">
        <f>VLOOKUP(A75,Cover!A:R,18,0)</f>
        <v>6.8</v>
      </c>
      <c r="AB75" s="77">
        <f t="shared" si="0"/>
        <v>17.384920000000001</v>
      </c>
      <c r="AC75" s="77">
        <f t="shared" si="1"/>
        <v>13.0489</v>
      </c>
      <c r="AD75" s="77">
        <f t="shared" si="2"/>
        <v>64.084972235246937</v>
      </c>
      <c r="AE75" s="77">
        <f t="shared" si="3"/>
        <v>57.252357197074403</v>
      </c>
      <c r="AF75" s="77">
        <f t="shared" si="4"/>
        <v>7.6665999999999999</v>
      </c>
      <c r="AG75" s="77">
        <f t="shared" si="5"/>
        <v>44.036623472107344</v>
      </c>
      <c r="AH75" s="77">
        <f t="shared" si="6"/>
        <v>112.5</v>
      </c>
      <c r="AI75" s="77">
        <f t="shared" si="7"/>
        <v>2.9430000000000001</v>
      </c>
      <c r="AJ75" s="77">
        <f t="shared" si="8"/>
        <v>109.557</v>
      </c>
      <c r="AK75" s="77">
        <f t="shared" si="9"/>
        <v>6.8</v>
      </c>
      <c r="AL75" s="77">
        <f t="shared" si="10"/>
        <v>102.75700000000001</v>
      </c>
      <c r="AM75" s="77">
        <f t="shared" si="11"/>
        <v>91.339555555555563</v>
      </c>
      <c r="AN75" t="str">
        <f t="shared" si="64"/>
        <v/>
      </c>
      <c r="AO75" t="s">
        <v>1201</v>
      </c>
      <c r="AP75" t="str">
        <f t="shared" ref="AP75:AP142" si="65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6">IFERROR(LEFT(R75,FIND("(",R75,1)-1),R75)</f>
        <v>DDm85-25</v>
      </c>
    </row>
    <row r="76" spans="1:53">
      <c r="A76" s="35" t="s">
        <v>92</v>
      </c>
      <c r="B76" t="s">
        <v>1188</v>
      </c>
      <c r="C76" t="s">
        <v>1283</v>
      </c>
      <c r="D76" t="s">
        <v>1138</v>
      </c>
      <c r="E76" t="s">
        <v>853</v>
      </c>
      <c r="F76" t="s">
        <v>1232</v>
      </c>
      <c r="G76">
        <v>55</v>
      </c>
      <c r="H76">
        <v>23</v>
      </c>
      <c r="I76">
        <v>296</v>
      </c>
      <c r="J76">
        <v>16.132000000000001</v>
      </c>
      <c r="K76" s="64">
        <v>45223</v>
      </c>
      <c r="L76">
        <v>52.756</v>
      </c>
      <c r="M76">
        <v>36.624000000000002</v>
      </c>
      <c r="N76">
        <v>33.244999999999997</v>
      </c>
      <c r="O76">
        <v>17.113</v>
      </c>
      <c r="P76" t="s">
        <v>1141</v>
      </c>
      <c r="Q76" t="s">
        <v>1150</v>
      </c>
      <c r="R76" t="s">
        <v>1161</v>
      </c>
      <c r="S76">
        <v>53.330399999999997</v>
      </c>
      <c r="T76">
        <v>37.198399999999999</v>
      </c>
      <c r="U76" t="s">
        <v>1162</v>
      </c>
      <c r="V76" t="s">
        <v>1220</v>
      </c>
      <c r="W76">
        <v>90</v>
      </c>
      <c r="X76">
        <v>73.867999999999995</v>
      </c>
      <c r="Y76">
        <v>17</v>
      </c>
      <c r="AA76">
        <f>VLOOKUP(A76,Cover!A:R,18,0)</f>
        <v>9.35</v>
      </c>
      <c r="AB76" s="77">
        <f t="shared" si="0"/>
        <v>27.274000000000001</v>
      </c>
      <c r="AC76" s="77">
        <f t="shared" si="1"/>
        <v>7.7629999999999999</v>
      </c>
      <c r="AD76" s="77">
        <f t="shared" si="2"/>
        <v>51.698385017817877</v>
      </c>
      <c r="AE76" s="77">
        <f t="shared" si="3"/>
        <v>23.35087983155362</v>
      </c>
      <c r="AF76" s="77">
        <f t="shared" si="4"/>
        <v>27.848399999999998</v>
      </c>
      <c r="AG76" s="77">
        <f t="shared" si="5"/>
        <v>52.218622024211328</v>
      </c>
      <c r="AH76" s="369">
        <f>AVERAGE(W76:W77)</f>
        <v>90</v>
      </c>
      <c r="AI76" s="369">
        <f>SUM(J76:J77)</f>
        <v>32.481999999999999</v>
      </c>
      <c r="AJ76" s="369">
        <f t="shared" si="8"/>
        <v>57.518000000000001</v>
      </c>
      <c r="AK76" s="369">
        <f>SUM(AA76:AA77)</f>
        <v>18.7</v>
      </c>
      <c r="AL76" s="369">
        <f t="shared" si="10"/>
        <v>38.817999999999998</v>
      </c>
      <c r="AM76" s="369">
        <f t="shared" si="11"/>
        <v>43.13111111111111</v>
      </c>
      <c r="AN76" t="str">
        <f t="shared" si="64"/>
        <v/>
      </c>
      <c r="AO76" t="s">
        <v>1201</v>
      </c>
      <c r="AP76" t="str">
        <f t="shared" si="65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6"/>
        <v>DDm125-33</v>
      </c>
    </row>
    <row r="77" spans="1:53">
      <c r="A77" s="35" t="s">
        <v>93</v>
      </c>
      <c r="B77" t="s">
        <v>1188</v>
      </c>
      <c r="C77" t="s">
        <v>1283</v>
      </c>
      <c r="D77" t="s">
        <v>1138</v>
      </c>
      <c r="E77" t="s">
        <v>853</v>
      </c>
      <c r="F77" t="s">
        <v>1232</v>
      </c>
      <c r="G77">
        <v>55</v>
      </c>
      <c r="H77">
        <v>23</v>
      </c>
      <c r="I77">
        <v>300</v>
      </c>
      <c r="J77">
        <v>16.350000000000001</v>
      </c>
      <c r="K77" s="64">
        <v>45223</v>
      </c>
      <c r="L77">
        <v>52.756</v>
      </c>
      <c r="M77">
        <v>36.405999999999999</v>
      </c>
      <c r="N77">
        <v>33.244999999999997</v>
      </c>
      <c r="O77">
        <v>16.895</v>
      </c>
      <c r="P77" t="s">
        <v>1141</v>
      </c>
      <c r="Q77" t="s">
        <v>1150</v>
      </c>
      <c r="R77" t="s">
        <v>1161</v>
      </c>
      <c r="S77">
        <v>53.330399999999997</v>
      </c>
      <c r="T77">
        <v>36.980400000000003</v>
      </c>
      <c r="U77" t="s">
        <v>1162</v>
      </c>
      <c r="V77" t="s">
        <v>1220</v>
      </c>
      <c r="W77">
        <v>90</v>
      </c>
      <c r="X77">
        <v>73.650000000000006</v>
      </c>
      <c r="Y77">
        <v>17</v>
      </c>
      <c r="AA77">
        <f>VLOOKUP(A77,Cover!A:R,18,0)</f>
        <v>9.35</v>
      </c>
      <c r="AB77" s="77">
        <f t="shared" ref="AB77" si="67">M77-AA77</f>
        <v>27.055999999999997</v>
      </c>
      <c r="AC77" s="77">
        <f t="shared" ref="AC77" si="68">O77-AA77</f>
        <v>7.5449999999999999</v>
      </c>
      <c r="AD77" s="77">
        <f t="shared" ref="AD77" si="69">AB77/L77%</f>
        <v>51.285161877322004</v>
      </c>
      <c r="AE77" s="77">
        <f t="shared" ref="AE77" si="70">AC77/N77%</f>
        <v>22.695142126635588</v>
      </c>
      <c r="AF77" s="77">
        <f t="shared" ref="AF77" si="71">T77-AA77</f>
        <v>27.630400000000002</v>
      </c>
      <c r="AG77" s="77">
        <f t="shared" ref="AG77" si="72">AF77/S77%</f>
        <v>51.809849541724795</v>
      </c>
      <c r="AH77" s="369"/>
      <c r="AI77" s="369"/>
      <c r="AJ77" s="369"/>
      <c r="AK77" s="369"/>
      <c r="AL77" s="369"/>
      <c r="AM77" s="369"/>
      <c r="AN77" t="str">
        <f t="shared" si="64"/>
        <v/>
      </c>
      <c r="AO77" t="s">
        <v>1201</v>
      </c>
      <c r="AP77" t="str">
        <f t="shared" ref="AP77" si="73">TRIM(BA77)</f>
        <v>DDm125-33</v>
      </c>
      <c r="BA77" t="str">
        <f t="shared" si="66"/>
        <v>DDm125-33</v>
      </c>
    </row>
    <row r="78" spans="1:53">
      <c r="A78" s="35" t="s">
        <v>94</v>
      </c>
      <c r="B78" t="s">
        <v>1176</v>
      </c>
      <c r="C78" t="s">
        <v>1284</v>
      </c>
      <c r="D78" t="s">
        <v>1181</v>
      </c>
      <c r="E78" t="s">
        <v>1285</v>
      </c>
      <c r="F78" t="s">
        <v>1286</v>
      </c>
      <c r="G78">
        <v>37.5</v>
      </c>
      <c r="H78">
        <v>8</v>
      </c>
      <c r="I78">
        <v>64</v>
      </c>
      <c r="J78">
        <v>3.488</v>
      </c>
      <c r="K78" s="64">
        <v>45414</v>
      </c>
      <c r="L78">
        <v>11.445</v>
      </c>
      <c r="M78">
        <v>7.9569999999999999</v>
      </c>
      <c r="N78">
        <v>9.5647500000000001</v>
      </c>
      <c r="O78">
        <v>6.0767499999999997</v>
      </c>
      <c r="P78" t="s">
        <v>1145</v>
      </c>
      <c r="Q78" t="s">
        <v>1168</v>
      </c>
      <c r="R78" t="s">
        <v>1287</v>
      </c>
      <c r="S78">
        <v>8.9639999999999702</v>
      </c>
      <c r="T78">
        <v>5.4759999999999698</v>
      </c>
      <c r="U78" t="s">
        <v>1144</v>
      </c>
      <c r="V78" t="s">
        <v>1288</v>
      </c>
      <c r="W78">
        <v>10.5</v>
      </c>
      <c r="X78">
        <v>7.0119999999999996</v>
      </c>
      <c r="Y78">
        <v>7</v>
      </c>
      <c r="AA78">
        <f>VLOOKUP(A78,Cover!A:R,18,0)</f>
        <v>0</v>
      </c>
      <c r="AB78" s="77">
        <f t="shared" ref="AB78:AB144" si="74">M78-AA78</f>
        <v>7.9569999999999999</v>
      </c>
      <c r="AC78" s="77">
        <f t="shared" ref="AC78:AC144" si="75">O78-AA78</f>
        <v>6.0767499999999997</v>
      </c>
      <c r="AD78" s="77">
        <f t="shared" ref="AD78:AD144" si="76">AB78/L78%</f>
        <v>69.523809523809518</v>
      </c>
      <c r="AE78" s="77">
        <f t="shared" ref="AE78:AE144" si="77">AC78/N78%</f>
        <v>63.532763532763532</v>
      </c>
      <c r="AF78" s="77">
        <f t="shared" ref="AF78:AF144" si="78">T78-AA78</f>
        <v>5.4759999999999698</v>
      </c>
      <c r="AG78" s="77">
        <f t="shared" ref="AG78:AG144" si="79">AF78/S78%</f>
        <v>61.088799643016372</v>
      </c>
      <c r="AH78" s="77">
        <f t="shared" ref="AH78:AH139" si="80">W78</f>
        <v>10.5</v>
      </c>
      <c r="AI78" s="77">
        <f t="shared" ref="AI78:AI140" si="81">J78</f>
        <v>3.488</v>
      </c>
      <c r="AJ78" s="77">
        <f t="shared" ref="AJ78:AJ143" si="82">AH78-AI78</f>
        <v>7.0120000000000005</v>
      </c>
      <c r="AK78" s="77">
        <f t="shared" ref="AK78:AK140" si="83">AA78</f>
        <v>0</v>
      </c>
      <c r="AL78" s="77">
        <f t="shared" ref="AL78:AL143" si="84">AJ78-AK78</f>
        <v>7.0120000000000005</v>
      </c>
      <c r="AM78" s="77">
        <f t="shared" ref="AM78:AM143" si="85">AL78/AH78%</f>
        <v>66.780952380952385</v>
      </c>
      <c r="AN78" t="str">
        <f t="shared" si="64"/>
        <v/>
      </c>
      <c r="AO78" t="s">
        <v>1146</v>
      </c>
      <c r="AP78" t="str">
        <f t="shared" si="65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6"/>
        <v>12V105F</v>
      </c>
    </row>
    <row r="79" spans="1:53">
      <c r="A79" s="35" t="s">
        <v>95</v>
      </c>
      <c r="B79" t="s">
        <v>1222</v>
      </c>
      <c r="C79" t="s">
        <v>1289</v>
      </c>
      <c r="D79" t="s">
        <v>1181</v>
      </c>
      <c r="E79" t="s">
        <v>897</v>
      </c>
      <c r="F79" t="s">
        <v>1140</v>
      </c>
      <c r="G79">
        <v>36.6</v>
      </c>
      <c r="H79">
        <v>9</v>
      </c>
      <c r="I79">
        <v>123</v>
      </c>
      <c r="J79">
        <v>6.7035</v>
      </c>
      <c r="K79" s="64">
        <v>45414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1144</v>
      </c>
      <c r="Q79" t="s">
        <v>1150</v>
      </c>
      <c r="R79" t="s">
        <v>1178</v>
      </c>
      <c r="S79">
        <v>10.1088</v>
      </c>
      <c r="T79">
        <v>3.40529999999998</v>
      </c>
      <c r="U79" t="s">
        <v>1141</v>
      </c>
      <c r="V79" t="s">
        <v>1290</v>
      </c>
      <c r="W79">
        <v>30</v>
      </c>
      <c r="X79">
        <v>23.296500000000002</v>
      </c>
      <c r="Y79">
        <v>8</v>
      </c>
      <c r="AA79">
        <f>VLOOKUP(A79,Cover!A:R,18,0)</f>
        <v>1</v>
      </c>
      <c r="AB79" s="77">
        <f t="shared" si="74"/>
        <v>5.0625799999999996</v>
      </c>
      <c r="AC79" s="77">
        <f t="shared" si="75"/>
        <v>1.7686000000000002</v>
      </c>
      <c r="AD79" s="77">
        <f t="shared" si="76"/>
        <v>39.6564959643054</v>
      </c>
      <c r="AE79" s="77">
        <f t="shared" si="77"/>
        <v>18.671677875022436</v>
      </c>
      <c r="AF79" s="77">
        <f t="shared" si="78"/>
        <v>2.40529999999998</v>
      </c>
      <c r="AG79" s="77">
        <f t="shared" si="79"/>
        <v>23.794119974675329</v>
      </c>
      <c r="AH79" s="77">
        <f t="shared" si="80"/>
        <v>30</v>
      </c>
      <c r="AI79" s="77">
        <f t="shared" si="81"/>
        <v>6.7035</v>
      </c>
      <c r="AJ79" s="77">
        <f t="shared" si="82"/>
        <v>23.296500000000002</v>
      </c>
      <c r="AK79" s="77">
        <f t="shared" si="83"/>
        <v>1</v>
      </c>
      <c r="AL79" s="77">
        <f t="shared" si="84"/>
        <v>22.296500000000002</v>
      </c>
      <c r="AM79" s="77">
        <f t="shared" si="85"/>
        <v>74.321666666666673</v>
      </c>
      <c r="AN79" t="str">
        <f t="shared" si="64"/>
        <v/>
      </c>
      <c r="AO79" t="s">
        <v>1146</v>
      </c>
      <c r="AP79" t="str">
        <f t="shared" si="65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6"/>
        <v>2DDm85-15</v>
      </c>
    </row>
    <row r="80" spans="1:53">
      <c r="A80" s="35" t="s">
        <v>96</v>
      </c>
      <c r="B80" t="s">
        <v>1184</v>
      </c>
      <c r="C80" t="s">
        <v>1291</v>
      </c>
      <c r="D80" t="s">
        <v>1138</v>
      </c>
      <c r="E80" t="s">
        <v>978</v>
      </c>
      <c r="F80" t="s">
        <v>1140</v>
      </c>
      <c r="G80">
        <v>36.6</v>
      </c>
      <c r="H80">
        <v>17</v>
      </c>
      <c r="I80">
        <v>65</v>
      </c>
      <c r="J80">
        <v>3.5425</v>
      </c>
      <c r="K80" s="64">
        <v>45414</v>
      </c>
      <c r="L80">
        <v>25.532160000000001</v>
      </c>
      <c r="M80">
        <v>21.989660000000001</v>
      </c>
      <c r="N80">
        <v>20.7972</v>
      </c>
      <c r="O80">
        <v>17.2547</v>
      </c>
      <c r="P80" t="s">
        <v>1144</v>
      </c>
      <c r="Q80" t="s">
        <v>1150</v>
      </c>
      <c r="R80" t="s">
        <v>1151</v>
      </c>
      <c r="S80">
        <v>17.409600000000001</v>
      </c>
      <c r="T80">
        <v>13.867100000000001</v>
      </c>
      <c r="U80" t="s">
        <v>1155</v>
      </c>
      <c r="V80" t="s">
        <v>1292</v>
      </c>
      <c r="W80">
        <v>49.5</v>
      </c>
      <c r="X80">
        <v>45.957500000000003</v>
      </c>
      <c r="Y80">
        <v>20</v>
      </c>
      <c r="AA80">
        <f>VLOOKUP(A80,Cover!A:R,18,0)</f>
        <v>6.8</v>
      </c>
      <c r="AB80" s="77">
        <f t="shared" si="74"/>
        <v>15.18966</v>
      </c>
      <c r="AC80" s="77">
        <f t="shared" si="75"/>
        <v>10.454699999999999</v>
      </c>
      <c r="AD80" s="77">
        <f t="shared" si="76"/>
        <v>59.492263874266797</v>
      </c>
      <c r="AE80" s="77">
        <f t="shared" si="77"/>
        <v>50.269747850672204</v>
      </c>
      <c r="AF80" s="77">
        <f t="shared" si="78"/>
        <v>7.0671000000000008</v>
      </c>
      <c r="AG80" s="77">
        <f t="shared" si="79"/>
        <v>40.59312103666943</v>
      </c>
      <c r="AH80" s="368">
        <f>AVERAGE(W80:W81)</f>
        <v>49.5</v>
      </c>
      <c r="AI80" s="368">
        <f>SUM(J80:J81)</f>
        <v>4.7960000000000003</v>
      </c>
      <c r="AJ80" s="368">
        <f>AH80-AI80</f>
        <v>44.704000000000001</v>
      </c>
      <c r="AK80" s="368">
        <f>SUM(AA80:AA81)</f>
        <v>13.7</v>
      </c>
      <c r="AL80" s="368">
        <f t="shared" si="84"/>
        <v>31.004000000000001</v>
      </c>
      <c r="AM80" s="369">
        <f t="shared" si="85"/>
        <v>62.634343434343435</v>
      </c>
      <c r="AN80" t="str">
        <f t="shared" si="64"/>
        <v/>
      </c>
      <c r="AO80" t="s">
        <v>1201</v>
      </c>
      <c r="AP80" t="str">
        <f t="shared" si="65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6"/>
        <v>DDm85-25</v>
      </c>
    </row>
    <row r="81" spans="1:53">
      <c r="A81" s="35" t="s">
        <v>97</v>
      </c>
      <c r="B81" t="s">
        <v>1184</v>
      </c>
      <c r="C81" t="s">
        <v>1291</v>
      </c>
      <c r="D81" t="s">
        <v>1138</v>
      </c>
      <c r="E81" t="s">
        <v>978</v>
      </c>
      <c r="F81" t="s">
        <v>1140</v>
      </c>
      <c r="G81">
        <v>36.6</v>
      </c>
      <c r="H81">
        <v>17</v>
      </c>
      <c r="I81">
        <v>23</v>
      </c>
      <c r="J81">
        <v>1.2535000000000001</v>
      </c>
      <c r="K81" s="64">
        <v>45414</v>
      </c>
      <c r="L81">
        <v>25.532160000000001</v>
      </c>
      <c r="M81">
        <v>24.278659999999999</v>
      </c>
      <c r="N81">
        <v>20.7972</v>
      </c>
      <c r="O81">
        <v>19.543700000000001</v>
      </c>
      <c r="P81" t="s">
        <v>1144</v>
      </c>
      <c r="Q81" t="s">
        <v>1150</v>
      </c>
      <c r="R81" t="s">
        <v>1151</v>
      </c>
      <c r="S81">
        <v>17.409600000000001</v>
      </c>
      <c r="T81">
        <v>16.156099999999999</v>
      </c>
      <c r="U81" t="s">
        <v>1155</v>
      </c>
      <c r="V81" t="s">
        <v>1292</v>
      </c>
      <c r="W81">
        <v>49.5</v>
      </c>
      <c r="X81">
        <v>48.246499999999997</v>
      </c>
      <c r="Y81">
        <v>20</v>
      </c>
      <c r="AA81">
        <f>VLOOKUP(A81,Cover!A:R,18,0)</f>
        <v>6.9</v>
      </c>
      <c r="AB81" s="77">
        <f t="shared" si="74"/>
        <v>17.378659999999996</v>
      </c>
      <c r="AC81" s="77">
        <f t="shared" si="75"/>
        <v>12.643700000000001</v>
      </c>
      <c r="AD81" s="77">
        <f t="shared" ref="AD81" si="86">AB81/L81%</f>
        <v>68.065764901990249</v>
      </c>
      <c r="AE81" s="77">
        <f t="shared" ref="AE81" si="87">AC81/N81%</f>
        <v>60.795203200430834</v>
      </c>
      <c r="AF81" s="77">
        <f t="shared" ref="AF81" si="88">T81-AA81</f>
        <v>9.2560999999999982</v>
      </c>
      <c r="AG81" s="77">
        <f t="shared" ref="AG81" si="89">AF81/S81%</f>
        <v>53.166643690837226</v>
      </c>
      <c r="AH81" s="368"/>
      <c r="AI81" s="368"/>
      <c r="AJ81" s="368"/>
      <c r="AK81" s="368"/>
      <c r="AL81" s="368"/>
      <c r="AM81" s="369"/>
      <c r="AN81" t="str">
        <f t="shared" si="64"/>
        <v/>
      </c>
      <c r="AO81" t="s">
        <v>1201</v>
      </c>
      <c r="AP81" t="str">
        <f t="shared" si="65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6"/>
        <v>DDm85-25</v>
      </c>
    </row>
    <row r="82" spans="1:53">
      <c r="A82" s="35" t="s">
        <v>98</v>
      </c>
      <c r="B82" t="s">
        <v>1222</v>
      </c>
      <c r="C82" t="s">
        <v>1293</v>
      </c>
      <c r="D82" t="s">
        <v>1181</v>
      </c>
      <c r="E82" t="s">
        <v>899</v>
      </c>
      <c r="F82" t="s">
        <v>1205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1144</v>
      </c>
      <c r="Q82" t="s">
        <v>1150</v>
      </c>
      <c r="R82" t="s">
        <v>1178</v>
      </c>
      <c r="S82">
        <v>10.1088</v>
      </c>
      <c r="T82">
        <v>7.1276499999999796</v>
      </c>
      <c r="U82" t="s">
        <v>1155</v>
      </c>
      <c r="V82" t="s">
        <v>1272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4"/>
        <v>20.998850000000001</v>
      </c>
      <c r="AC82" s="77">
        <f t="shared" si="75"/>
        <v>20.50835</v>
      </c>
      <c r="AD82" s="77">
        <f t="shared" si="76"/>
        <v>87.568181818181813</v>
      </c>
      <c r="AE82" s="77">
        <f t="shared" si="77"/>
        <v>87.30858468677495</v>
      </c>
      <c r="AF82" s="77">
        <f t="shared" si="78"/>
        <v>7.1276499999999796</v>
      </c>
      <c r="AG82" s="77">
        <f t="shared" si="79"/>
        <v>70.509358182969081</v>
      </c>
      <c r="AH82" s="77">
        <f t="shared" si="80"/>
        <v>16.875</v>
      </c>
      <c r="AI82" s="77">
        <f t="shared" si="81"/>
        <v>2.98115</v>
      </c>
      <c r="AJ82" s="77">
        <f t="shared" si="82"/>
        <v>13.89385</v>
      </c>
      <c r="AK82" s="77">
        <f t="shared" si="83"/>
        <v>0</v>
      </c>
      <c r="AL82" s="77">
        <f t="shared" si="84"/>
        <v>13.89385</v>
      </c>
      <c r="AM82" s="77">
        <f t="shared" si="85"/>
        <v>82.333925925925925</v>
      </c>
      <c r="AN82" t="str">
        <f t="shared" si="64"/>
        <v/>
      </c>
      <c r="AO82" t="s">
        <v>1146</v>
      </c>
      <c r="AP82" t="str">
        <f t="shared" si="65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6"/>
        <v>2DDm85-15</v>
      </c>
    </row>
    <row r="83" spans="1:53">
      <c r="A83" s="35" t="s">
        <v>99</v>
      </c>
      <c r="B83" t="s">
        <v>1222</v>
      </c>
      <c r="C83" t="s">
        <v>1293</v>
      </c>
      <c r="D83" t="s">
        <v>1181</v>
      </c>
      <c r="E83" t="s">
        <v>900</v>
      </c>
      <c r="F83" t="s">
        <v>1140</v>
      </c>
      <c r="G83">
        <v>36.6</v>
      </c>
      <c r="H83">
        <v>9</v>
      </c>
      <c r="I83">
        <v>153</v>
      </c>
      <c r="J83">
        <v>8.3384999999999998</v>
      </c>
      <c r="K83" s="64">
        <v>45414</v>
      </c>
      <c r="L83">
        <v>12.766080000000001</v>
      </c>
      <c r="M83">
        <v>4.4275799999999998</v>
      </c>
      <c r="N83">
        <v>9.4720999999999993</v>
      </c>
      <c r="O83">
        <v>1.1335999999999999</v>
      </c>
      <c r="P83" t="s">
        <v>1144</v>
      </c>
      <c r="Q83" t="s">
        <v>1150</v>
      </c>
      <c r="R83" t="s">
        <v>1178</v>
      </c>
      <c r="S83">
        <v>10.1088</v>
      </c>
      <c r="T83">
        <v>1.77029999999998</v>
      </c>
      <c r="U83" t="s">
        <v>1144</v>
      </c>
      <c r="V83" t="s">
        <v>1294</v>
      </c>
      <c r="W83">
        <v>18.75</v>
      </c>
      <c r="X83">
        <v>10.4115</v>
      </c>
      <c r="Y83">
        <v>51</v>
      </c>
      <c r="AA83">
        <f>VLOOKUP(A83,Cover!A:R,18,0)</f>
        <v>4</v>
      </c>
      <c r="AB83" s="77">
        <f t="shared" si="74"/>
        <v>0.42757999999999985</v>
      </c>
      <c r="AC83" s="77">
        <f t="shared" si="75"/>
        <v>-2.8664000000000001</v>
      </c>
      <c r="AD83" s="77">
        <f t="shared" si="76"/>
        <v>3.3493445129593407</v>
      </c>
      <c r="AE83" s="77">
        <f t="shared" si="77"/>
        <v>-30.261504840531668</v>
      </c>
      <c r="AF83" s="77">
        <f t="shared" si="78"/>
        <v>-2.2297000000000198</v>
      </c>
      <c r="AG83" s="77">
        <f t="shared" si="79"/>
        <v>-22.057019626464264</v>
      </c>
      <c r="AH83" s="77">
        <f t="shared" si="80"/>
        <v>18.75</v>
      </c>
      <c r="AI83" s="77">
        <f t="shared" si="81"/>
        <v>8.3384999999999998</v>
      </c>
      <c r="AJ83" s="77">
        <f t="shared" si="82"/>
        <v>10.4115</v>
      </c>
      <c r="AK83" s="77">
        <f t="shared" si="83"/>
        <v>4</v>
      </c>
      <c r="AL83" s="77">
        <f t="shared" si="84"/>
        <v>6.4115000000000002</v>
      </c>
      <c r="AM83" s="77">
        <f t="shared" si="85"/>
        <v>34.19466666666667</v>
      </c>
      <c r="AN83" t="str">
        <f t="shared" si="64"/>
        <v/>
      </c>
      <c r="AO83" t="s">
        <v>1146</v>
      </c>
      <c r="AP83" t="str">
        <f t="shared" si="65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6"/>
        <v>2DDm85-15</v>
      </c>
    </row>
    <row r="84" spans="1:53">
      <c r="A84" s="35" t="s">
        <v>100</v>
      </c>
      <c r="B84" t="s">
        <v>1159</v>
      </c>
      <c r="C84" t="s">
        <v>1295</v>
      </c>
      <c r="D84" t="s">
        <v>1133</v>
      </c>
      <c r="E84" t="s">
        <v>1296</v>
      </c>
      <c r="F84" t="s">
        <v>1149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1160</v>
      </c>
      <c r="Q84" t="s">
        <v>1150</v>
      </c>
      <c r="R84" t="s">
        <v>1210</v>
      </c>
      <c r="S84">
        <v>70.308000000000007</v>
      </c>
      <c r="T84">
        <v>21.257999999999999</v>
      </c>
      <c r="U84" t="s">
        <v>1141</v>
      </c>
      <c r="V84" t="s">
        <v>1158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4"/>
        <v>36.24</v>
      </c>
      <c r="AC84" s="77">
        <f t="shared" si="75"/>
        <v>14.712499999999999</v>
      </c>
      <c r="AD84" s="77">
        <f t="shared" si="76"/>
        <v>41.046551138294262</v>
      </c>
      <c r="AE84" s="77">
        <f t="shared" si="77"/>
        <v>22.03707170941771</v>
      </c>
      <c r="AF84" s="77">
        <f t="shared" si="78"/>
        <v>18.257999999999999</v>
      </c>
      <c r="AG84" s="77">
        <f t="shared" si="79"/>
        <v>25.96859532343403</v>
      </c>
      <c r="AH84" s="77">
        <f>'Multiroom cooling'!F7</f>
        <v>72</v>
      </c>
      <c r="AI84" s="77">
        <f t="shared" si="81"/>
        <v>49.05</v>
      </c>
      <c r="AJ84" s="77">
        <f t="shared" si="82"/>
        <v>22.950000000000003</v>
      </c>
      <c r="AK84" s="77">
        <f t="shared" si="83"/>
        <v>3</v>
      </c>
      <c r="AL84" s="77">
        <f t="shared" si="84"/>
        <v>19.950000000000003</v>
      </c>
      <c r="AM84" s="77">
        <f t="shared" si="85"/>
        <v>27.708333333333339</v>
      </c>
      <c r="AN84" t="str">
        <f t="shared" si="64"/>
        <v>Capped</v>
      </c>
      <c r="AO84" t="s">
        <v>1146</v>
      </c>
      <c r="AP84" t="str">
        <f t="shared" si="65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6"/>
        <v>DDm100-33</v>
      </c>
    </row>
    <row r="85" spans="1:53">
      <c r="A85" s="35" t="s">
        <v>101</v>
      </c>
      <c r="B85" t="s">
        <v>1188</v>
      </c>
      <c r="C85" t="s">
        <v>1297</v>
      </c>
      <c r="D85" t="s">
        <v>1138</v>
      </c>
      <c r="E85" t="s">
        <v>854</v>
      </c>
      <c r="F85" t="s">
        <v>1140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1144</v>
      </c>
      <c r="Q85" t="s">
        <v>1194</v>
      </c>
      <c r="R85" t="s">
        <v>1298</v>
      </c>
      <c r="S85">
        <v>25.012799999999999</v>
      </c>
      <c r="T85">
        <v>12.750299999999999</v>
      </c>
      <c r="U85" t="s">
        <v>1186</v>
      </c>
      <c r="V85" t="s">
        <v>1299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4"/>
        <v>15.461179999999999</v>
      </c>
      <c r="AC85" s="77">
        <f t="shared" si="75"/>
        <v>10.4777</v>
      </c>
      <c r="AD85" s="77">
        <f t="shared" si="76"/>
        <v>53.827295109818792</v>
      </c>
      <c r="AE85" s="77">
        <f t="shared" si="77"/>
        <v>44.134843008904731</v>
      </c>
      <c r="AF85" s="77">
        <f t="shared" si="78"/>
        <v>11.750299999999999</v>
      </c>
      <c r="AG85" s="77">
        <f t="shared" si="79"/>
        <v>46.977147700377408</v>
      </c>
      <c r="AH85" s="77">
        <f t="shared" si="80"/>
        <v>32.25</v>
      </c>
      <c r="AI85" s="77">
        <f t="shared" si="81"/>
        <v>12.262499999999999</v>
      </c>
      <c r="AJ85" s="77">
        <f t="shared" si="82"/>
        <v>19.987500000000001</v>
      </c>
      <c r="AK85" s="77">
        <f t="shared" si="83"/>
        <v>1</v>
      </c>
      <c r="AL85" s="77">
        <f t="shared" si="84"/>
        <v>18.987500000000001</v>
      </c>
      <c r="AM85" s="77">
        <f t="shared" si="85"/>
        <v>58.875968992248062</v>
      </c>
      <c r="AN85" t="str">
        <f t="shared" si="64"/>
        <v/>
      </c>
      <c r="AO85" t="s">
        <v>1146</v>
      </c>
      <c r="AP85" t="str">
        <f t="shared" si="65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6"/>
        <v>2SLA1500</v>
      </c>
    </row>
    <row r="86" spans="1:53">
      <c r="A86" s="35" t="s">
        <v>102</v>
      </c>
      <c r="B86" t="s">
        <v>1176</v>
      </c>
      <c r="C86" t="s">
        <v>1300</v>
      </c>
      <c r="D86" t="s">
        <v>1138</v>
      </c>
      <c r="E86" t="s">
        <v>1018</v>
      </c>
      <c r="F86" t="s">
        <v>1193</v>
      </c>
      <c r="G86">
        <v>55</v>
      </c>
      <c r="H86">
        <v>8</v>
      </c>
      <c r="I86">
        <v>79</v>
      </c>
      <c r="J86">
        <v>4.3055000000000003</v>
      </c>
      <c r="K86" s="64">
        <v>45044</v>
      </c>
      <c r="L86">
        <v>16.786000000000001</v>
      </c>
      <c r="M86">
        <v>12.480499999999999</v>
      </c>
      <c r="N86">
        <v>14.62562</v>
      </c>
      <c r="O86">
        <v>10.320119999999999</v>
      </c>
      <c r="P86" t="s">
        <v>1141</v>
      </c>
      <c r="Q86" t="s">
        <v>1142</v>
      </c>
      <c r="R86" t="s">
        <v>1143</v>
      </c>
      <c r="S86">
        <v>13.154400000000001</v>
      </c>
      <c r="T86">
        <v>8.8489000000000093</v>
      </c>
      <c r="U86" t="s">
        <v>1186</v>
      </c>
      <c r="V86" t="s">
        <v>1158</v>
      </c>
      <c r="W86">
        <v>45</v>
      </c>
      <c r="X86">
        <v>40.694499999999998</v>
      </c>
      <c r="Y86">
        <v>11</v>
      </c>
      <c r="AA86">
        <f>VLOOKUP(A86,Cover!A:R,18,0)</f>
        <v>4.4000000000000004</v>
      </c>
      <c r="AB86" s="77">
        <f t="shared" si="74"/>
        <v>8.0804999999999989</v>
      </c>
      <c r="AC86" s="77">
        <f t="shared" si="75"/>
        <v>5.9201199999999989</v>
      </c>
      <c r="AD86" s="77">
        <f t="shared" si="76"/>
        <v>48.138329560347898</v>
      </c>
      <c r="AE86" s="77">
        <f t="shared" si="77"/>
        <v>40.477737012174515</v>
      </c>
      <c r="AF86" s="77">
        <f t="shared" si="78"/>
        <v>4.448900000000009</v>
      </c>
      <c r="AG86" s="77">
        <f t="shared" si="79"/>
        <v>33.820622757404436</v>
      </c>
      <c r="AH86" s="77">
        <f t="shared" si="80"/>
        <v>45</v>
      </c>
      <c r="AI86" s="77">
        <f t="shared" si="81"/>
        <v>4.3055000000000003</v>
      </c>
      <c r="AJ86" s="77">
        <f t="shared" si="82"/>
        <v>40.694499999999998</v>
      </c>
      <c r="AK86" s="77">
        <f t="shared" si="83"/>
        <v>4.4000000000000004</v>
      </c>
      <c r="AL86" s="77">
        <f t="shared" si="84"/>
        <v>36.294499999999999</v>
      </c>
      <c r="AM86" s="77">
        <f t="shared" si="85"/>
        <v>80.654444444444437</v>
      </c>
      <c r="AN86" t="str">
        <f t="shared" si="64"/>
        <v/>
      </c>
      <c r="AO86" t="s">
        <v>1146</v>
      </c>
      <c r="AP86" t="str">
        <f t="shared" si="65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6"/>
        <v>EN480-2</v>
      </c>
    </row>
    <row r="87" spans="1:53">
      <c r="A87" s="35" t="s">
        <v>103</v>
      </c>
      <c r="B87" t="s">
        <v>1147</v>
      </c>
      <c r="C87" t="s">
        <v>1301</v>
      </c>
      <c r="D87" t="s">
        <v>1181</v>
      </c>
      <c r="E87" t="s">
        <v>1302</v>
      </c>
      <c r="F87" t="s">
        <v>1140</v>
      </c>
      <c r="G87">
        <v>36.6</v>
      </c>
      <c r="H87">
        <v>8</v>
      </c>
      <c r="I87">
        <v>116</v>
      </c>
      <c r="J87">
        <v>6.3220000000000001</v>
      </c>
      <c r="K87" s="64">
        <v>45384</v>
      </c>
      <c r="L87">
        <v>11.17032</v>
      </c>
      <c r="M87">
        <v>4.8483200000000002</v>
      </c>
      <c r="N87">
        <v>11.510400000000001</v>
      </c>
      <c r="O87">
        <v>5.1883999999999997</v>
      </c>
      <c r="P87" t="s">
        <v>1141</v>
      </c>
      <c r="Q87" t="s">
        <v>1150</v>
      </c>
      <c r="R87" t="s">
        <v>1303</v>
      </c>
      <c r="S87">
        <v>11.689920000000001</v>
      </c>
      <c r="T87">
        <v>5.3679199999999696</v>
      </c>
      <c r="U87" t="s">
        <v>1144</v>
      </c>
      <c r="V87" t="s">
        <v>1288</v>
      </c>
      <c r="W87">
        <v>10.5</v>
      </c>
      <c r="X87">
        <v>4.1779999999999999</v>
      </c>
      <c r="Y87">
        <v>47</v>
      </c>
      <c r="AA87">
        <f>VLOOKUP(A87,Cover!A:R,18,0)</f>
        <v>1</v>
      </c>
      <c r="AB87" s="77">
        <f t="shared" si="74"/>
        <v>3.8483200000000002</v>
      </c>
      <c r="AC87" s="77">
        <f t="shared" si="75"/>
        <v>4.1883999999999997</v>
      </c>
      <c r="AD87" s="77">
        <f t="shared" si="76"/>
        <v>34.451295934225698</v>
      </c>
      <c r="AE87" s="77">
        <f t="shared" si="77"/>
        <v>36.387962190714475</v>
      </c>
      <c r="AF87" s="77">
        <f t="shared" si="78"/>
        <v>4.3679199999999696</v>
      </c>
      <c r="AG87" s="77">
        <f t="shared" si="79"/>
        <v>37.36484082012511</v>
      </c>
      <c r="AH87" s="77">
        <f t="shared" si="80"/>
        <v>10.5</v>
      </c>
      <c r="AI87" s="77">
        <f t="shared" si="81"/>
        <v>6.3220000000000001</v>
      </c>
      <c r="AJ87" s="77">
        <f t="shared" si="82"/>
        <v>4.1779999999999999</v>
      </c>
      <c r="AK87" s="77">
        <f t="shared" si="83"/>
        <v>1</v>
      </c>
      <c r="AL87" s="77">
        <f t="shared" si="84"/>
        <v>3.1779999999999999</v>
      </c>
      <c r="AM87" s="77">
        <f t="shared" si="85"/>
        <v>30.266666666666666</v>
      </c>
      <c r="AN87" t="str">
        <f t="shared" si="64"/>
        <v/>
      </c>
      <c r="AO87" t="s">
        <v>1146</v>
      </c>
      <c r="AP87" t="str">
        <f t="shared" si="65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6"/>
        <v xml:space="preserve">SBS XL 150F-FT </v>
      </c>
    </row>
    <row r="88" spans="1:53">
      <c r="A88" s="35" t="s">
        <v>104</v>
      </c>
      <c r="B88" t="s">
        <v>1147</v>
      </c>
      <c r="C88" t="s">
        <v>1301</v>
      </c>
      <c r="D88" t="s">
        <v>1138</v>
      </c>
      <c r="E88" t="s">
        <v>1304</v>
      </c>
      <c r="F88" t="s">
        <v>1167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1141</v>
      </c>
      <c r="Q88" t="s">
        <v>1150</v>
      </c>
      <c r="R88" t="s">
        <v>1305</v>
      </c>
      <c r="S88">
        <v>2.8252799999999998</v>
      </c>
      <c r="T88">
        <v>1.02678</v>
      </c>
      <c r="U88" t="s">
        <v>1144</v>
      </c>
      <c r="V88" t="s">
        <v>1145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4"/>
        <v>2.9975000000000001</v>
      </c>
      <c r="AC88" s="77">
        <f t="shared" si="75"/>
        <v>4.0330000000000004</v>
      </c>
      <c r="AD88" s="77">
        <f t="shared" si="76"/>
        <v>62.5</v>
      </c>
      <c r="AE88" s="77">
        <f t="shared" si="77"/>
        <v>69.158878504672899</v>
      </c>
      <c r="AF88" s="77">
        <f t="shared" si="78"/>
        <v>1.02678</v>
      </c>
      <c r="AG88" s="77">
        <f t="shared" si="79"/>
        <v>36.342592592592595</v>
      </c>
      <c r="AH88" s="77">
        <f t="shared" si="80"/>
        <v>7.5</v>
      </c>
      <c r="AI88" s="77">
        <f t="shared" si="81"/>
        <v>1.7985</v>
      </c>
      <c r="AJ88" s="77">
        <f t="shared" si="82"/>
        <v>5.7015000000000002</v>
      </c>
      <c r="AK88" s="77">
        <f t="shared" si="83"/>
        <v>0</v>
      </c>
      <c r="AL88" s="77">
        <f t="shared" si="84"/>
        <v>5.7015000000000002</v>
      </c>
      <c r="AM88" s="77">
        <f t="shared" si="85"/>
        <v>76.02000000000001</v>
      </c>
      <c r="AN88" t="str">
        <f t="shared" si="64"/>
        <v/>
      </c>
      <c r="AO88" t="s">
        <v>1146</v>
      </c>
      <c r="AP88" t="str">
        <f t="shared" si="65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6"/>
        <v>SBS 12V100F</v>
      </c>
    </row>
    <row r="89" spans="1:53">
      <c r="A89" s="35" t="s">
        <v>105</v>
      </c>
      <c r="B89" t="s">
        <v>1222</v>
      </c>
      <c r="C89" t="s">
        <v>1306</v>
      </c>
      <c r="D89" t="s">
        <v>1138</v>
      </c>
      <c r="E89" t="s">
        <v>903</v>
      </c>
      <c r="F89" t="s">
        <v>1149</v>
      </c>
      <c r="G89">
        <v>75</v>
      </c>
      <c r="H89">
        <v>6</v>
      </c>
      <c r="I89">
        <v>76</v>
      </c>
      <c r="J89">
        <v>4.1420000000000003</v>
      </c>
      <c r="K89" s="64">
        <v>45414</v>
      </c>
      <c r="L89">
        <v>16.350000000000001</v>
      </c>
      <c r="M89">
        <v>12.208</v>
      </c>
      <c r="N89">
        <v>16.7315</v>
      </c>
      <c r="O89">
        <v>12.589499999999999</v>
      </c>
      <c r="P89" t="s">
        <v>1155</v>
      </c>
      <c r="Q89" t="s">
        <v>1168</v>
      </c>
      <c r="R89" t="s">
        <v>1307</v>
      </c>
      <c r="S89">
        <v>6.6009600000000201</v>
      </c>
      <c r="T89">
        <v>2.45896000000001</v>
      </c>
      <c r="U89" t="s">
        <v>1141</v>
      </c>
      <c r="V89" t="s">
        <v>1145</v>
      </c>
      <c r="W89">
        <v>7.5</v>
      </c>
      <c r="X89">
        <v>3.3580000000000001</v>
      </c>
      <c r="Y89">
        <v>3</v>
      </c>
      <c r="AA89">
        <f>VLOOKUP(A89,Cover!A:R,18,0)</f>
        <v>0</v>
      </c>
      <c r="AB89" s="77">
        <f t="shared" si="74"/>
        <v>12.208</v>
      </c>
      <c r="AC89" s="77">
        <f t="shared" si="75"/>
        <v>12.589499999999999</v>
      </c>
      <c r="AD89" s="77">
        <f t="shared" si="76"/>
        <v>74.666666666666671</v>
      </c>
      <c r="AE89" s="77">
        <f t="shared" si="77"/>
        <v>75.244299674267097</v>
      </c>
      <c r="AF89" s="77">
        <f t="shared" si="78"/>
        <v>2.45896000000001</v>
      </c>
      <c r="AG89" s="77">
        <f t="shared" si="79"/>
        <v>37.251551289509443</v>
      </c>
      <c r="AH89" s="77">
        <f t="shared" si="80"/>
        <v>7.5</v>
      </c>
      <c r="AI89" s="77">
        <f t="shared" si="81"/>
        <v>4.1420000000000003</v>
      </c>
      <c r="AJ89" s="77">
        <f t="shared" si="82"/>
        <v>3.3579999999999997</v>
      </c>
      <c r="AK89" s="77">
        <f t="shared" si="83"/>
        <v>0</v>
      </c>
      <c r="AL89" s="77">
        <f t="shared" si="84"/>
        <v>3.3579999999999997</v>
      </c>
      <c r="AM89" s="77">
        <f t="shared" si="85"/>
        <v>44.773333333333333</v>
      </c>
      <c r="AN89" t="str">
        <f t="shared" si="64"/>
        <v/>
      </c>
      <c r="AO89" t="s">
        <v>1146</v>
      </c>
      <c r="AP89" t="str">
        <f t="shared" si="65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6"/>
        <v>12v170FS</v>
      </c>
    </row>
    <row r="90" spans="1:53">
      <c r="A90" s="35" t="s">
        <v>106</v>
      </c>
      <c r="B90" t="s">
        <v>1202</v>
      </c>
      <c r="C90" t="s">
        <v>1308</v>
      </c>
      <c r="D90" t="s">
        <v>1181</v>
      </c>
      <c r="E90" t="s">
        <v>1309</v>
      </c>
      <c r="F90" t="s">
        <v>1205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8.2840000000000007</v>
      </c>
      <c r="O90">
        <v>6.1040000000000001</v>
      </c>
      <c r="P90" t="s">
        <v>1186</v>
      </c>
      <c r="Q90" t="s">
        <v>1168</v>
      </c>
      <c r="R90" t="s">
        <v>1247</v>
      </c>
      <c r="S90">
        <v>5.8579200000000098</v>
      </c>
      <c r="T90">
        <v>3.6779200000000101</v>
      </c>
      <c r="U90" t="s">
        <v>1144</v>
      </c>
      <c r="V90" t="s">
        <v>1240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4"/>
        <v>6.54</v>
      </c>
      <c r="AC90" s="77">
        <f t="shared" si="75"/>
        <v>6.1040000000000001</v>
      </c>
      <c r="AD90" s="77">
        <f t="shared" si="76"/>
        <v>75</v>
      </c>
      <c r="AE90" s="77">
        <f t="shared" si="77"/>
        <v>73.68421052631578</v>
      </c>
      <c r="AF90" s="77">
        <f t="shared" si="78"/>
        <v>3.6779200000000101</v>
      </c>
      <c r="AG90" s="77">
        <f t="shared" si="79"/>
        <v>62.785425543537706</v>
      </c>
      <c r="AH90" s="77">
        <f t="shared" si="80"/>
        <v>11.25</v>
      </c>
      <c r="AI90" s="77">
        <f t="shared" si="81"/>
        <v>2.1800000000000002</v>
      </c>
      <c r="AJ90" s="77">
        <f t="shared" si="82"/>
        <v>9.07</v>
      </c>
      <c r="AK90" s="77">
        <f t="shared" si="83"/>
        <v>0</v>
      </c>
      <c r="AL90" s="77">
        <f t="shared" si="84"/>
        <v>9.07</v>
      </c>
      <c r="AM90" s="77">
        <f t="shared" si="85"/>
        <v>80.62222222222222</v>
      </c>
      <c r="AN90" t="str">
        <f t="shared" si="64"/>
        <v/>
      </c>
      <c r="AO90" t="s">
        <v>1146</v>
      </c>
      <c r="AP90" t="str">
        <f t="shared" si="65"/>
        <v>12V100F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6"/>
        <v>12V100F</v>
      </c>
    </row>
    <row r="91" spans="1:53">
      <c r="A91" s="35" t="s">
        <v>107</v>
      </c>
      <c r="B91" t="s">
        <v>1159</v>
      </c>
      <c r="C91" t="s">
        <v>1159</v>
      </c>
      <c r="D91" t="s">
        <v>1138</v>
      </c>
      <c r="E91" t="s">
        <v>812</v>
      </c>
      <c r="F91" t="s">
        <v>1140</v>
      </c>
      <c r="G91">
        <v>36.6</v>
      </c>
      <c r="H91">
        <v>49</v>
      </c>
      <c r="I91">
        <v>938</v>
      </c>
      <c r="J91">
        <v>51.121000000000002</v>
      </c>
      <c r="K91" s="64">
        <v>45398</v>
      </c>
      <c r="L91">
        <v>76.59648</v>
      </c>
      <c r="M91">
        <v>25.475480000000001</v>
      </c>
      <c r="N91">
        <v>52.145600000000002</v>
      </c>
      <c r="O91">
        <v>1.0246</v>
      </c>
      <c r="P91" t="s">
        <v>1155</v>
      </c>
      <c r="Q91" t="s">
        <v>1150</v>
      </c>
      <c r="R91" t="s">
        <v>1161</v>
      </c>
      <c r="S91">
        <v>71.107200000000205</v>
      </c>
      <c r="T91">
        <v>19.986200000000199</v>
      </c>
      <c r="U91" t="s">
        <v>1186</v>
      </c>
      <c r="V91" t="s">
        <v>1310</v>
      </c>
      <c r="W91">
        <v>150</v>
      </c>
      <c r="X91">
        <v>98.879000000000005</v>
      </c>
      <c r="Y91">
        <v>33</v>
      </c>
      <c r="AA91">
        <f>VLOOKUP(A91,Cover!A:R,18,0)</f>
        <v>7.4</v>
      </c>
      <c r="AB91" s="77">
        <f t="shared" si="74"/>
        <v>18.075479999999999</v>
      </c>
      <c r="AC91" s="77">
        <f t="shared" si="75"/>
        <v>-6.3754000000000008</v>
      </c>
      <c r="AD91" s="77">
        <f t="shared" si="76"/>
        <v>23.598316789492152</v>
      </c>
      <c r="AE91" s="77">
        <f t="shared" si="77"/>
        <v>-12.226151391488449</v>
      </c>
      <c r="AF91" s="77">
        <f t="shared" si="78"/>
        <v>12.586200000000199</v>
      </c>
      <c r="AG91" s="77">
        <f t="shared" si="79"/>
        <v>17.70031726744994</v>
      </c>
      <c r="AH91" s="77">
        <f t="shared" si="80"/>
        <v>150</v>
      </c>
      <c r="AI91" s="77">
        <f t="shared" si="81"/>
        <v>51.121000000000002</v>
      </c>
      <c r="AJ91" s="77">
        <f t="shared" si="82"/>
        <v>98.878999999999991</v>
      </c>
      <c r="AK91" s="77">
        <f t="shared" si="83"/>
        <v>7.4</v>
      </c>
      <c r="AL91" s="77">
        <f t="shared" si="84"/>
        <v>91.478999999999985</v>
      </c>
      <c r="AM91" s="77">
        <f t="shared" si="85"/>
        <v>60.98599999999999</v>
      </c>
      <c r="AN91" t="str">
        <f t="shared" si="64"/>
        <v/>
      </c>
      <c r="AO91" t="s">
        <v>1146</v>
      </c>
      <c r="AP91" t="str">
        <f t="shared" si="65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6"/>
        <v>DDm125-33</v>
      </c>
    </row>
    <row r="92" spans="1:53">
      <c r="A92" s="35" t="s">
        <v>108</v>
      </c>
      <c r="B92" t="s">
        <v>1147</v>
      </c>
      <c r="C92" t="s">
        <v>1311</v>
      </c>
      <c r="D92" t="s">
        <v>1138</v>
      </c>
      <c r="E92" t="s">
        <v>1312</v>
      </c>
      <c r="F92" t="s">
        <v>1140</v>
      </c>
      <c r="G92">
        <v>36.6</v>
      </c>
      <c r="H92">
        <v>6</v>
      </c>
      <c r="I92">
        <v>52</v>
      </c>
      <c r="J92">
        <v>2.8340000000000001</v>
      </c>
      <c r="K92" s="64">
        <v>45414</v>
      </c>
      <c r="L92">
        <v>7.9787999999999997</v>
      </c>
      <c r="M92">
        <v>5.1448</v>
      </c>
      <c r="N92">
        <v>6.7035</v>
      </c>
      <c r="O92">
        <v>3.8694999999999999</v>
      </c>
      <c r="P92" t="s">
        <v>1186</v>
      </c>
      <c r="Q92" t="s">
        <v>1150</v>
      </c>
      <c r="R92" t="s">
        <v>1242</v>
      </c>
      <c r="S92">
        <v>5.3784000000000001</v>
      </c>
      <c r="T92">
        <v>2.5444</v>
      </c>
      <c r="U92" t="s">
        <v>1141</v>
      </c>
      <c r="V92" t="s">
        <v>1145</v>
      </c>
      <c r="W92">
        <v>7.5</v>
      </c>
      <c r="X92">
        <v>4.6660000000000004</v>
      </c>
      <c r="Y92">
        <v>11</v>
      </c>
      <c r="AA92">
        <f>VLOOKUP(A92,Cover!A:R,18,0)</f>
        <v>0</v>
      </c>
      <c r="AB92" s="77">
        <f t="shared" si="74"/>
        <v>5.1448</v>
      </c>
      <c r="AC92" s="77">
        <f t="shared" si="75"/>
        <v>3.8694999999999999</v>
      </c>
      <c r="AD92" s="77">
        <f t="shared" si="76"/>
        <v>64.480874316939889</v>
      </c>
      <c r="AE92" s="77">
        <f t="shared" si="77"/>
        <v>57.72357723577236</v>
      </c>
      <c r="AF92" s="77">
        <f t="shared" si="78"/>
        <v>2.5444</v>
      </c>
      <c r="AG92" s="77">
        <f t="shared" si="79"/>
        <v>47.307749516584856</v>
      </c>
      <c r="AH92" s="77">
        <f t="shared" si="80"/>
        <v>7.5</v>
      </c>
      <c r="AI92" s="77">
        <f t="shared" si="81"/>
        <v>2.8340000000000001</v>
      </c>
      <c r="AJ92" s="77">
        <f t="shared" si="82"/>
        <v>4.6660000000000004</v>
      </c>
      <c r="AK92" s="77">
        <f t="shared" si="83"/>
        <v>0</v>
      </c>
      <c r="AL92" s="77">
        <f t="shared" si="84"/>
        <v>4.6660000000000004</v>
      </c>
      <c r="AM92" s="77">
        <f t="shared" si="85"/>
        <v>62.213333333333338</v>
      </c>
      <c r="AN92" t="str">
        <f t="shared" si="64"/>
        <v/>
      </c>
      <c r="AO92" t="s">
        <v>1146</v>
      </c>
      <c r="AP92" t="str">
        <f t="shared" si="65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6"/>
        <v xml:space="preserve">12V101F </v>
      </c>
    </row>
    <row r="93" spans="1:53">
      <c r="A93" s="35" t="s">
        <v>109</v>
      </c>
      <c r="B93" t="s">
        <v>1202</v>
      </c>
      <c r="C93" t="s">
        <v>1313</v>
      </c>
      <c r="D93" t="s">
        <v>1138</v>
      </c>
      <c r="E93" t="s">
        <v>1314</v>
      </c>
      <c r="F93" t="s">
        <v>1205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1144</v>
      </c>
      <c r="Q93" t="s">
        <v>1150</v>
      </c>
      <c r="R93" t="s">
        <v>1206</v>
      </c>
      <c r="S93">
        <v>5.2271999999999998</v>
      </c>
      <c r="T93">
        <v>2.2427800000000002</v>
      </c>
      <c r="U93" t="s">
        <v>1144</v>
      </c>
      <c r="V93" t="s">
        <v>1290</v>
      </c>
      <c r="W93">
        <v>30</v>
      </c>
      <c r="X93">
        <v>27.01558</v>
      </c>
      <c r="Y93">
        <v>67</v>
      </c>
      <c r="AA93">
        <f>VLOOKUP(A93,Cover!A:R,18,0)</f>
        <v>0</v>
      </c>
      <c r="AB93" s="77">
        <f t="shared" si="74"/>
        <v>7.9155800000000003</v>
      </c>
      <c r="AC93" s="77">
        <f t="shared" si="75"/>
        <v>7.3705800000000004</v>
      </c>
      <c r="AD93" s="77">
        <f t="shared" si="76"/>
        <v>72.62</v>
      </c>
      <c r="AE93" s="77">
        <f t="shared" si="77"/>
        <v>71.178947368421049</v>
      </c>
      <c r="AF93" s="77">
        <f t="shared" si="78"/>
        <v>2.2427800000000002</v>
      </c>
      <c r="AG93" s="77">
        <f t="shared" si="79"/>
        <v>42.905953474135295</v>
      </c>
      <c r="AH93" s="77">
        <f t="shared" si="80"/>
        <v>30</v>
      </c>
      <c r="AI93" s="77">
        <f t="shared" si="81"/>
        <v>2.9844200000000001</v>
      </c>
      <c r="AJ93" s="77">
        <f t="shared" si="82"/>
        <v>27.01558</v>
      </c>
      <c r="AK93" s="77">
        <f t="shared" si="83"/>
        <v>0</v>
      </c>
      <c r="AL93" s="77">
        <f t="shared" si="84"/>
        <v>27.01558</v>
      </c>
      <c r="AM93" s="77">
        <f t="shared" si="85"/>
        <v>90.051933333333338</v>
      </c>
      <c r="AN93" t="str">
        <f t="shared" si="64"/>
        <v/>
      </c>
      <c r="AO93" t="s">
        <v>1146</v>
      </c>
      <c r="AP93" t="str">
        <f t="shared" si="65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6"/>
        <v>2DDm50-13</v>
      </c>
    </row>
    <row r="94" spans="1:53">
      <c r="A94" s="35" t="s">
        <v>110</v>
      </c>
      <c r="B94" t="s">
        <v>1147</v>
      </c>
      <c r="C94" t="s">
        <v>1315</v>
      </c>
      <c r="D94" t="s">
        <v>1138</v>
      </c>
      <c r="E94" t="s">
        <v>932</v>
      </c>
      <c r="F94" t="s">
        <v>1140</v>
      </c>
      <c r="G94">
        <v>36.6</v>
      </c>
      <c r="H94">
        <v>17</v>
      </c>
      <c r="I94">
        <v>157</v>
      </c>
      <c r="J94">
        <v>8.5564999999999998</v>
      </c>
      <c r="K94" s="64">
        <v>45414</v>
      </c>
      <c r="L94">
        <v>25.532160000000001</v>
      </c>
      <c r="M94">
        <v>16.975660000000001</v>
      </c>
      <c r="N94">
        <v>18.944199999999999</v>
      </c>
      <c r="O94">
        <v>10.387700000000001</v>
      </c>
      <c r="P94" t="s">
        <v>1155</v>
      </c>
      <c r="Q94" t="s">
        <v>1150</v>
      </c>
      <c r="R94" t="s">
        <v>1178</v>
      </c>
      <c r="S94">
        <v>20.217600000000001</v>
      </c>
      <c r="T94">
        <v>11.661099999999999</v>
      </c>
      <c r="U94" t="s">
        <v>1141</v>
      </c>
      <c r="V94" t="s">
        <v>1152</v>
      </c>
      <c r="W94">
        <v>22.5</v>
      </c>
      <c r="X94">
        <v>13.9435</v>
      </c>
      <c r="Y94">
        <v>17</v>
      </c>
      <c r="AA94">
        <f>VLOOKUP(A94,Cover!A:R,18,0)</f>
        <v>4.7</v>
      </c>
      <c r="AB94" s="77">
        <f t="shared" si="74"/>
        <v>12.275660000000002</v>
      </c>
      <c r="AC94" s="77">
        <f t="shared" si="75"/>
        <v>5.6877000000000004</v>
      </c>
      <c r="AD94" s="77">
        <f t="shared" si="76"/>
        <v>48.079206772948311</v>
      </c>
      <c r="AE94" s="77">
        <f t="shared" si="77"/>
        <v>30.023437252562793</v>
      </c>
      <c r="AF94" s="77">
        <f t="shared" si="78"/>
        <v>6.9610999999999992</v>
      </c>
      <c r="AG94" s="77">
        <f t="shared" si="79"/>
        <v>34.430891896169669</v>
      </c>
      <c r="AH94" s="77">
        <f t="shared" si="80"/>
        <v>22.5</v>
      </c>
      <c r="AI94" s="77">
        <f t="shared" si="81"/>
        <v>8.5564999999999998</v>
      </c>
      <c r="AJ94" s="77">
        <f t="shared" si="82"/>
        <v>13.9435</v>
      </c>
      <c r="AK94" s="77">
        <f t="shared" si="83"/>
        <v>4.7</v>
      </c>
      <c r="AL94" s="77">
        <f t="shared" si="84"/>
        <v>9.2435000000000009</v>
      </c>
      <c r="AM94" s="77">
        <f t="shared" si="85"/>
        <v>41.082222222222228</v>
      </c>
      <c r="AN94" t="str">
        <f t="shared" si="64"/>
        <v/>
      </c>
      <c r="AO94" t="s">
        <v>1146</v>
      </c>
      <c r="AP94" t="str">
        <f t="shared" si="65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6"/>
        <v>2DDm85-15</v>
      </c>
    </row>
    <row r="95" spans="1:53">
      <c r="A95" s="35" t="s">
        <v>111</v>
      </c>
      <c r="B95" t="s">
        <v>1147</v>
      </c>
      <c r="C95" t="s">
        <v>1315</v>
      </c>
      <c r="D95" t="s">
        <v>1199</v>
      </c>
      <c r="E95" t="s">
        <v>933</v>
      </c>
      <c r="F95" t="s">
        <v>1140</v>
      </c>
      <c r="G95">
        <v>36.6</v>
      </c>
      <c r="H95">
        <v>6</v>
      </c>
      <c r="I95">
        <v>76</v>
      </c>
      <c r="J95">
        <v>4.1420000000000003</v>
      </c>
      <c r="K95" s="64">
        <v>45414</v>
      </c>
      <c r="L95">
        <v>7.9787999999999997</v>
      </c>
      <c r="M95">
        <v>3.8368000000000002</v>
      </c>
      <c r="N95">
        <v>5.7551996729999999</v>
      </c>
      <c r="O95">
        <v>1.613199673</v>
      </c>
      <c r="P95" t="s">
        <v>1186</v>
      </c>
      <c r="Q95" t="s">
        <v>1168</v>
      </c>
      <c r="R95" t="s">
        <v>1174</v>
      </c>
      <c r="S95">
        <v>8.4240000000000297</v>
      </c>
      <c r="T95">
        <v>4.2820000000000302</v>
      </c>
      <c r="U95" t="s">
        <v>1144</v>
      </c>
      <c r="V95" t="s">
        <v>1145</v>
      </c>
      <c r="W95">
        <v>7.5</v>
      </c>
      <c r="X95">
        <v>3.3580000000000001</v>
      </c>
      <c r="Y95">
        <v>0</v>
      </c>
      <c r="Z95" t="s">
        <v>8</v>
      </c>
      <c r="AA95">
        <f>VLOOKUP(A95,Cover!A:R,18,0)</f>
        <v>0</v>
      </c>
      <c r="AB95" s="77">
        <f t="shared" si="74"/>
        <v>3.8368000000000002</v>
      </c>
      <c r="AC95" s="77">
        <f t="shared" si="75"/>
        <v>1.613199673</v>
      </c>
      <c r="AD95" s="77">
        <f t="shared" si="76"/>
        <v>48.087431693989075</v>
      </c>
      <c r="AE95" s="77">
        <f t="shared" si="77"/>
        <v>28.030298941115472</v>
      </c>
      <c r="AF95" s="77">
        <f t="shared" si="78"/>
        <v>4.2820000000000302</v>
      </c>
      <c r="AG95" s="77">
        <f t="shared" si="79"/>
        <v>50.830959164292672</v>
      </c>
      <c r="AH95" s="77">
        <f t="shared" si="80"/>
        <v>7.5</v>
      </c>
      <c r="AI95" s="77">
        <f t="shared" si="81"/>
        <v>4.1420000000000003</v>
      </c>
      <c r="AJ95" s="77">
        <f t="shared" si="82"/>
        <v>3.3579999999999997</v>
      </c>
      <c r="AK95" s="77">
        <f t="shared" si="83"/>
        <v>0</v>
      </c>
      <c r="AL95" s="77">
        <f t="shared" si="84"/>
        <v>3.3579999999999997</v>
      </c>
      <c r="AM95" s="77">
        <f t="shared" si="85"/>
        <v>44.773333333333333</v>
      </c>
      <c r="AN95" t="str">
        <f t="shared" si="64"/>
        <v>Capped</v>
      </c>
      <c r="AO95" t="s">
        <v>1146</v>
      </c>
      <c r="AP95" t="str">
        <f t="shared" si="65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6"/>
        <v>12V155F</v>
      </c>
    </row>
    <row r="96" spans="1:53">
      <c r="A96" s="35" t="s">
        <v>112</v>
      </c>
      <c r="B96" t="s">
        <v>1147</v>
      </c>
      <c r="C96" t="s">
        <v>1316</v>
      </c>
      <c r="D96" t="s">
        <v>1199</v>
      </c>
      <c r="E96" t="s">
        <v>935</v>
      </c>
      <c r="F96" t="s">
        <v>1140</v>
      </c>
      <c r="G96">
        <v>36.6</v>
      </c>
      <c r="H96">
        <v>6</v>
      </c>
      <c r="I96">
        <v>46</v>
      </c>
      <c r="J96">
        <v>2.5070000000000001</v>
      </c>
      <c r="K96" s="64">
        <v>45414</v>
      </c>
      <c r="L96">
        <v>7.9787999999999997</v>
      </c>
      <c r="M96">
        <v>5.4718</v>
      </c>
      <c r="N96">
        <v>6.7035</v>
      </c>
      <c r="O96">
        <v>4.1965000000000003</v>
      </c>
      <c r="P96" t="s">
        <v>1186</v>
      </c>
      <c r="Q96" t="s">
        <v>1150</v>
      </c>
      <c r="R96" t="s">
        <v>1242</v>
      </c>
      <c r="S96">
        <v>5.3784000000000001</v>
      </c>
      <c r="T96">
        <v>2.8714</v>
      </c>
      <c r="U96" t="s">
        <v>1144</v>
      </c>
      <c r="V96" t="s">
        <v>1170</v>
      </c>
      <c r="W96">
        <v>5.0250000000000004</v>
      </c>
      <c r="X96">
        <v>2.5179999999999998</v>
      </c>
      <c r="Y96">
        <v>2</v>
      </c>
      <c r="Z96" t="s">
        <v>8</v>
      </c>
      <c r="AA96">
        <f>VLOOKUP(A96,Cover!A:R,18,0)</f>
        <v>0.5</v>
      </c>
      <c r="AB96" s="77">
        <f t="shared" si="74"/>
        <v>4.9718</v>
      </c>
      <c r="AC96" s="77">
        <f t="shared" si="75"/>
        <v>3.6965000000000003</v>
      </c>
      <c r="AD96" s="77">
        <f t="shared" si="76"/>
        <v>62.312628465433399</v>
      </c>
      <c r="AE96" s="77">
        <f t="shared" si="77"/>
        <v>55.142835832028055</v>
      </c>
      <c r="AF96" s="77">
        <f t="shared" si="78"/>
        <v>2.3714</v>
      </c>
      <c r="AG96" s="77">
        <f t="shared" si="79"/>
        <v>44.091179532946605</v>
      </c>
      <c r="AH96" s="77">
        <f t="shared" si="80"/>
        <v>5.0250000000000004</v>
      </c>
      <c r="AI96" s="77">
        <f t="shared" si="81"/>
        <v>2.5070000000000001</v>
      </c>
      <c r="AJ96" s="77">
        <f t="shared" si="82"/>
        <v>2.5180000000000002</v>
      </c>
      <c r="AK96" s="77">
        <f t="shared" si="83"/>
        <v>0.5</v>
      </c>
      <c r="AL96" s="77">
        <f t="shared" si="84"/>
        <v>2.0180000000000002</v>
      </c>
      <c r="AM96" s="77">
        <f t="shared" si="85"/>
        <v>40.159203980099505</v>
      </c>
      <c r="AN96" t="str">
        <f t="shared" si="64"/>
        <v>Capped</v>
      </c>
      <c r="AO96" t="s">
        <v>1146</v>
      </c>
      <c r="AP96" t="str">
        <f t="shared" si="65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6"/>
        <v xml:space="preserve">12V101F </v>
      </c>
    </row>
    <row r="97" spans="1:53">
      <c r="A97" s="35" t="s">
        <v>113</v>
      </c>
      <c r="B97" t="s">
        <v>1202</v>
      </c>
      <c r="C97" t="s">
        <v>1317</v>
      </c>
      <c r="D97" t="s">
        <v>1199</v>
      </c>
      <c r="E97" t="s">
        <v>873</v>
      </c>
      <c r="F97" t="s">
        <v>1149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1144</v>
      </c>
      <c r="Q97" t="s">
        <v>1150</v>
      </c>
      <c r="R97" t="s">
        <v>1154</v>
      </c>
      <c r="S97">
        <v>21.1248</v>
      </c>
      <c r="T97">
        <v>11.3148</v>
      </c>
      <c r="U97" t="s">
        <v>1141</v>
      </c>
      <c r="V97" t="s">
        <v>1318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4"/>
        <v>9.81</v>
      </c>
      <c r="AC97" s="77">
        <f t="shared" si="75"/>
        <v>1.635</v>
      </c>
      <c r="AD97" s="77">
        <f t="shared" si="76"/>
        <v>50</v>
      </c>
      <c r="AE97" s="77">
        <f t="shared" si="77"/>
        <v>14.285714285714286</v>
      </c>
      <c r="AF97" s="77">
        <f t="shared" si="78"/>
        <v>11.3148</v>
      </c>
      <c r="AG97" s="77">
        <f t="shared" si="79"/>
        <v>53.56169052488071</v>
      </c>
      <c r="AH97" s="77">
        <f t="shared" si="80"/>
        <v>19.5</v>
      </c>
      <c r="AI97" s="77">
        <f t="shared" si="81"/>
        <v>9.81</v>
      </c>
      <c r="AJ97" s="77">
        <f t="shared" si="82"/>
        <v>9.69</v>
      </c>
      <c r="AK97" s="77">
        <f t="shared" si="83"/>
        <v>0</v>
      </c>
      <c r="AL97" s="77">
        <f t="shared" si="84"/>
        <v>9.69</v>
      </c>
      <c r="AM97" s="77">
        <f t="shared" si="85"/>
        <v>49.692307692307686</v>
      </c>
      <c r="AN97" t="str">
        <f t="shared" si="64"/>
        <v>Capped</v>
      </c>
      <c r="AO97" t="s">
        <v>1146</v>
      </c>
      <c r="AP97" t="str">
        <f t="shared" si="65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6"/>
        <v>DDm100-25</v>
      </c>
    </row>
    <row r="98" spans="1:53">
      <c r="A98" s="35" t="s">
        <v>114</v>
      </c>
      <c r="B98" t="s">
        <v>1184</v>
      </c>
      <c r="C98" t="s">
        <v>1319</v>
      </c>
      <c r="D98" t="s">
        <v>1138</v>
      </c>
      <c r="E98" t="s">
        <v>982</v>
      </c>
      <c r="F98" t="s">
        <v>1140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1186</v>
      </c>
      <c r="Q98" t="s">
        <v>1168</v>
      </c>
      <c r="R98" t="s">
        <v>1320</v>
      </c>
      <c r="S98">
        <v>11.184480000000001</v>
      </c>
      <c r="T98">
        <v>10.639480000000001</v>
      </c>
      <c r="U98" t="s">
        <v>1144</v>
      </c>
      <c r="V98" t="s">
        <v>1145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4"/>
        <v>7.4337999999999997</v>
      </c>
      <c r="AC98" s="77">
        <f t="shared" si="75"/>
        <v>3.2155</v>
      </c>
      <c r="AD98" s="77">
        <f t="shared" si="76"/>
        <v>93.169398907103826</v>
      </c>
      <c r="AE98" s="77">
        <f t="shared" si="77"/>
        <v>85.507246376811594</v>
      </c>
      <c r="AF98" s="77">
        <f t="shared" si="78"/>
        <v>10.639480000000001</v>
      </c>
      <c r="AG98" s="77">
        <f t="shared" si="79"/>
        <v>95.127176229918604</v>
      </c>
      <c r="AH98" s="77">
        <f t="shared" si="80"/>
        <v>7.5</v>
      </c>
      <c r="AI98" s="77">
        <f t="shared" si="81"/>
        <v>0.54500000000000004</v>
      </c>
      <c r="AJ98" s="77">
        <f t="shared" si="82"/>
        <v>6.9550000000000001</v>
      </c>
      <c r="AK98" s="77">
        <f t="shared" si="83"/>
        <v>0</v>
      </c>
      <c r="AL98" s="77">
        <f t="shared" si="84"/>
        <v>6.9550000000000001</v>
      </c>
      <c r="AM98" s="77">
        <f t="shared" si="85"/>
        <v>92.733333333333334</v>
      </c>
      <c r="AN98" t="str">
        <f t="shared" si="64"/>
        <v/>
      </c>
      <c r="AO98" t="s">
        <v>1146</v>
      </c>
      <c r="AP98" t="str">
        <f t="shared" si="65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6"/>
        <v>12V190F</v>
      </c>
    </row>
    <row r="99" spans="1:53">
      <c r="A99" s="35" t="s">
        <v>115</v>
      </c>
      <c r="B99" t="s">
        <v>1164</v>
      </c>
      <c r="C99" t="s">
        <v>1321</v>
      </c>
      <c r="D99" t="s">
        <v>1133</v>
      </c>
      <c r="E99" t="s">
        <v>1322</v>
      </c>
      <c r="F99" t="s">
        <v>1323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1186</v>
      </c>
      <c r="Q99" t="s">
        <v>1168</v>
      </c>
      <c r="R99" t="s">
        <v>1169</v>
      </c>
      <c r="S99">
        <v>5.1840000000000002</v>
      </c>
      <c r="T99">
        <v>3.222</v>
      </c>
      <c r="U99" t="s">
        <v>1324</v>
      </c>
      <c r="V99" t="s">
        <v>1324</v>
      </c>
      <c r="W99">
        <v>0</v>
      </c>
      <c r="X99">
        <v>-1.962</v>
      </c>
      <c r="Y99">
        <v>0</v>
      </c>
      <c r="Z99" t="s">
        <v>1325</v>
      </c>
      <c r="AA99">
        <f>VLOOKUP(A99,Cover!A:R,18,0)</f>
        <v>4</v>
      </c>
      <c r="AB99" s="77">
        <f t="shared" si="74"/>
        <v>-1.0569999999999999</v>
      </c>
      <c r="AC99" s="77">
        <f t="shared" si="75"/>
        <v>-0.15775000000000006</v>
      </c>
      <c r="AD99" s="77">
        <f t="shared" si="76"/>
        <v>-21.549439347604483</v>
      </c>
      <c r="AE99" s="77">
        <f t="shared" si="77"/>
        <v>-2.7178360683981575</v>
      </c>
      <c r="AF99" s="77">
        <f t="shared" si="78"/>
        <v>-0.77800000000000002</v>
      </c>
      <c r="AG99" s="77">
        <f t="shared" si="79"/>
        <v>-15.007716049382715</v>
      </c>
      <c r="AH99" s="77">
        <f t="shared" si="80"/>
        <v>0</v>
      </c>
      <c r="AI99" s="77">
        <f t="shared" si="81"/>
        <v>1.962</v>
      </c>
      <c r="AJ99" s="77">
        <f t="shared" si="82"/>
        <v>-1.962</v>
      </c>
      <c r="AK99" s="77">
        <f t="shared" si="83"/>
        <v>4</v>
      </c>
      <c r="AL99" s="77">
        <f t="shared" si="84"/>
        <v>-5.9619999999999997</v>
      </c>
      <c r="AM99" s="77" t="e">
        <f>AL99/AH99%</f>
        <v>#DIV/0!</v>
      </c>
      <c r="AN99" t="str">
        <f t="shared" si="64"/>
        <v>Capped</v>
      </c>
      <c r="AO99" t="s">
        <v>1146</v>
      </c>
      <c r="AP99" t="str">
        <f t="shared" si="65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6"/>
        <v>SBS C11F</v>
      </c>
    </row>
    <row r="100" spans="1:53">
      <c r="A100" s="35" t="s">
        <v>116</v>
      </c>
      <c r="B100" t="s">
        <v>1202</v>
      </c>
      <c r="C100" t="s">
        <v>1326</v>
      </c>
      <c r="D100" t="s">
        <v>1138</v>
      </c>
      <c r="E100" t="s">
        <v>901</v>
      </c>
      <c r="F100" t="s">
        <v>1167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1141</v>
      </c>
      <c r="Q100" t="s">
        <v>1168</v>
      </c>
      <c r="R100" t="s">
        <v>1247</v>
      </c>
      <c r="S100">
        <v>2.92896</v>
      </c>
      <c r="T100">
        <v>1.8389599999999999</v>
      </c>
      <c r="U100" t="s">
        <v>1144</v>
      </c>
      <c r="V100" t="s">
        <v>1327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4"/>
        <v>0.78760000000000008</v>
      </c>
      <c r="AC100" s="77">
        <f t="shared" si="75"/>
        <v>0.19900000000000007</v>
      </c>
      <c r="AD100" s="77">
        <f t="shared" si="76"/>
        <v>27.370030581039757</v>
      </c>
      <c r="AE100" s="77">
        <f t="shared" si="77"/>
        <v>8.6937527304499813</v>
      </c>
      <c r="AF100" s="77">
        <f t="shared" si="78"/>
        <v>0.83895999999999993</v>
      </c>
      <c r="AG100" s="77">
        <f t="shared" si="79"/>
        <v>28.643614115590516</v>
      </c>
      <c r="AH100" s="77">
        <f t="shared" si="80"/>
        <v>3.375</v>
      </c>
      <c r="AI100" s="77">
        <f t="shared" si="81"/>
        <v>1.0900000000000001</v>
      </c>
      <c r="AJ100" s="77">
        <f t="shared" si="82"/>
        <v>2.2850000000000001</v>
      </c>
      <c r="AK100" s="77">
        <f t="shared" si="83"/>
        <v>1</v>
      </c>
      <c r="AL100" s="77">
        <f t="shared" si="84"/>
        <v>1.2850000000000001</v>
      </c>
      <c r="AM100" s="77">
        <f t="shared" si="85"/>
        <v>38.074074074074076</v>
      </c>
      <c r="AN100" t="str">
        <f t="shared" si="64"/>
        <v/>
      </c>
      <c r="AO100" t="s">
        <v>1146</v>
      </c>
      <c r="AP100" t="str">
        <f t="shared" si="65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6"/>
        <v>12V100F</v>
      </c>
    </row>
    <row r="101" spans="1:53">
      <c r="A101" s="35" t="s">
        <v>117</v>
      </c>
      <c r="B101" t="s">
        <v>1147</v>
      </c>
      <c r="C101" t="s">
        <v>1328</v>
      </c>
      <c r="D101" t="s">
        <v>1138</v>
      </c>
      <c r="E101" t="s">
        <v>1329</v>
      </c>
      <c r="F101" t="s">
        <v>1149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1144</v>
      </c>
      <c r="Q101" t="s">
        <v>1150</v>
      </c>
      <c r="R101" t="s">
        <v>1330</v>
      </c>
      <c r="S101">
        <v>14.428800000000001</v>
      </c>
      <c r="T101">
        <v>1.1308</v>
      </c>
      <c r="U101" t="s">
        <v>1144</v>
      </c>
      <c r="V101" t="s">
        <v>1145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4"/>
        <v>3.052</v>
      </c>
      <c r="AC101" s="77">
        <f t="shared" si="75"/>
        <v>-2.1255000000000002</v>
      </c>
      <c r="AD101" s="77">
        <f t="shared" si="76"/>
        <v>18.666666666666668</v>
      </c>
      <c r="AE101" s="77">
        <f t="shared" si="77"/>
        <v>-19.024390243902442</v>
      </c>
      <c r="AF101" s="77">
        <f t="shared" si="78"/>
        <v>1.1308</v>
      </c>
      <c r="AG101" s="77">
        <f t="shared" si="79"/>
        <v>7.8371035706365051</v>
      </c>
      <c r="AH101" s="77">
        <f t="shared" si="80"/>
        <v>7.5</v>
      </c>
      <c r="AI101" s="77">
        <f t="shared" si="81"/>
        <v>13.298</v>
      </c>
      <c r="AJ101" s="77">
        <f t="shared" si="82"/>
        <v>-5.798</v>
      </c>
      <c r="AK101" s="77">
        <f t="shared" si="83"/>
        <v>0</v>
      </c>
      <c r="AL101" s="77">
        <f t="shared" si="84"/>
        <v>-5.798</v>
      </c>
      <c r="AM101" s="77">
        <f t="shared" si="85"/>
        <v>-77.306666666666672</v>
      </c>
      <c r="AN101" t="str">
        <f t="shared" si="64"/>
        <v/>
      </c>
      <c r="AO101" t="s">
        <v>1146</v>
      </c>
      <c r="AP101" t="str">
        <f t="shared" si="65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6"/>
        <v>DDm85-21</v>
      </c>
    </row>
    <row r="102" spans="1:53">
      <c r="A102" s="35" t="s">
        <v>118</v>
      </c>
      <c r="B102" t="s">
        <v>1147</v>
      </c>
      <c r="C102" t="s">
        <v>1328</v>
      </c>
      <c r="D102" t="s">
        <v>1133</v>
      </c>
      <c r="E102" t="s">
        <v>936</v>
      </c>
      <c r="F102" t="s">
        <v>1140</v>
      </c>
      <c r="G102">
        <v>36.6</v>
      </c>
      <c r="H102">
        <v>50</v>
      </c>
      <c r="I102">
        <v>437</v>
      </c>
      <c r="J102">
        <v>23.816500000000001</v>
      </c>
      <c r="K102" s="64">
        <v>45415</v>
      </c>
      <c r="L102">
        <v>78.192239999999998</v>
      </c>
      <c r="M102">
        <v>54.37574</v>
      </c>
      <c r="N102">
        <v>54.140300000000003</v>
      </c>
      <c r="O102">
        <v>30.323799999999999</v>
      </c>
      <c r="P102" t="s">
        <v>1155</v>
      </c>
      <c r="Q102" t="s">
        <v>1150</v>
      </c>
      <c r="R102" t="s">
        <v>1161</v>
      </c>
      <c r="S102">
        <v>71.107200000000205</v>
      </c>
      <c r="T102">
        <v>47.2907000000002</v>
      </c>
      <c r="U102" t="s">
        <v>1173</v>
      </c>
      <c r="V102" t="s">
        <v>1331</v>
      </c>
      <c r="W102">
        <v>105</v>
      </c>
      <c r="X102">
        <v>81.183499999999995</v>
      </c>
      <c r="Y102">
        <v>4</v>
      </c>
      <c r="Z102" t="s">
        <v>1095</v>
      </c>
      <c r="AA102">
        <f>VLOOKUP(A102,Cover!A:R,18,0)</f>
        <v>22.55</v>
      </c>
      <c r="AB102" s="77">
        <f t="shared" si="74"/>
        <v>31.82574</v>
      </c>
      <c r="AC102" s="77">
        <f t="shared" si="75"/>
        <v>7.7737999999999978</v>
      </c>
      <c r="AD102" s="77">
        <f t="shared" si="76"/>
        <v>40.701916200379983</v>
      </c>
      <c r="AE102" s="77">
        <f t="shared" si="77"/>
        <v>14.358620103693546</v>
      </c>
      <c r="AF102" s="77">
        <f t="shared" si="78"/>
        <v>24.740700000000199</v>
      </c>
      <c r="AG102" s="77">
        <f t="shared" si="79"/>
        <v>34.793523018766216</v>
      </c>
      <c r="AH102" s="77">
        <f t="shared" si="80"/>
        <v>105</v>
      </c>
      <c r="AI102" s="77">
        <f t="shared" si="81"/>
        <v>23.816500000000001</v>
      </c>
      <c r="AJ102" s="77">
        <f t="shared" si="82"/>
        <v>81.183499999999995</v>
      </c>
      <c r="AK102" s="77">
        <f t="shared" si="83"/>
        <v>22.55</v>
      </c>
      <c r="AL102" s="77">
        <f t="shared" si="84"/>
        <v>58.633499999999998</v>
      </c>
      <c r="AM102" s="77">
        <f t="shared" si="85"/>
        <v>55.841428571428565</v>
      </c>
      <c r="AN102" t="str">
        <f t="shared" si="64"/>
        <v>Capped</v>
      </c>
      <c r="AO102" t="s">
        <v>1201</v>
      </c>
      <c r="AP102" t="str">
        <f t="shared" si="65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6"/>
        <v>DDm125-33</v>
      </c>
    </row>
    <row r="103" spans="1:53">
      <c r="A103" s="35" t="s">
        <v>119</v>
      </c>
      <c r="B103" t="s">
        <v>1147</v>
      </c>
      <c r="C103" t="s">
        <v>1328</v>
      </c>
      <c r="D103" t="s">
        <v>1133</v>
      </c>
      <c r="E103" t="s">
        <v>936</v>
      </c>
      <c r="F103" t="s">
        <v>1140</v>
      </c>
      <c r="G103">
        <v>36.6</v>
      </c>
      <c r="H103">
        <v>50</v>
      </c>
      <c r="I103">
        <v>503</v>
      </c>
      <c r="J103">
        <v>27.413499999999999</v>
      </c>
      <c r="K103" s="64">
        <v>45415</v>
      </c>
      <c r="L103">
        <v>78.192239999999998</v>
      </c>
      <c r="M103">
        <v>50.778739999999999</v>
      </c>
      <c r="N103">
        <v>54.140300000000003</v>
      </c>
      <c r="O103">
        <v>26.726800000000001</v>
      </c>
      <c r="P103" t="s">
        <v>1155</v>
      </c>
      <c r="Q103" t="s">
        <v>1150</v>
      </c>
      <c r="R103" t="s">
        <v>1161</v>
      </c>
      <c r="S103">
        <v>71.107200000000205</v>
      </c>
      <c r="T103">
        <v>43.693700000000199</v>
      </c>
      <c r="U103" t="s">
        <v>1173</v>
      </c>
      <c r="V103" t="s">
        <v>1331</v>
      </c>
      <c r="W103">
        <v>105</v>
      </c>
      <c r="X103">
        <v>77.586500000000001</v>
      </c>
      <c r="Y103">
        <v>4</v>
      </c>
      <c r="Z103" t="s">
        <v>1095</v>
      </c>
      <c r="AA103">
        <f>VLOOKUP(A103,Cover!A:R,18,0)</f>
        <v>22.05</v>
      </c>
      <c r="AB103" s="77">
        <f t="shared" si="74"/>
        <v>28.728739999999998</v>
      </c>
      <c r="AC103" s="77">
        <f t="shared" si="75"/>
        <v>4.6768000000000001</v>
      </c>
      <c r="AD103" s="77">
        <f t="shared" si="76"/>
        <v>36.741165107944212</v>
      </c>
      <c r="AE103" s="77">
        <f t="shared" si="77"/>
        <v>8.6382971649584501</v>
      </c>
      <c r="AF103" s="77">
        <f t="shared" si="78"/>
        <v>21.643700000000198</v>
      </c>
      <c r="AG103" s="77">
        <f t="shared" si="79"/>
        <v>30.438127221997402</v>
      </c>
      <c r="AH103" s="77">
        <f t="shared" si="80"/>
        <v>105</v>
      </c>
      <c r="AI103" s="77">
        <f t="shared" si="81"/>
        <v>27.413499999999999</v>
      </c>
      <c r="AJ103" s="77">
        <f t="shared" si="82"/>
        <v>77.586500000000001</v>
      </c>
      <c r="AK103" s="77">
        <f t="shared" si="83"/>
        <v>22.05</v>
      </c>
      <c r="AL103" s="77">
        <f t="shared" si="84"/>
        <v>55.536500000000004</v>
      </c>
      <c r="AM103" s="77">
        <f t="shared" si="85"/>
        <v>52.891904761904762</v>
      </c>
      <c r="AN103" t="str">
        <f t="shared" si="64"/>
        <v>Capped</v>
      </c>
      <c r="AO103" t="s">
        <v>1201</v>
      </c>
      <c r="AP103" t="str">
        <f t="shared" si="65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6"/>
        <v>DDm125-33</v>
      </c>
    </row>
    <row r="104" spans="1:53">
      <c r="A104" s="35" t="s">
        <v>120</v>
      </c>
      <c r="B104" t="s">
        <v>1147</v>
      </c>
      <c r="C104" t="s">
        <v>1328</v>
      </c>
      <c r="D104" t="s">
        <v>1199</v>
      </c>
      <c r="E104" t="s">
        <v>939</v>
      </c>
      <c r="F104" t="s">
        <v>1140</v>
      </c>
      <c r="G104">
        <v>36.6</v>
      </c>
      <c r="H104">
        <v>42</v>
      </c>
      <c r="I104">
        <v>447</v>
      </c>
      <c r="J104">
        <v>24.361499999999999</v>
      </c>
      <c r="K104" s="64">
        <v>45415</v>
      </c>
      <c r="L104">
        <v>65.426159999999996</v>
      </c>
      <c r="M104">
        <v>41.064660000000003</v>
      </c>
      <c r="N104">
        <v>55.213949999999997</v>
      </c>
      <c r="O104">
        <v>30.852450000000001</v>
      </c>
      <c r="P104" t="s">
        <v>1141</v>
      </c>
      <c r="Q104" t="s">
        <v>1150</v>
      </c>
      <c r="R104" t="s">
        <v>1332</v>
      </c>
      <c r="S104">
        <v>43.2864</v>
      </c>
      <c r="T104">
        <v>18.924900000000001</v>
      </c>
      <c r="U104" t="s">
        <v>1155</v>
      </c>
      <c r="V104" t="s">
        <v>1234</v>
      </c>
      <c r="W104">
        <v>67.5</v>
      </c>
      <c r="X104">
        <v>43.138500000000001</v>
      </c>
      <c r="Y104">
        <v>31</v>
      </c>
      <c r="Z104" t="s">
        <v>1095</v>
      </c>
      <c r="AA104">
        <f>VLOOKUP(A104,Cover!A:R,18,0)</f>
        <v>7.7515000000000001</v>
      </c>
      <c r="AB104" s="77">
        <f t="shared" si="74"/>
        <v>33.313160000000003</v>
      </c>
      <c r="AC104" s="77">
        <f t="shared" si="75"/>
        <v>23.100950000000001</v>
      </c>
      <c r="AD104" s="77">
        <f t="shared" si="76"/>
        <v>50.917186642162712</v>
      </c>
      <c r="AE104" s="77">
        <f t="shared" si="77"/>
        <v>41.83897366516976</v>
      </c>
      <c r="AF104" s="77">
        <f t="shared" si="78"/>
        <v>11.173400000000001</v>
      </c>
      <c r="AG104" s="77">
        <f t="shared" si="79"/>
        <v>25.812726399053744</v>
      </c>
      <c r="AH104" s="368">
        <f>AVERAGE(W104:W105)</f>
        <v>67.5</v>
      </c>
      <c r="AI104" s="368">
        <f>SUM(J104:J105)</f>
        <v>63.002000000000002</v>
      </c>
      <c r="AJ104" s="368">
        <f t="shared" si="82"/>
        <v>4.4979999999999976</v>
      </c>
      <c r="AK104" s="368">
        <f>SUM(AA104:AA105)</f>
        <v>15.503</v>
      </c>
      <c r="AL104" s="368">
        <f t="shared" si="84"/>
        <v>-11.005000000000003</v>
      </c>
      <c r="AM104" s="369">
        <f t="shared" si="85"/>
        <v>-16.303703703703707</v>
      </c>
      <c r="AN104" t="str">
        <f t="shared" si="64"/>
        <v>Capped</v>
      </c>
      <c r="AO104" t="s">
        <v>1201</v>
      </c>
      <c r="AP104" t="str">
        <f t="shared" si="65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6"/>
        <v>DDm125-27</v>
      </c>
    </row>
    <row r="105" spans="1:53">
      <c r="A105" s="35" t="s">
        <v>121</v>
      </c>
      <c r="B105" t="s">
        <v>1147</v>
      </c>
      <c r="C105" t="s">
        <v>1328</v>
      </c>
      <c r="D105" t="s">
        <v>1199</v>
      </c>
      <c r="E105" t="s">
        <v>939</v>
      </c>
      <c r="F105" t="s">
        <v>1140</v>
      </c>
      <c r="G105">
        <v>36.6</v>
      </c>
      <c r="H105">
        <v>42</v>
      </c>
      <c r="I105">
        <v>709</v>
      </c>
      <c r="J105">
        <v>38.640500000000003</v>
      </c>
      <c r="K105" s="64">
        <v>45415</v>
      </c>
      <c r="L105">
        <v>65.426159999999996</v>
      </c>
      <c r="M105">
        <v>26.78566</v>
      </c>
      <c r="N105">
        <v>55.213949999999997</v>
      </c>
      <c r="O105">
        <v>16.573450000000001</v>
      </c>
      <c r="P105" t="s">
        <v>1141</v>
      </c>
      <c r="Q105" t="s">
        <v>1150</v>
      </c>
      <c r="R105" t="s">
        <v>1332</v>
      </c>
      <c r="S105">
        <v>43.2864</v>
      </c>
      <c r="T105">
        <v>4.6459000000000001</v>
      </c>
      <c r="U105" t="s">
        <v>1155</v>
      </c>
      <c r="V105" t="s">
        <v>1234</v>
      </c>
      <c r="W105">
        <v>67.5</v>
      </c>
      <c r="X105">
        <v>28.859500000000001</v>
      </c>
      <c r="Y105">
        <v>31</v>
      </c>
      <c r="Z105" t="s">
        <v>1095</v>
      </c>
      <c r="AA105">
        <f>VLOOKUP(A105,Cover!A:R,18,0)</f>
        <v>7.7515000000000001</v>
      </c>
      <c r="AB105" s="77">
        <f t="shared" si="74"/>
        <v>19.03416</v>
      </c>
      <c r="AC105" s="77">
        <f t="shared" si="75"/>
        <v>8.8219500000000011</v>
      </c>
      <c r="AD105" s="77">
        <f t="shared" si="76"/>
        <v>29.092583150226147</v>
      </c>
      <c r="AE105" s="77">
        <f t="shared" si="77"/>
        <v>15.977755621541297</v>
      </c>
      <c r="AF105" s="77">
        <f t="shared" si="78"/>
        <v>-3.1055999999999999</v>
      </c>
      <c r="AG105" s="77">
        <f t="shared" si="79"/>
        <v>-7.1745398092703478</v>
      </c>
      <c r="AH105" s="368"/>
      <c r="AI105" s="368"/>
      <c r="AJ105" s="368"/>
      <c r="AK105" s="368"/>
      <c r="AL105" s="368"/>
      <c r="AM105" s="369"/>
      <c r="AN105" t="str">
        <f t="shared" si="64"/>
        <v>Capped</v>
      </c>
      <c r="AO105" t="s">
        <v>1201</v>
      </c>
      <c r="AP105" t="str">
        <f t="shared" si="65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6"/>
        <v>DDm125-27</v>
      </c>
    </row>
    <row r="106" spans="1:53">
      <c r="A106" s="35" t="s">
        <v>122</v>
      </c>
      <c r="B106" t="s">
        <v>1147</v>
      </c>
      <c r="C106" t="s">
        <v>1333</v>
      </c>
      <c r="D106" t="s">
        <v>1138</v>
      </c>
      <c r="E106" t="s">
        <v>1334</v>
      </c>
      <c r="F106" t="s">
        <v>1323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1186</v>
      </c>
      <c r="Q106" t="s">
        <v>1168</v>
      </c>
      <c r="R106" t="s">
        <v>1169</v>
      </c>
      <c r="S106">
        <v>5.1840000000000002</v>
      </c>
      <c r="T106">
        <v>2.5680000000000001</v>
      </c>
      <c r="U106" t="s">
        <v>1144</v>
      </c>
      <c r="V106" t="s">
        <v>1170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4"/>
        <v>1.2890000000000001</v>
      </c>
      <c r="AC106" s="77">
        <f t="shared" si="75"/>
        <v>2.18825</v>
      </c>
      <c r="AD106" s="77">
        <f t="shared" si="76"/>
        <v>26.279306829765545</v>
      </c>
      <c r="AE106" s="77">
        <f t="shared" si="77"/>
        <v>37.700822673041309</v>
      </c>
      <c r="AF106" s="77">
        <f t="shared" si="78"/>
        <v>1.5680000000000001</v>
      </c>
      <c r="AG106" s="77">
        <f t="shared" si="79"/>
        <v>30.246913580246911</v>
      </c>
      <c r="AH106" s="77">
        <f t="shared" si="80"/>
        <v>5.0250000000000004</v>
      </c>
      <c r="AI106" s="77">
        <f t="shared" si="81"/>
        <v>2.6160000000000001</v>
      </c>
      <c r="AJ106" s="77">
        <f t="shared" si="82"/>
        <v>2.4090000000000003</v>
      </c>
      <c r="AK106" s="77">
        <f t="shared" si="83"/>
        <v>1</v>
      </c>
      <c r="AL106" s="77">
        <f t="shared" si="84"/>
        <v>1.4090000000000003</v>
      </c>
      <c r="AM106" s="77">
        <f t="shared" si="85"/>
        <v>28.03980099502488</v>
      </c>
      <c r="AN106" t="str">
        <f t="shared" si="64"/>
        <v/>
      </c>
      <c r="AO106" t="s">
        <v>1146</v>
      </c>
      <c r="AP106" t="str">
        <f t="shared" si="65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6"/>
        <v>SBS C11F</v>
      </c>
    </row>
    <row r="107" spans="1:53">
      <c r="A107" s="35" t="s">
        <v>123</v>
      </c>
      <c r="B107" t="s">
        <v>1188</v>
      </c>
      <c r="C107" t="s">
        <v>1335</v>
      </c>
      <c r="D107" t="s">
        <v>1138</v>
      </c>
      <c r="E107" t="s">
        <v>855</v>
      </c>
      <c r="F107" t="s">
        <v>1140</v>
      </c>
      <c r="G107">
        <v>36.6</v>
      </c>
      <c r="H107">
        <v>9</v>
      </c>
      <c r="I107">
        <v>49</v>
      </c>
      <c r="J107">
        <v>2.6705000000000001</v>
      </c>
      <c r="K107" s="64">
        <v>45415</v>
      </c>
      <c r="L107">
        <v>12.766080000000001</v>
      </c>
      <c r="M107">
        <v>10.09558</v>
      </c>
      <c r="N107">
        <v>9.4720999999999993</v>
      </c>
      <c r="O107">
        <v>6.8015999999999996</v>
      </c>
      <c r="P107" t="s">
        <v>1144</v>
      </c>
      <c r="Q107" t="s">
        <v>1150</v>
      </c>
      <c r="R107" t="s">
        <v>1178</v>
      </c>
      <c r="S107">
        <v>10.1088</v>
      </c>
      <c r="T107">
        <v>7.4382999999999804</v>
      </c>
      <c r="U107" t="s">
        <v>1144</v>
      </c>
      <c r="V107" t="s">
        <v>1240</v>
      </c>
      <c r="W107">
        <v>11.25</v>
      </c>
      <c r="X107">
        <v>8.5794999999999995</v>
      </c>
      <c r="Y107">
        <v>19</v>
      </c>
      <c r="AA107">
        <f>VLOOKUP(A107,Cover!A:R,18,0)</f>
        <v>1</v>
      </c>
      <c r="AB107" s="77">
        <f t="shared" si="74"/>
        <v>9.09558</v>
      </c>
      <c r="AC107" s="77">
        <f t="shared" si="75"/>
        <v>5.8015999999999996</v>
      </c>
      <c r="AD107" s="77">
        <f t="shared" si="76"/>
        <v>71.248026018950213</v>
      </c>
      <c r="AE107" s="77">
        <f t="shared" si="77"/>
        <v>61.249353364090325</v>
      </c>
      <c r="AF107" s="77">
        <f t="shared" si="78"/>
        <v>6.4382999999999804</v>
      </c>
      <c r="AG107" s="77">
        <f t="shared" si="79"/>
        <v>63.690052231718695</v>
      </c>
      <c r="AH107" s="77">
        <f t="shared" si="80"/>
        <v>11.25</v>
      </c>
      <c r="AI107" s="77">
        <f t="shared" si="81"/>
        <v>2.6705000000000001</v>
      </c>
      <c r="AJ107" s="77">
        <f t="shared" si="82"/>
        <v>8.5794999999999995</v>
      </c>
      <c r="AK107" s="77">
        <f t="shared" si="83"/>
        <v>1</v>
      </c>
      <c r="AL107" s="77">
        <f t="shared" si="84"/>
        <v>7.5794999999999995</v>
      </c>
      <c r="AM107" s="77">
        <f t="shared" si="85"/>
        <v>67.373333333333321</v>
      </c>
      <c r="AN107" t="str">
        <f t="shared" si="64"/>
        <v/>
      </c>
      <c r="AO107" t="s">
        <v>1146</v>
      </c>
      <c r="AP107" t="str">
        <f t="shared" si="65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6"/>
        <v>2DDm85-15</v>
      </c>
    </row>
    <row r="108" spans="1:53">
      <c r="A108" s="35" t="s">
        <v>124</v>
      </c>
      <c r="B108" t="s">
        <v>1184</v>
      </c>
      <c r="C108" t="s">
        <v>1336</v>
      </c>
      <c r="D108" t="s">
        <v>1138</v>
      </c>
      <c r="E108" t="s">
        <v>983</v>
      </c>
      <c r="F108" t="s">
        <v>1140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1144</v>
      </c>
      <c r="Q108" t="s">
        <v>1150</v>
      </c>
      <c r="R108" t="s">
        <v>1262</v>
      </c>
      <c r="S108">
        <v>22.982399999999998</v>
      </c>
      <c r="T108">
        <v>12.0824</v>
      </c>
      <c r="U108" t="s">
        <v>1160</v>
      </c>
      <c r="V108" t="s">
        <v>1337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4"/>
        <v>13.227920000000001</v>
      </c>
      <c r="AC108" s="77">
        <f t="shared" si="75"/>
        <v>5.1859000000000002</v>
      </c>
      <c r="AD108" s="77">
        <f t="shared" si="76"/>
        <v>48.761276205473919</v>
      </c>
      <c r="AE108" s="77">
        <f t="shared" si="77"/>
        <v>27.171367344479432</v>
      </c>
      <c r="AF108" s="77">
        <f t="shared" si="78"/>
        <v>9.0823999999999998</v>
      </c>
      <c r="AG108" s="77">
        <f t="shared" si="79"/>
        <v>39.518936229462547</v>
      </c>
      <c r="AH108" s="77">
        <f t="shared" si="80"/>
        <v>50.25</v>
      </c>
      <c r="AI108" s="77">
        <f t="shared" si="81"/>
        <v>10.9</v>
      </c>
      <c r="AJ108" s="77">
        <f t="shared" si="82"/>
        <v>39.35</v>
      </c>
      <c r="AK108" s="77">
        <f t="shared" si="83"/>
        <v>3</v>
      </c>
      <c r="AL108" s="77">
        <f t="shared" si="84"/>
        <v>36.35</v>
      </c>
      <c r="AM108" s="77">
        <f t="shared" si="85"/>
        <v>72.338308457711449</v>
      </c>
      <c r="AN108" t="str">
        <f t="shared" si="64"/>
        <v/>
      </c>
      <c r="AO108" t="s">
        <v>1146</v>
      </c>
      <c r="AP108" t="str">
        <f t="shared" si="65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6"/>
        <v>DDm85-33</v>
      </c>
    </row>
    <row r="109" spans="1:53">
      <c r="A109" s="35" t="s">
        <v>125</v>
      </c>
      <c r="B109" t="s">
        <v>1184</v>
      </c>
      <c r="C109" t="s">
        <v>1336</v>
      </c>
      <c r="D109" t="s">
        <v>1138</v>
      </c>
      <c r="E109" t="s">
        <v>983</v>
      </c>
      <c r="F109" t="s">
        <v>1140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1144</v>
      </c>
      <c r="Q109" t="s">
        <v>1150</v>
      </c>
      <c r="R109" t="s">
        <v>1151</v>
      </c>
      <c r="S109">
        <v>17.409600000000001</v>
      </c>
      <c r="T109">
        <v>16.7011</v>
      </c>
      <c r="U109" t="s">
        <v>1160</v>
      </c>
      <c r="V109" t="s">
        <v>1337</v>
      </c>
      <c r="W109">
        <v>50.25</v>
      </c>
      <c r="X109">
        <v>49.541499999999999</v>
      </c>
      <c r="Y109">
        <v>71</v>
      </c>
      <c r="AA109">
        <f>VLOOKUP(A109,Cover!A:R,18,0)</f>
        <v>5.9</v>
      </c>
      <c r="AB109" s="77">
        <f t="shared" ref="AB109" si="90">M109-AA109</f>
        <v>17.3279</v>
      </c>
      <c r="AC109" s="77">
        <f t="shared" ref="AC109" si="91">O109-AA109</f>
        <v>12.194000000000001</v>
      </c>
      <c r="AD109" s="77">
        <f t="shared" ref="AD109" si="92">AB109/L109%</f>
        <v>72.391420597917815</v>
      </c>
      <c r="AE109" s="77">
        <f t="shared" ref="AE109" si="93">AC109/N109%</f>
        <v>64.853078048131906</v>
      </c>
      <c r="AF109" s="77">
        <f t="shared" ref="AF109" si="94">T109-AA109</f>
        <v>10.8011</v>
      </c>
      <c r="AG109" s="77">
        <f t="shared" ref="AG109" si="95">AF109/S109%</f>
        <v>62.041057807186839</v>
      </c>
      <c r="AH109" s="368">
        <f>AVERAGE(W109:W110)</f>
        <v>50.25</v>
      </c>
      <c r="AI109" s="368">
        <f>SUM(J109:J110)</f>
        <v>1.3080000000000001</v>
      </c>
      <c r="AJ109" s="368">
        <f t="shared" ref="AJ109" si="96">AH109-AI109</f>
        <v>48.942</v>
      </c>
      <c r="AK109" s="368">
        <f>SUM(AA109:AA110)</f>
        <v>11.7</v>
      </c>
      <c r="AL109" s="368">
        <f t="shared" ref="AL109" si="97">AJ109-AK109</f>
        <v>37.242000000000004</v>
      </c>
      <c r="AM109" s="369">
        <f t="shared" ref="AM109" si="98">AL109/AH109%</f>
        <v>74.113432835820916</v>
      </c>
      <c r="AN109" t="str">
        <f t="shared" si="64"/>
        <v/>
      </c>
      <c r="AO109" s="52" t="s">
        <v>1201</v>
      </c>
      <c r="AP109" t="str">
        <f t="shared" ref="AP109" si="99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6"/>
        <v>DDm85-25</v>
      </c>
    </row>
    <row r="110" spans="1:53">
      <c r="A110" s="35" t="s">
        <v>126</v>
      </c>
      <c r="B110" t="s">
        <v>1184</v>
      </c>
      <c r="C110" t="s">
        <v>1336</v>
      </c>
      <c r="D110" t="s">
        <v>1138</v>
      </c>
      <c r="E110" t="s">
        <v>983</v>
      </c>
      <c r="F110" t="s">
        <v>1140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1144</v>
      </c>
      <c r="Q110" t="s">
        <v>1150</v>
      </c>
      <c r="R110" t="s">
        <v>1151</v>
      </c>
      <c r="S110">
        <v>17.409600000000001</v>
      </c>
      <c r="T110">
        <v>16.810099999999998</v>
      </c>
      <c r="U110" t="s">
        <v>1160</v>
      </c>
      <c r="V110" t="s">
        <v>1337</v>
      </c>
      <c r="W110">
        <v>50.25</v>
      </c>
      <c r="X110">
        <v>49.650500000000001</v>
      </c>
      <c r="Y110">
        <v>71</v>
      </c>
      <c r="AA110">
        <f>VLOOKUP(A110,Cover!A:R,18,0)</f>
        <v>5.8</v>
      </c>
      <c r="AB110" s="77">
        <f t="shared" si="74"/>
        <v>17.536899999999999</v>
      </c>
      <c r="AC110" s="77">
        <f t="shared" si="75"/>
        <v>12.402999999999999</v>
      </c>
      <c r="AD110" s="77">
        <f t="shared" si="76"/>
        <v>73.264567771260502</v>
      </c>
      <c r="AE110" s="77">
        <f t="shared" si="77"/>
        <v>65.964632362717722</v>
      </c>
      <c r="AF110" s="77">
        <f t="shared" si="78"/>
        <v>11.010099999999998</v>
      </c>
      <c r="AG110" s="77">
        <f t="shared" si="79"/>
        <v>63.241544894770691</v>
      </c>
      <c r="AH110" s="368"/>
      <c r="AI110" s="368"/>
      <c r="AJ110" s="368"/>
      <c r="AK110" s="368"/>
      <c r="AL110" s="368"/>
      <c r="AM110" s="369"/>
      <c r="AN110" t="str">
        <f t="shared" si="64"/>
        <v/>
      </c>
      <c r="AO110" s="52" t="s">
        <v>1201</v>
      </c>
      <c r="AP110" t="str">
        <f t="shared" si="65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6"/>
        <v>DDm85-25</v>
      </c>
    </row>
    <row r="111" spans="1:53">
      <c r="A111" s="35" t="s">
        <v>127</v>
      </c>
      <c r="B111" t="s">
        <v>1171</v>
      </c>
      <c r="C111" t="s">
        <v>1338</v>
      </c>
      <c r="D111" t="s">
        <v>1138</v>
      </c>
      <c r="E111" t="s">
        <v>953</v>
      </c>
      <c r="F111" t="s">
        <v>1140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1144</v>
      </c>
      <c r="Q111" t="s">
        <v>1150</v>
      </c>
      <c r="R111" t="s">
        <v>1339</v>
      </c>
      <c r="S111">
        <v>26.654399999999999</v>
      </c>
      <c r="T111">
        <v>18.751899999999999</v>
      </c>
      <c r="U111" t="s">
        <v>1141</v>
      </c>
      <c r="V111" t="s">
        <v>1152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4"/>
        <v>22.41694</v>
      </c>
      <c r="AC111" s="77">
        <f t="shared" si="75"/>
        <v>13.646800000000001</v>
      </c>
      <c r="AD111" s="77">
        <f t="shared" si="76"/>
        <v>73.935864250790914</v>
      </c>
      <c r="AE111" s="77">
        <f t="shared" si="77"/>
        <v>63.328275164390497</v>
      </c>
      <c r="AF111" s="77">
        <f t="shared" si="78"/>
        <v>18.751899999999999</v>
      </c>
      <c r="AG111" s="77">
        <f t="shared" si="79"/>
        <v>70.351986913980426</v>
      </c>
      <c r="AH111" s="77">
        <f t="shared" si="80"/>
        <v>22.5</v>
      </c>
      <c r="AI111" s="77">
        <f t="shared" si="81"/>
        <v>7.9024999999999999</v>
      </c>
      <c r="AJ111" s="77">
        <f t="shared" si="82"/>
        <v>14.5975</v>
      </c>
      <c r="AK111" s="77">
        <f t="shared" si="83"/>
        <v>0</v>
      </c>
      <c r="AL111" s="77">
        <f t="shared" si="84"/>
        <v>14.5975</v>
      </c>
      <c r="AM111" s="77">
        <f t="shared" si="85"/>
        <v>64.87777777777778</v>
      </c>
      <c r="AN111" t="str">
        <f t="shared" si="64"/>
        <v/>
      </c>
      <c r="AO111" t="s">
        <v>1146</v>
      </c>
      <c r="AP111" t="str">
        <f t="shared" si="65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6"/>
        <v>DDm125-25</v>
      </c>
    </row>
    <row r="112" spans="1:53">
      <c r="A112" s="35" t="s">
        <v>128</v>
      </c>
      <c r="B112" t="s">
        <v>1202</v>
      </c>
      <c r="C112" t="s">
        <v>1340</v>
      </c>
      <c r="D112" t="s">
        <v>1181</v>
      </c>
      <c r="E112" t="s">
        <v>1341</v>
      </c>
      <c r="F112" t="s">
        <v>1167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1155</v>
      </c>
      <c r="Q112" t="s">
        <v>1150</v>
      </c>
      <c r="R112" t="s">
        <v>1305</v>
      </c>
      <c r="S112">
        <v>3.7670400000000002</v>
      </c>
      <c r="T112">
        <v>3.0585399999999998</v>
      </c>
      <c r="U112" t="s">
        <v>1144</v>
      </c>
      <c r="V112" t="s">
        <v>1170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4"/>
        <v>4.0875000000000004</v>
      </c>
      <c r="AC112" s="77">
        <f t="shared" si="75"/>
        <v>3.1065</v>
      </c>
      <c r="AD112" s="77">
        <f t="shared" si="76"/>
        <v>85.227272727272734</v>
      </c>
      <c r="AE112" s="77">
        <f t="shared" si="77"/>
        <v>81.428571428571431</v>
      </c>
      <c r="AF112" s="77">
        <f t="shared" si="78"/>
        <v>3.0585399999999998</v>
      </c>
      <c r="AG112" s="77">
        <f t="shared" si="79"/>
        <v>81.192129629629619</v>
      </c>
      <c r="AH112" s="77">
        <f t="shared" si="80"/>
        <v>5.0250000000000004</v>
      </c>
      <c r="AI112" s="77">
        <f t="shared" si="81"/>
        <v>0.70850000000000002</v>
      </c>
      <c r="AJ112" s="77">
        <f t="shared" si="82"/>
        <v>4.3165000000000004</v>
      </c>
      <c r="AK112" s="77">
        <f t="shared" si="83"/>
        <v>0</v>
      </c>
      <c r="AL112" s="77">
        <f t="shared" si="84"/>
        <v>4.3165000000000004</v>
      </c>
      <c r="AM112" s="77">
        <f t="shared" si="85"/>
        <v>85.900497512437809</v>
      </c>
      <c r="AN112" t="str">
        <f t="shared" si="64"/>
        <v/>
      </c>
      <c r="AO112" t="s">
        <v>1146</v>
      </c>
      <c r="AP112" t="str">
        <f t="shared" si="65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6"/>
        <v>SBS 12V100F</v>
      </c>
    </row>
    <row r="113" spans="1:53">
      <c r="A113" s="35" t="s">
        <v>129</v>
      </c>
      <c r="B113" t="s">
        <v>1176</v>
      </c>
      <c r="C113" t="s">
        <v>1342</v>
      </c>
      <c r="D113" t="s">
        <v>1181</v>
      </c>
      <c r="E113" t="s">
        <v>1019</v>
      </c>
      <c r="F113" t="s">
        <v>1140</v>
      </c>
      <c r="G113">
        <v>36.6</v>
      </c>
      <c r="H113">
        <v>7</v>
      </c>
      <c r="I113">
        <v>52</v>
      </c>
      <c r="J113">
        <v>2.8340000000000001</v>
      </c>
      <c r="K113" s="64">
        <v>45415</v>
      </c>
      <c r="L113">
        <v>9.57456</v>
      </c>
      <c r="M113">
        <v>6.7405600000000003</v>
      </c>
      <c r="N113">
        <v>8.4802</v>
      </c>
      <c r="O113">
        <v>5.6462000000000003</v>
      </c>
      <c r="P113" t="s">
        <v>1243</v>
      </c>
      <c r="Q113" t="s">
        <v>1168</v>
      </c>
      <c r="R113" t="s">
        <v>1247</v>
      </c>
      <c r="S113">
        <v>7.8105600000000104</v>
      </c>
      <c r="T113">
        <v>4.9765600000000099</v>
      </c>
      <c r="U113" t="s">
        <v>1144</v>
      </c>
      <c r="V113" t="s">
        <v>1240</v>
      </c>
      <c r="W113">
        <v>11.25</v>
      </c>
      <c r="X113">
        <v>8.4160000000000004</v>
      </c>
      <c r="Y113">
        <v>21</v>
      </c>
      <c r="AA113">
        <f>VLOOKUP(A113,Cover!A:R,18,0)</f>
        <v>0</v>
      </c>
      <c r="AB113" s="77">
        <f t="shared" si="74"/>
        <v>6.7405600000000003</v>
      </c>
      <c r="AC113" s="77">
        <f t="shared" si="75"/>
        <v>5.6462000000000003</v>
      </c>
      <c r="AD113" s="77">
        <f t="shared" si="76"/>
        <v>70.400728597449913</v>
      </c>
      <c r="AE113" s="77">
        <f t="shared" si="77"/>
        <v>66.580976863753222</v>
      </c>
      <c r="AF113" s="77">
        <f t="shared" si="78"/>
        <v>4.9765600000000099</v>
      </c>
      <c r="AG113" s="77">
        <f t="shared" si="79"/>
        <v>63.715789904949233</v>
      </c>
      <c r="AH113" s="77">
        <f t="shared" si="80"/>
        <v>11.25</v>
      </c>
      <c r="AI113" s="77">
        <f t="shared" si="81"/>
        <v>2.8340000000000001</v>
      </c>
      <c r="AJ113" s="77">
        <f t="shared" si="82"/>
        <v>8.4160000000000004</v>
      </c>
      <c r="AK113" s="77">
        <f t="shared" si="83"/>
        <v>0</v>
      </c>
      <c r="AL113" s="77">
        <f t="shared" si="84"/>
        <v>8.4160000000000004</v>
      </c>
      <c r="AM113" s="77">
        <f t="shared" si="85"/>
        <v>74.808888888888887</v>
      </c>
      <c r="AN113" t="str">
        <f t="shared" si="64"/>
        <v/>
      </c>
      <c r="AO113" t="s">
        <v>1146</v>
      </c>
      <c r="AP113" t="str">
        <f t="shared" si="65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6"/>
        <v>12V100F</v>
      </c>
    </row>
    <row r="114" spans="1:53">
      <c r="A114" s="35" t="s">
        <v>130</v>
      </c>
      <c r="B114" t="s">
        <v>1184</v>
      </c>
      <c r="C114" t="s">
        <v>1343</v>
      </c>
      <c r="D114" t="s">
        <v>1138</v>
      </c>
      <c r="E114" t="s">
        <v>985</v>
      </c>
      <c r="F114" t="s">
        <v>1140</v>
      </c>
      <c r="G114">
        <v>36.6</v>
      </c>
      <c r="H114">
        <v>18</v>
      </c>
      <c r="I114">
        <v>23</v>
      </c>
      <c r="J114">
        <v>1.2535000000000001</v>
      </c>
      <c r="K114" s="64">
        <v>45415</v>
      </c>
      <c r="L114">
        <v>27.12792</v>
      </c>
      <c r="M114">
        <v>25.874420000000001</v>
      </c>
      <c r="N114">
        <v>22.791899999999998</v>
      </c>
      <c r="O114">
        <v>21.538399999999999</v>
      </c>
      <c r="P114" t="s">
        <v>1144</v>
      </c>
      <c r="Q114" t="s">
        <v>1150</v>
      </c>
      <c r="R114" t="s">
        <v>1151</v>
      </c>
      <c r="S114">
        <v>17.409600000000001</v>
      </c>
      <c r="T114">
        <v>16.156099999999999</v>
      </c>
      <c r="U114" t="s">
        <v>1186</v>
      </c>
      <c r="V114" t="s">
        <v>1179</v>
      </c>
      <c r="W114">
        <v>112.5</v>
      </c>
      <c r="X114">
        <v>111.2465</v>
      </c>
      <c r="Y114">
        <v>22</v>
      </c>
      <c r="AA114">
        <f>VLOOKUP(A114,Cover!A:R,18,0)</f>
        <v>5.9</v>
      </c>
      <c r="AB114" s="77">
        <f t="shared" si="74"/>
        <v>19.974420000000002</v>
      </c>
      <c r="AC114" s="77">
        <f t="shared" si="75"/>
        <v>15.638399999999999</v>
      </c>
      <c r="AD114" s="77">
        <f t="shared" si="76"/>
        <v>73.630488441428611</v>
      </c>
      <c r="AE114" s="77">
        <f t="shared" si="77"/>
        <v>68.613849657115026</v>
      </c>
      <c r="AF114" s="77">
        <f t="shared" si="78"/>
        <v>10.256099999999998</v>
      </c>
      <c r="AG114" s="77">
        <f t="shared" si="79"/>
        <v>58.91060104769781</v>
      </c>
      <c r="AH114" s="368">
        <f>AVERAGE(W114:W115)</f>
        <v>112.5</v>
      </c>
      <c r="AI114" s="368">
        <f>SUM(J114:J115)</f>
        <v>3.1065</v>
      </c>
      <c r="AJ114" s="368">
        <f t="shared" si="82"/>
        <v>109.3935</v>
      </c>
      <c r="AK114" s="368">
        <f>SUM(AA114:AA115)</f>
        <v>11.7</v>
      </c>
      <c r="AL114" s="368">
        <f t="shared" si="84"/>
        <v>97.6935</v>
      </c>
      <c r="AM114" s="369">
        <f t="shared" si="85"/>
        <v>86.838666666666668</v>
      </c>
      <c r="AN114" t="str">
        <f t="shared" si="64"/>
        <v/>
      </c>
      <c r="AO114" t="s">
        <v>1201</v>
      </c>
      <c r="AP114" t="str">
        <f t="shared" si="65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6"/>
        <v>DDm85-25</v>
      </c>
    </row>
    <row r="115" spans="1:53">
      <c r="A115" s="35" t="s">
        <v>131</v>
      </c>
      <c r="B115" t="s">
        <v>1184</v>
      </c>
      <c r="C115" t="s">
        <v>1343</v>
      </c>
      <c r="D115" t="s">
        <v>1138</v>
      </c>
      <c r="E115" t="s">
        <v>985</v>
      </c>
      <c r="F115" t="s">
        <v>1140</v>
      </c>
      <c r="G115">
        <v>36.6</v>
      </c>
      <c r="H115">
        <v>18</v>
      </c>
      <c r="I115">
        <v>34</v>
      </c>
      <c r="J115">
        <v>1.853</v>
      </c>
      <c r="K115" s="64">
        <v>45415</v>
      </c>
      <c r="L115">
        <v>27.12792</v>
      </c>
      <c r="M115">
        <v>25.274920000000002</v>
      </c>
      <c r="N115">
        <v>22.791899999999998</v>
      </c>
      <c r="O115">
        <v>20.9389</v>
      </c>
      <c r="P115" t="s">
        <v>1144</v>
      </c>
      <c r="Q115" t="s">
        <v>1150</v>
      </c>
      <c r="R115" t="s">
        <v>1151</v>
      </c>
      <c r="S115">
        <v>17.409600000000001</v>
      </c>
      <c r="T115">
        <v>15.5566</v>
      </c>
      <c r="U115" t="s">
        <v>1186</v>
      </c>
      <c r="V115" t="s">
        <v>1179</v>
      </c>
      <c r="W115">
        <v>112.5</v>
      </c>
      <c r="X115">
        <v>110.64700000000001</v>
      </c>
      <c r="Y115">
        <v>22</v>
      </c>
      <c r="AA115">
        <f>VLOOKUP(A115,Cover!A:R,18,0)</f>
        <v>5.8</v>
      </c>
      <c r="AB115" s="77">
        <f t="shared" ref="AB115" si="100">M115-AA115</f>
        <v>19.474920000000001</v>
      </c>
      <c r="AC115" s="77">
        <f t="shared" ref="AC115" si="101">O115-AA115</f>
        <v>15.1389</v>
      </c>
      <c r="AD115" s="77">
        <f t="shared" ref="AD115" si="102">AB115/L115%</f>
        <v>71.789212000035391</v>
      </c>
      <c r="AE115" s="77">
        <f t="shared" ref="AE115" si="103">AC115/N115%</f>
        <v>66.422281600042126</v>
      </c>
      <c r="AF115" s="77">
        <f t="shared" ref="AF115" si="104">T115-AA115</f>
        <v>9.7565999999999988</v>
      </c>
      <c r="AG115" s="77">
        <f t="shared" ref="AG115" si="105">AF115/S115%</f>
        <v>56.041494347945957</v>
      </c>
      <c r="AH115" s="368"/>
      <c r="AI115" s="368"/>
      <c r="AJ115" s="368"/>
      <c r="AK115" s="368"/>
      <c r="AL115" s="368"/>
      <c r="AM115" s="369"/>
      <c r="AN115" t="str">
        <f t="shared" si="64"/>
        <v/>
      </c>
      <c r="AO115" t="s">
        <v>1201</v>
      </c>
      <c r="AP115" t="str">
        <f t="shared" si="65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6"/>
        <v>DDm85-25</v>
      </c>
    </row>
    <row r="116" spans="1:53">
      <c r="A116" s="35" t="s">
        <v>132</v>
      </c>
      <c r="B116" t="s">
        <v>1184</v>
      </c>
      <c r="C116" t="s">
        <v>1344</v>
      </c>
      <c r="D116" t="s">
        <v>1212</v>
      </c>
      <c r="E116" t="s">
        <v>1345</v>
      </c>
      <c r="F116" t="s">
        <v>1140</v>
      </c>
      <c r="G116">
        <v>36.6</v>
      </c>
      <c r="H116">
        <v>23</v>
      </c>
      <c r="I116">
        <v>279</v>
      </c>
      <c r="J116">
        <v>15.205500000000001</v>
      </c>
      <c r="K116" s="64">
        <v>45415</v>
      </c>
      <c r="L116">
        <v>35.106720000000003</v>
      </c>
      <c r="M116">
        <v>19.901219999999999</v>
      </c>
      <c r="N116">
        <v>22.083400000000001</v>
      </c>
      <c r="O116">
        <v>6.8779000000000003</v>
      </c>
      <c r="P116" t="s">
        <v>1144</v>
      </c>
      <c r="Q116" t="s">
        <v>1150</v>
      </c>
      <c r="R116" t="s">
        <v>1161</v>
      </c>
      <c r="S116">
        <v>35.553600000000003</v>
      </c>
      <c r="T116">
        <v>20.348099999999999</v>
      </c>
      <c r="U116" t="s">
        <v>1141</v>
      </c>
      <c r="V116" t="s">
        <v>1158</v>
      </c>
      <c r="W116">
        <v>45</v>
      </c>
      <c r="X116">
        <v>29.794499999999999</v>
      </c>
      <c r="Y116">
        <v>24</v>
      </c>
      <c r="AA116">
        <f>VLOOKUP(A116,Cover!A:R,18,0)</f>
        <v>3.9</v>
      </c>
      <c r="AB116" s="77">
        <f t="shared" si="74"/>
        <v>16.00122</v>
      </c>
      <c r="AC116" s="77">
        <f t="shared" si="75"/>
        <v>2.9779000000000004</v>
      </c>
      <c r="AD116" s="77">
        <f t="shared" si="76"/>
        <v>45.578795170839086</v>
      </c>
      <c r="AE116" s="77">
        <f t="shared" si="77"/>
        <v>13.484789479880817</v>
      </c>
      <c r="AF116" s="77">
        <f t="shared" si="78"/>
        <v>16.4481</v>
      </c>
      <c r="AG116" s="77">
        <f t="shared" si="79"/>
        <v>46.262825705413796</v>
      </c>
      <c r="AH116" s="77">
        <f t="shared" si="80"/>
        <v>45</v>
      </c>
      <c r="AI116" s="77">
        <f t="shared" si="81"/>
        <v>15.205500000000001</v>
      </c>
      <c r="AJ116" s="77">
        <f t="shared" si="82"/>
        <v>29.794499999999999</v>
      </c>
      <c r="AK116" s="77">
        <f t="shared" si="83"/>
        <v>3.9</v>
      </c>
      <c r="AL116" s="77">
        <f t="shared" si="84"/>
        <v>25.894500000000001</v>
      </c>
      <c r="AM116" s="77">
        <f t="shared" si="85"/>
        <v>57.543333333333337</v>
      </c>
      <c r="AN116" t="str">
        <f t="shared" si="64"/>
        <v/>
      </c>
      <c r="AO116" t="s">
        <v>1146</v>
      </c>
      <c r="AP116" t="str">
        <f t="shared" si="65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6"/>
        <v>DDm125-33</v>
      </c>
    </row>
    <row r="117" spans="1:53">
      <c r="A117" s="35" t="s">
        <v>133</v>
      </c>
      <c r="B117" t="s">
        <v>1235</v>
      </c>
      <c r="C117" t="s">
        <v>1346</v>
      </c>
      <c r="D117" t="s">
        <v>1138</v>
      </c>
      <c r="E117" t="s">
        <v>1008</v>
      </c>
      <c r="F117" t="s">
        <v>1140</v>
      </c>
      <c r="G117">
        <v>36.6</v>
      </c>
      <c r="H117">
        <v>42</v>
      </c>
      <c r="I117">
        <v>327</v>
      </c>
      <c r="J117">
        <v>17.8215</v>
      </c>
      <c r="K117" s="64">
        <v>45415</v>
      </c>
      <c r="L117">
        <v>65.426159999999996</v>
      </c>
      <c r="M117">
        <v>47.604660000000003</v>
      </c>
      <c r="N117">
        <v>49.082700000000003</v>
      </c>
      <c r="O117">
        <v>31.261199999999999</v>
      </c>
      <c r="P117" t="s">
        <v>1141</v>
      </c>
      <c r="Q117" t="s">
        <v>1150</v>
      </c>
      <c r="R117" t="s">
        <v>1161</v>
      </c>
      <c r="S117">
        <v>53.330399999999997</v>
      </c>
      <c r="T117">
        <v>35.508899999999997</v>
      </c>
      <c r="U117" t="s">
        <v>1160</v>
      </c>
      <c r="V117" t="s">
        <v>1280</v>
      </c>
      <c r="W117">
        <v>180</v>
      </c>
      <c r="X117">
        <v>162.17850000000001</v>
      </c>
      <c r="Y117">
        <v>60</v>
      </c>
      <c r="AA117">
        <f>VLOOKUP(A117,Cover!A:R,18,0)</f>
        <v>7.3</v>
      </c>
      <c r="AB117" s="77">
        <f t="shared" si="74"/>
        <v>40.304660000000005</v>
      </c>
      <c r="AC117" s="77">
        <f t="shared" si="75"/>
        <v>23.961199999999998</v>
      </c>
      <c r="AD117" s="77">
        <f t="shared" si="76"/>
        <v>61.603279177625595</v>
      </c>
      <c r="AE117" s="77">
        <f t="shared" si="77"/>
        <v>48.818015308856275</v>
      </c>
      <c r="AF117" s="77">
        <f t="shared" si="78"/>
        <v>28.208899999999996</v>
      </c>
      <c r="AG117" s="77">
        <f t="shared" si="79"/>
        <v>52.894596702818646</v>
      </c>
      <c r="AH117" s="368">
        <f>AVERAGE(W117:W118)</f>
        <v>180</v>
      </c>
      <c r="AI117" s="368">
        <f>SUM(J117:J118)</f>
        <v>40.984000000000002</v>
      </c>
      <c r="AJ117" s="368">
        <f t="shared" si="82"/>
        <v>139.01599999999999</v>
      </c>
      <c r="AK117" s="368">
        <f>SUM(AA117:AA118)</f>
        <v>13.899999999999999</v>
      </c>
      <c r="AL117" s="368">
        <f t="shared" si="84"/>
        <v>125.11599999999999</v>
      </c>
      <c r="AM117" s="369">
        <f t="shared" si="85"/>
        <v>69.508888888888876</v>
      </c>
      <c r="AN117" t="str">
        <f t="shared" si="64"/>
        <v/>
      </c>
      <c r="AO117" t="s">
        <v>1201</v>
      </c>
      <c r="AP117" t="str">
        <f t="shared" si="65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6"/>
        <v>DDm125-33</v>
      </c>
    </row>
    <row r="118" spans="1:53">
      <c r="A118" s="35" t="s">
        <v>134</v>
      </c>
      <c r="B118" t="s">
        <v>1235</v>
      </c>
      <c r="C118" t="s">
        <v>1346</v>
      </c>
      <c r="D118" t="s">
        <v>1138</v>
      </c>
      <c r="E118" t="s">
        <v>1008</v>
      </c>
      <c r="F118" t="s">
        <v>1140</v>
      </c>
      <c r="G118">
        <v>36.6</v>
      </c>
      <c r="H118">
        <v>42</v>
      </c>
      <c r="I118">
        <v>425</v>
      </c>
      <c r="J118">
        <v>23.162500000000001</v>
      </c>
      <c r="K118" s="64">
        <v>45415</v>
      </c>
      <c r="L118">
        <v>65.426159999999996</v>
      </c>
      <c r="M118">
        <v>42.263660000000002</v>
      </c>
      <c r="N118">
        <v>49.082700000000003</v>
      </c>
      <c r="O118">
        <v>25.920200000000001</v>
      </c>
      <c r="P118" t="s">
        <v>1141</v>
      </c>
      <c r="Q118" t="s">
        <v>1150</v>
      </c>
      <c r="R118" t="s">
        <v>1161</v>
      </c>
      <c r="S118">
        <v>53.330399999999997</v>
      </c>
      <c r="T118">
        <v>30.167899999999999</v>
      </c>
      <c r="U118" t="s">
        <v>1160</v>
      </c>
      <c r="V118" t="s">
        <v>1280</v>
      </c>
      <c r="W118">
        <v>180</v>
      </c>
      <c r="X118">
        <v>156.83750000000001</v>
      </c>
      <c r="Y118">
        <v>60</v>
      </c>
      <c r="AA118">
        <f>VLOOKUP(A118,Cover!A:R,18,0)</f>
        <v>6.6</v>
      </c>
      <c r="AB118" s="77">
        <f t="shared" ref="AB118" si="106">M118-AA118</f>
        <v>35.66366</v>
      </c>
      <c r="AC118" s="77">
        <f t="shared" ref="AC118" si="107">O118-AA118</f>
        <v>19.3202</v>
      </c>
      <c r="AD118" s="77">
        <f t="shared" ref="AD118" si="108">AB118/L118%</f>
        <v>54.509786299547457</v>
      </c>
      <c r="AE118" s="77">
        <f t="shared" ref="AE118" si="109">AC118/N118%</f>
        <v>39.362545255252869</v>
      </c>
      <c r="AF118" s="77">
        <f t="shared" ref="AF118" si="110">T118-AA118</f>
        <v>23.567900000000002</v>
      </c>
      <c r="AG118" s="77">
        <f t="shared" ref="AG118" si="111">AF118/S118%</f>
        <v>44.192243073369035</v>
      </c>
      <c r="AH118" s="368"/>
      <c r="AI118" s="368"/>
      <c r="AJ118" s="368"/>
      <c r="AK118" s="368"/>
      <c r="AL118" s="368"/>
      <c r="AM118" s="369"/>
      <c r="AN118" t="str">
        <f t="shared" si="64"/>
        <v/>
      </c>
      <c r="AO118" t="s">
        <v>1201</v>
      </c>
      <c r="AP118" t="str">
        <f t="shared" si="65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6"/>
        <v>DDm125-33</v>
      </c>
    </row>
    <row r="119" spans="1:53">
      <c r="A119" s="35" t="s">
        <v>135</v>
      </c>
      <c r="B119" t="s">
        <v>1147</v>
      </c>
      <c r="C119" t="s">
        <v>1266</v>
      </c>
      <c r="D119" t="s">
        <v>1199</v>
      </c>
      <c r="E119" t="s">
        <v>941</v>
      </c>
      <c r="F119" t="s">
        <v>1140</v>
      </c>
      <c r="G119">
        <v>36.6</v>
      </c>
      <c r="H119">
        <v>54</v>
      </c>
      <c r="I119">
        <v>865</v>
      </c>
      <c r="J119">
        <v>47.142499999999998</v>
      </c>
      <c r="K119" s="64">
        <v>45415</v>
      </c>
      <c r="L119">
        <v>84.575280000000006</v>
      </c>
      <c r="M119">
        <v>37.432780000000001</v>
      </c>
      <c r="N119">
        <v>62.119100000000003</v>
      </c>
      <c r="O119">
        <v>14.976599999999999</v>
      </c>
      <c r="P119" t="s">
        <v>1155</v>
      </c>
      <c r="Q119" t="s">
        <v>1150</v>
      </c>
      <c r="R119" t="s">
        <v>1161</v>
      </c>
      <c r="S119">
        <v>71.107200000000205</v>
      </c>
      <c r="T119">
        <v>23.9647000000002</v>
      </c>
      <c r="U119" t="s">
        <v>1155</v>
      </c>
      <c r="V119" t="s">
        <v>1220</v>
      </c>
      <c r="W119">
        <v>90</v>
      </c>
      <c r="X119">
        <v>42.857500000000002</v>
      </c>
      <c r="Y119">
        <v>51</v>
      </c>
      <c r="Z119" t="s">
        <v>1095</v>
      </c>
      <c r="AA119">
        <f>VLOOKUP(A119,Cover!A:R,18,0)</f>
        <v>11.75</v>
      </c>
      <c r="AB119" s="77">
        <f t="shared" si="74"/>
        <v>25.682780000000001</v>
      </c>
      <c r="AC119" s="77">
        <f t="shared" si="75"/>
        <v>3.2265999999999995</v>
      </c>
      <c r="AD119" s="77">
        <f t="shared" si="76"/>
        <v>30.36676910794738</v>
      </c>
      <c r="AE119" s="77">
        <f t="shared" si="77"/>
        <v>5.1942156277215847</v>
      </c>
      <c r="AF119" s="77">
        <f t="shared" si="78"/>
        <v>12.2147000000002</v>
      </c>
      <c r="AG119" s="77">
        <f t="shared" si="79"/>
        <v>17.177866657666403</v>
      </c>
      <c r="AH119" s="368">
        <f>AVERAGE(W119:W120)</f>
        <v>90</v>
      </c>
      <c r="AI119" s="368">
        <f>SUM(J119:J120)</f>
        <v>79.569999999999993</v>
      </c>
      <c r="AJ119" s="368">
        <f t="shared" si="82"/>
        <v>10.430000000000007</v>
      </c>
      <c r="AK119" s="368">
        <f>SUM(AA119:AA120)</f>
        <v>25.7</v>
      </c>
      <c r="AL119" s="368">
        <f t="shared" si="84"/>
        <v>-15.269999999999992</v>
      </c>
      <c r="AM119" s="369">
        <f t="shared" si="85"/>
        <v>-16.966666666666658</v>
      </c>
      <c r="AN119" t="str">
        <f t="shared" si="64"/>
        <v>Capped</v>
      </c>
      <c r="AO119" t="s">
        <v>1201</v>
      </c>
      <c r="AP119" t="str">
        <f t="shared" si="65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6"/>
        <v>DDm125-33</v>
      </c>
    </row>
    <row r="120" spans="1:53">
      <c r="A120" s="35" t="s">
        <v>136</v>
      </c>
      <c r="B120" t="s">
        <v>1147</v>
      </c>
      <c r="C120" t="s">
        <v>1266</v>
      </c>
      <c r="D120" t="s">
        <v>1199</v>
      </c>
      <c r="E120" t="s">
        <v>941</v>
      </c>
      <c r="F120" t="s">
        <v>1140</v>
      </c>
      <c r="G120">
        <v>36.6</v>
      </c>
      <c r="H120">
        <v>54</v>
      </c>
      <c r="I120">
        <v>595</v>
      </c>
      <c r="J120">
        <v>32.427500000000002</v>
      </c>
      <c r="K120" s="64">
        <v>45415</v>
      </c>
      <c r="L120">
        <v>84.575280000000006</v>
      </c>
      <c r="M120">
        <v>52.147779999999997</v>
      </c>
      <c r="N120">
        <v>62.119100000000003</v>
      </c>
      <c r="O120">
        <v>29.691600000000001</v>
      </c>
      <c r="P120" t="s">
        <v>1155</v>
      </c>
      <c r="Q120" t="s">
        <v>1150</v>
      </c>
      <c r="R120" t="s">
        <v>1161</v>
      </c>
      <c r="S120">
        <v>71.107200000000205</v>
      </c>
      <c r="T120">
        <v>38.679700000000203</v>
      </c>
      <c r="U120" t="s">
        <v>1155</v>
      </c>
      <c r="V120" t="s">
        <v>1220</v>
      </c>
      <c r="W120">
        <v>90</v>
      </c>
      <c r="X120">
        <v>57.572499999999998</v>
      </c>
      <c r="Y120">
        <v>51</v>
      </c>
      <c r="Z120" t="s">
        <v>1095</v>
      </c>
      <c r="AA120">
        <f>VLOOKUP(A120,Cover!A:R,18,0)</f>
        <v>13.95</v>
      </c>
      <c r="AB120" s="77">
        <f t="shared" si="74"/>
        <v>38.197779999999995</v>
      </c>
      <c r="AC120" s="77">
        <f t="shared" si="75"/>
        <v>15.741600000000002</v>
      </c>
      <c r="AD120" s="77">
        <f t="shared" si="76"/>
        <v>45.164237115147586</v>
      </c>
      <c r="AE120" s="77">
        <f t="shared" si="77"/>
        <v>25.340998179303952</v>
      </c>
      <c r="AF120" s="77">
        <f t="shared" si="78"/>
        <v>24.729700000000204</v>
      </c>
      <c r="AG120" s="77">
        <f t="shared" si="79"/>
        <v>34.778053417938175</v>
      </c>
      <c r="AH120" s="368"/>
      <c r="AI120" s="368"/>
      <c r="AJ120" s="368"/>
      <c r="AK120" s="368"/>
      <c r="AL120" s="368"/>
      <c r="AM120" s="369"/>
      <c r="AN120" t="str">
        <f t="shared" si="64"/>
        <v>Capped</v>
      </c>
      <c r="AO120" t="s">
        <v>1201</v>
      </c>
      <c r="AP120" t="str">
        <f t="shared" si="65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6"/>
        <v>DDm125-33</v>
      </c>
    </row>
    <row r="121" spans="1:53">
      <c r="A121" s="35" t="s">
        <v>137</v>
      </c>
      <c r="B121" t="s">
        <v>1147</v>
      </c>
      <c r="C121" t="s">
        <v>1266</v>
      </c>
      <c r="D121" t="s">
        <v>1138</v>
      </c>
      <c r="E121" t="s">
        <v>944</v>
      </c>
      <c r="F121" t="s">
        <v>1140</v>
      </c>
      <c r="G121">
        <v>36.6</v>
      </c>
      <c r="H121">
        <v>19</v>
      </c>
      <c r="I121">
        <v>181</v>
      </c>
      <c r="J121">
        <v>9.8644999999999996</v>
      </c>
      <c r="K121" s="64">
        <v>45415</v>
      </c>
      <c r="L121">
        <v>28.723680000000002</v>
      </c>
      <c r="M121">
        <v>18.859179999999999</v>
      </c>
      <c r="N121">
        <v>19.554600000000001</v>
      </c>
      <c r="O121">
        <v>9.6900999999999993</v>
      </c>
      <c r="P121" t="s">
        <v>1144</v>
      </c>
      <c r="Q121" t="s">
        <v>1150</v>
      </c>
      <c r="R121" t="s">
        <v>1339</v>
      </c>
      <c r="S121">
        <v>26.654399999999999</v>
      </c>
      <c r="T121">
        <v>16.789899999999999</v>
      </c>
      <c r="U121" t="s">
        <v>1141</v>
      </c>
      <c r="V121" t="s">
        <v>1152</v>
      </c>
      <c r="W121">
        <v>22.5</v>
      </c>
      <c r="X121">
        <v>12.6355</v>
      </c>
      <c r="Y121">
        <v>61</v>
      </c>
      <c r="AA121">
        <f>VLOOKUP(A121,Cover!A:R,18,0)</f>
        <v>4.4000000000000004</v>
      </c>
      <c r="AB121" s="77">
        <f t="shared" si="74"/>
        <v>14.459179999999998</v>
      </c>
      <c r="AC121" s="77">
        <f t="shared" si="75"/>
        <v>5.2900999999999989</v>
      </c>
      <c r="AD121" s="77">
        <f t="shared" si="76"/>
        <v>50.338884154119519</v>
      </c>
      <c r="AE121" s="77">
        <f t="shared" si="77"/>
        <v>27.052969633743462</v>
      </c>
      <c r="AF121" s="77">
        <f t="shared" si="78"/>
        <v>12.389899999999999</v>
      </c>
      <c r="AG121" s="77">
        <f t="shared" si="79"/>
        <v>46.483507413410166</v>
      </c>
      <c r="AH121" s="77">
        <f t="shared" si="80"/>
        <v>22.5</v>
      </c>
      <c r="AI121" s="77">
        <f t="shared" si="81"/>
        <v>9.8644999999999996</v>
      </c>
      <c r="AJ121" s="77">
        <f t="shared" si="82"/>
        <v>12.6355</v>
      </c>
      <c r="AK121" s="77">
        <f t="shared" si="83"/>
        <v>4.4000000000000004</v>
      </c>
      <c r="AL121" s="77">
        <f t="shared" si="84"/>
        <v>8.2355</v>
      </c>
      <c r="AM121" s="77">
        <f t="shared" si="85"/>
        <v>36.602222222222224</v>
      </c>
      <c r="AN121" t="str">
        <f t="shared" si="64"/>
        <v/>
      </c>
      <c r="AO121" t="s">
        <v>1146</v>
      </c>
      <c r="AP121" t="str">
        <f t="shared" si="65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6"/>
        <v>DDm125-25</v>
      </c>
    </row>
    <row r="122" spans="1:53">
      <c r="A122" s="35" t="s">
        <v>138</v>
      </c>
      <c r="B122" t="s">
        <v>1147</v>
      </c>
      <c r="C122" t="s">
        <v>1266</v>
      </c>
      <c r="D122" t="s">
        <v>1138</v>
      </c>
      <c r="E122" t="s">
        <v>945</v>
      </c>
      <c r="F122" t="s">
        <v>1140</v>
      </c>
      <c r="G122">
        <v>36.6</v>
      </c>
      <c r="H122">
        <v>35</v>
      </c>
      <c r="I122">
        <v>593</v>
      </c>
      <c r="J122">
        <v>32.3185</v>
      </c>
      <c r="K122" s="64">
        <v>45415</v>
      </c>
      <c r="L122">
        <v>54.255839999999999</v>
      </c>
      <c r="M122">
        <v>21.937339999999999</v>
      </c>
      <c r="N122">
        <v>35.119799999999998</v>
      </c>
      <c r="O122">
        <v>2.8012999999999999</v>
      </c>
      <c r="P122" t="s">
        <v>1141</v>
      </c>
      <c r="Q122" t="s">
        <v>1150</v>
      </c>
      <c r="R122" t="s">
        <v>1161</v>
      </c>
      <c r="S122">
        <v>53.330399999999997</v>
      </c>
      <c r="T122">
        <v>21.011900000000001</v>
      </c>
      <c r="U122" t="s">
        <v>1160</v>
      </c>
      <c r="V122" t="s">
        <v>1347</v>
      </c>
      <c r="W122">
        <v>63</v>
      </c>
      <c r="X122">
        <v>30.6815</v>
      </c>
      <c r="Y122">
        <v>3</v>
      </c>
      <c r="AA122">
        <f>VLOOKUP(A122,Cover!A:R,18,0)</f>
        <v>3</v>
      </c>
      <c r="AB122" s="77">
        <f t="shared" si="74"/>
        <v>18.937339999999999</v>
      </c>
      <c r="AC122" s="77">
        <f t="shared" si="75"/>
        <v>-0.1987000000000001</v>
      </c>
      <c r="AD122" s="77">
        <f t="shared" si="76"/>
        <v>34.90378178643995</v>
      </c>
      <c r="AE122" s="77">
        <f t="shared" si="77"/>
        <v>-0.56577770944025918</v>
      </c>
      <c r="AF122" s="77">
        <f t="shared" si="78"/>
        <v>18.011900000000001</v>
      </c>
      <c r="AG122" s="77">
        <f t="shared" si="79"/>
        <v>33.774170079354363</v>
      </c>
      <c r="AH122" s="77">
        <f t="shared" si="80"/>
        <v>63</v>
      </c>
      <c r="AI122" s="77">
        <f t="shared" si="81"/>
        <v>32.3185</v>
      </c>
      <c r="AJ122" s="77">
        <f t="shared" si="82"/>
        <v>30.6815</v>
      </c>
      <c r="AK122" s="77">
        <f t="shared" si="83"/>
        <v>3</v>
      </c>
      <c r="AL122" s="77">
        <f t="shared" si="84"/>
        <v>27.6815</v>
      </c>
      <c r="AM122" s="77">
        <f t="shared" si="85"/>
        <v>43.93888888888889</v>
      </c>
      <c r="AN122" t="str">
        <f t="shared" si="64"/>
        <v/>
      </c>
      <c r="AO122" t="s">
        <v>1146</v>
      </c>
      <c r="AP122" t="str">
        <f t="shared" si="65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6"/>
        <v>DDm125-33</v>
      </c>
    </row>
    <row r="123" spans="1:53">
      <c r="A123" s="35" t="s">
        <v>139</v>
      </c>
      <c r="B123" t="s">
        <v>1147</v>
      </c>
      <c r="C123" t="s">
        <v>1348</v>
      </c>
      <c r="D123" t="s">
        <v>1138</v>
      </c>
      <c r="E123" t="s">
        <v>1349</v>
      </c>
      <c r="F123" t="s">
        <v>1140</v>
      </c>
      <c r="G123">
        <v>36.6</v>
      </c>
      <c r="H123">
        <v>3</v>
      </c>
      <c r="I123">
        <v>9</v>
      </c>
      <c r="J123">
        <v>0.49049999999999999</v>
      </c>
      <c r="K123" s="64">
        <v>45415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1144</v>
      </c>
      <c r="Q123" t="s">
        <v>1150</v>
      </c>
      <c r="R123" t="s">
        <v>1242</v>
      </c>
      <c r="S123">
        <v>1.7927999999999999</v>
      </c>
      <c r="T123">
        <v>1.3023</v>
      </c>
      <c r="U123" t="s">
        <v>1144</v>
      </c>
      <c r="V123" t="s">
        <v>1170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2">M123-AA123</f>
        <v>1.0200000000000209E-3</v>
      </c>
      <c r="AC123" s="77">
        <f t="shared" ref="AC123" si="113">O123-AA123</f>
        <v>-0.29110000000000014</v>
      </c>
      <c r="AD123" s="77">
        <f t="shared" ref="AD123" si="114">AB123/L123%</f>
        <v>3.1959693186946053E-2</v>
      </c>
      <c r="AE123" s="77">
        <f t="shared" ref="AE123" si="115">AC123/N123%</f>
        <v>-10.040008277574676</v>
      </c>
      <c r="AF123" s="77">
        <f t="shared" ref="AF123" si="116">T123-AA123</f>
        <v>-1.3977000000000002</v>
      </c>
      <c r="AG123" s="77">
        <f t="shared" ref="AG123" si="117">AF123/S123%</f>
        <v>-77.961847389558244</v>
      </c>
      <c r="AH123" s="77">
        <f t="shared" ref="AH123" si="118">W123</f>
        <v>5.0250000000000004</v>
      </c>
      <c r="AI123" s="77">
        <f t="shared" ref="AI123" si="119">J123</f>
        <v>0.49049999999999999</v>
      </c>
      <c r="AJ123" s="77">
        <f t="shared" ref="AJ123" si="120">AH123-AI123</f>
        <v>4.5345000000000004</v>
      </c>
      <c r="AK123" s="77">
        <f t="shared" ref="AK123" si="121">AA123</f>
        <v>2.7</v>
      </c>
      <c r="AL123" s="77">
        <f t="shared" ref="AL123" si="122">AJ123-AK123</f>
        <v>1.8345000000000002</v>
      </c>
      <c r="AM123" s="77">
        <f t="shared" ref="AM123" si="123">AL123/AH123%</f>
        <v>36.507462686567166</v>
      </c>
      <c r="AN123" t="str">
        <f t="shared" si="64"/>
        <v/>
      </c>
      <c r="AO123" t="s">
        <v>1146</v>
      </c>
      <c r="AP123" t="str">
        <f t="shared" si="65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6"/>
        <v xml:space="preserve">12V101F </v>
      </c>
    </row>
    <row r="124" spans="1:53">
      <c r="A124" s="35" t="s">
        <v>140</v>
      </c>
      <c r="B124" t="s">
        <v>1171</v>
      </c>
      <c r="C124" t="s">
        <v>1350</v>
      </c>
      <c r="D124" t="s">
        <v>1133</v>
      </c>
      <c r="E124" t="s">
        <v>1351</v>
      </c>
      <c r="F124" t="s">
        <v>1352</v>
      </c>
      <c r="G124">
        <v>37.5</v>
      </c>
      <c r="H124">
        <v>8</v>
      </c>
      <c r="I124">
        <v>150</v>
      </c>
      <c r="J124">
        <v>8.1750000000000007</v>
      </c>
      <c r="K124" s="64">
        <v>45415</v>
      </c>
      <c r="L124">
        <v>11.445</v>
      </c>
      <c r="M124">
        <v>3.27</v>
      </c>
      <c r="N124">
        <v>10.087949673000001</v>
      </c>
      <c r="O124">
        <v>1.912949673</v>
      </c>
      <c r="P124" t="s">
        <v>1186</v>
      </c>
      <c r="Q124" t="s">
        <v>1168</v>
      </c>
      <c r="R124" t="s">
        <v>1174</v>
      </c>
      <c r="S124">
        <v>8.4240000000000297</v>
      </c>
      <c r="T124">
        <v>0.24900000000002501</v>
      </c>
      <c r="U124" t="s">
        <v>1141</v>
      </c>
      <c r="V124" t="s">
        <v>1353</v>
      </c>
      <c r="W124">
        <v>12</v>
      </c>
      <c r="X124">
        <v>3.8250000000000002</v>
      </c>
      <c r="Y124">
        <v>3</v>
      </c>
      <c r="Z124" t="s">
        <v>8</v>
      </c>
      <c r="AA124">
        <f>VLOOKUP(A124,Cover!A:R,18,0)</f>
        <v>0.5</v>
      </c>
      <c r="AB124" s="77">
        <f t="shared" si="74"/>
        <v>2.77</v>
      </c>
      <c r="AC124" s="77">
        <f t="shared" si="75"/>
        <v>1.412949673</v>
      </c>
      <c r="AD124" s="77">
        <f t="shared" si="76"/>
        <v>24.202708606378334</v>
      </c>
      <c r="AE124" s="77">
        <f t="shared" si="77"/>
        <v>14.006311676808856</v>
      </c>
      <c r="AF124" s="77">
        <f t="shared" si="78"/>
        <v>-0.25099999999997502</v>
      </c>
      <c r="AG124" s="77">
        <f t="shared" si="79"/>
        <v>-2.9795821462485059</v>
      </c>
      <c r="AH124" s="77">
        <f t="shared" si="80"/>
        <v>12</v>
      </c>
      <c r="AI124" s="77">
        <f t="shared" si="81"/>
        <v>8.1750000000000007</v>
      </c>
      <c r="AJ124" s="77">
        <f t="shared" si="82"/>
        <v>3.8249999999999993</v>
      </c>
      <c r="AK124" s="77">
        <f t="shared" si="83"/>
        <v>0.5</v>
      </c>
      <c r="AL124" s="77">
        <f t="shared" si="84"/>
        <v>3.3249999999999993</v>
      </c>
      <c r="AM124" s="77">
        <f t="shared" si="85"/>
        <v>27.708333333333329</v>
      </c>
      <c r="AN124" t="str">
        <f t="shared" si="64"/>
        <v>Capped</v>
      </c>
      <c r="AO124" t="s">
        <v>1146</v>
      </c>
      <c r="AP124" t="str">
        <f t="shared" si="65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6"/>
        <v>12V155F</v>
      </c>
    </row>
    <row r="125" spans="1:53">
      <c r="A125" s="35" t="s">
        <v>141</v>
      </c>
      <c r="B125" t="s">
        <v>1197</v>
      </c>
      <c r="C125" t="s">
        <v>1354</v>
      </c>
      <c r="D125" t="s">
        <v>1138</v>
      </c>
      <c r="E125" t="s">
        <v>955</v>
      </c>
      <c r="F125" t="s">
        <v>1140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1141</v>
      </c>
      <c r="Q125" t="s">
        <v>1150</v>
      </c>
      <c r="R125" t="s">
        <v>1355</v>
      </c>
      <c r="S125">
        <v>28.187999999999999</v>
      </c>
      <c r="T125">
        <v>14.454000000000001</v>
      </c>
      <c r="U125" t="s">
        <v>1186</v>
      </c>
      <c r="V125" t="s">
        <v>1152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4"/>
        <v>12.98968</v>
      </c>
      <c r="AC125" s="77">
        <f t="shared" si="75"/>
        <v>2.1038500000000004</v>
      </c>
      <c r="AD125" s="77">
        <f t="shared" si="76"/>
        <v>45.222896230566555</v>
      </c>
      <c r="AE125" s="77">
        <f t="shared" si="77"/>
        <v>11.794302564490678</v>
      </c>
      <c r="AF125" s="77">
        <f t="shared" si="78"/>
        <v>12.454000000000001</v>
      </c>
      <c r="AG125" s="77">
        <f t="shared" si="79"/>
        <v>44.181921384986524</v>
      </c>
      <c r="AH125" s="77">
        <f t="shared" si="80"/>
        <v>22.5</v>
      </c>
      <c r="AI125" s="77">
        <f t="shared" si="81"/>
        <v>13.734</v>
      </c>
      <c r="AJ125" s="77">
        <f t="shared" si="82"/>
        <v>8.766</v>
      </c>
      <c r="AK125" s="77">
        <f t="shared" si="83"/>
        <v>2</v>
      </c>
      <c r="AL125" s="77">
        <f t="shared" si="84"/>
        <v>6.766</v>
      </c>
      <c r="AM125" s="77">
        <f t="shared" si="85"/>
        <v>30.071111111111112</v>
      </c>
      <c r="AN125" t="str">
        <f t="shared" si="64"/>
        <v/>
      </c>
      <c r="AO125" t="s">
        <v>1146</v>
      </c>
      <c r="AP125" t="str">
        <f t="shared" si="65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6"/>
        <v>DDm85-27</v>
      </c>
    </row>
    <row r="126" spans="1:53">
      <c r="A126" s="35" t="s">
        <v>142</v>
      </c>
      <c r="B126" t="s">
        <v>1159</v>
      </c>
      <c r="C126" t="s">
        <v>1356</v>
      </c>
      <c r="D126" t="s">
        <v>1138</v>
      </c>
      <c r="E126" t="s">
        <v>1357</v>
      </c>
      <c r="F126" t="s">
        <v>1140</v>
      </c>
      <c r="G126">
        <v>36.6</v>
      </c>
      <c r="H126">
        <v>8</v>
      </c>
      <c r="I126">
        <v>108</v>
      </c>
      <c r="J126">
        <v>5.8860000000000001</v>
      </c>
      <c r="K126" s="64">
        <v>45415</v>
      </c>
      <c r="L126">
        <v>11.17032</v>
      </c>
      <c r="M126">
        <v>5.2843200000000001</v>
      </c>
      <c r="N126">
        <v>6.9869000000000003</v>
      </c>
      <c r="O126">
        <v>1.1009</v>
      </c>
      <c r="P126" t="s">
        <v>1353</v>
      </c>
      <c r="Q126" t="s">
        <v>1168</v>
      </c>
      <c r="R126" t="s">
        <v>1247</v>
      </c>
      <c r="S126">
        <v>15.621119999999999</v>
      </c>
      <c r="T126">
        <v>9.7351200000000304</v>
      </c>
      <c r="U126" t="s">
        <v>1144</v>
      </c>
      <c r="V126" t="s">
        <v>1187</v>
      </c>
      <c r="W126">
        <v>48.75</v>
      </c>
      <c r="X126">
        <v>42.863999999999997</v>
      </c>
      <c r="Y126">
        <v>12</v>
      </c>
      <c r="AA126">
        <f>VLOOKUP(A126,Cover!A:R,18,0)</f>
        <v>0</v>
      </c>
      <c r="AB126" s="77">
        <f t="shared" si="74"/>
        <v>5.2843200000000001</v>
      </c>
      <c r="AC126" s="77">
        <f t="shared" si="75"/>
        <v>1.1009</v>
      </c>
      <c r="AD126" s="77">
        <f t="shared" si="76"/>
        <v>47.306791569086649</v>
      </c>
      <c r="AE126" s="77">
        <f t="shared" si="77"/>
        <v>15.756630265210608</v>
      </c>
      <c r="AF126" s="77">
        <f t="shared" si="78"/>
        <v>9.7351200000000304</v>
      </c>
      <c r="AG126" s="77">
        <f t="shared" si="79"/>
        <v>62.320243362832052</v>
      </c>
      <c r="AH126" s="77">
        <f t="shared" si="80"/>
        <v>48.75</v>
      </c>
      <c r="AI126" s="77">
        <f t="shared" si="81"/>
        <v>5.8860000000000001</v>
      </c>
      <c r="AJ126" s="77">
        <f t="shared" si="82"/>
        <v>42.863999999999997</v>
      </c>
      <c r="AK126" s="77">
        <f t="shared" si="83"/>
        <v>0</v>
      </c>
      <c r="AL126" s="77">
        <f t="shared" si="84"/>
        <v>42.863999999999997</v>
      </c>
      <c r="AM126" s="77">
        <f t="shared" si="85"/>
        <v>87.926153846153838</v>
      </c>
      <c r="AN126" t="str">
        <f t="shared" si="64"/>
        <v/>
      </c>
      <c r="AO126" t="s">
        <v>1146</v>
      </c>
      <c r="AP126" t="str">
        <f t="shared" si="65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6"/>
        <v>12V100F</v>
      </c>
    </row>
    <row r="127" spans="1:53">
      <c r="A127" s="35" t="s">
        <v>143</v>
      </c>
      <c r="B127" t="s">
        <v>1159</v>
      </c>
      <c r="C127" t="s">
        <v>1356</v>
      </c>
      <c r="D127" t="s">
        <v>1138</v>
      </c>
      <c r="E127" t="s">
        <v>1358</v>
      </c>
      <c r="F127" t="s">
        <v>1140</v>
      </c>
      <c r="G127">
        <v>36.6</v>
      </c>
      <c r="H127">
        <v>8</v>
      </c>
      <c r="I127">
        <v>112</v>
      </c>
      <c r="J127">
        <v>6.1040000000000001</v>
      </c>
      <c r="K127" s="64">
        <v>45415</v>
      </c>
      <c r="L127">
        <v>11.17032</v>
      </c>
      <c r="M127">
        <v>5.0663200000000002</v>
      </c>
      <c r="N127">
        <v>6.9869000000000003</v>
      </c>
      <c r="O127">
        <v>0.88290000000000002</v>
      </c>
      <c r="P127" t="s">
        <v>1353</v>
      </c>
      <c r="Q127" t="s">
        <v>1168</v>
      </c>
      <c r="R127" t="s">
        <v>1247</v>
      </c>
      <c r="S127">
        <v>15.621119999999999</v>
      </c>
      <c r="T127">
        <v>9.5171200000000304</v>
      </c>
      <c r="U127" t="s">
        <v>1144</v>
      </c>
      <c r="V127" t="s">
        <v>1187</v>
      </c>
      <c r="W127">
        <v>48.75</v>
      </c>
      <c r="X127">
        <v>42.646000000000001</v>
      </c>
      <c r="Y127">
        <v>4</v>
      </c>
      <c r="AA127">
        <f>VLOOKUP(A127,Cover!A:R,18,0)</f>
        <v>0</v>
      </c>
      <c r="AB127" s="77">
        <f t="shared" si="74"/>
        <v>5.0663200000000002</v>
      </c>
      <c r="AC127" s="77">
        <f t="shared" si="75"/>
        <v>0.88290000000000002</v>
      </c>
      <c r="AD127" s="77">
        <f t="shared" si="76"/>
        <v>45.355191256830601</v>
      </c>
      <c r="AE127" s="77">
        <f t="shared" si="77"/>
        <v>12.636505460218409</v>
      </c>
      <c r="AF127" s="77">
        <f t="shared" si="78"/>
        <v>9.5171200000000304</v>
      </c>
      <c r="AG127" s="77">
        <f t="shared" si="79"/>
        <v>60.924696820714715</v>
      </c>
      <c r="AH127" s="77">
        <f t="shared" si="80"/>
        <v>48.75</v>
      </c>
      <c r="AI127" s="77">
        <f t="shared" si="81"/>
        <v>6.1040000000000001</v>
      </c>
      <c r="AJ127" s="77">
        <f t="shared" si="82"/>
        <v>42.646000000000001</v>
      </c>
      <c r="AK127" s="77">
        <f t="shared" si="83"/>
        <v>0</v>
      </c>
      <c r="AL127" s="77">
        <f t="shared" si="84"/>
        <v>42.646000000000001</v>
      </c>
      <c r="AM127" s="77">
        <f t="shared" si="85"/>
        <v>87.478974358974369</v>
      </c>
      <c r="AN127" t="str">
        <f t="shared" si="64"/>
        <v/>
      </c>
      <c r="AO127" t="s">
        <v>1146</v>
      </c>
      <c r="AP127" t="str">
        <f t="shared" si="65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6"/>
        <v>12V100F</v>
      </c>
    </row>
    <row r="128" spans="1:53">
      <c r="A128" s="35" t="s">
        <v>144</v>
      </c>
      <c r="B128" t="s">
        <v>1136</v>
      </c>
      <c r="C128" t="s">
        <v>1359</v>
      </c>
      <c r="D128" t="s">
        <v>1138</v>
      </c>
      <c r="E128" t="s">
        <v>954</v>
      </c>
      <c r="F128" t="s">
        <v>1140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1144</v>
      </c>
      <c r="Q128" t="s">
        <v>1150</v>
      </c>
      <c r="R128" t="s">
        <v>1330</v>
      </c>
      <c r="S128">
        <v>14.428800000000001</v>
      </c>
      <c r="T128">
        <v>3.5832999999999999</v>
      </c>
      <c r="U128" t="s">
        <v>1155</v>
      </c>
      <c r="V128" t="s">
        <v>1234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4"/>
        <v>13.68666</v>
      </c>
      <c r="AC128" s="77">
        <f t="shared" si="75"/>
        <v>10.8047</v>
      </c>
      <c r="AD128" s="77">
        <f t="shared" si="76"/>
        <v>53.605570386524278</v>
      </c>
      <c r="AE128" s="77">
        <f t="shared" si="77"/>
        <v>47.702448543500722</v>
      </c>
      <c r="AF128" s="77">
        <f t="shared" si="78"/>
        <v>2.5832999999999999</v>
      </c>
      <c r="AG128" s="77">
        <f t="shared" si="79"/>
        <v>17.903775781769792</v>
      </c>
      <c r="AH128" s="77">
        <f t="shared" si="80"/>
        <v>67.5</v>
      </c>
      <c r="AI128" s="77">
        <f t="shared" si="81"/>
        <v>10.845499999999999</v>
      </c>
      <c r="AJ128" s="77">
        <f t="shared" si="82"/>
        <v>56.654499999999999</v>
      </c>
      <c r="AK128" s="77">
        <f t="shared" si="83"/>
        <v>1</v>
      </c>
      <c r="AL128" s="77">
        <f t="shared" si="84"/>
        <v>55.654499999999999</v>
      </c>
      <c r="AM128" s="77">
        <f t="shared" si="85"/>
        <v>82.451111111111103</v>
      </c>
      <c r="AN128" t="str">
        <f t="shared" si="64"/>
        <v/>
      </c>
      <c r="AO128" t="s">
        <v>1146</v>
      </c>
      <c r="AP128" t="str">
        <f t="shared" si="65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6"/>
        <v>DDm85-21</v>
      </c>
    </row>
    <row r="129" spans="1:53">
      <c r="A129" s="35" t="s">
        <v>145</v>
      </c>
      <c r="B129" t="s">
        <v>1159</v>
      </c>
      <c r="C129" t="s">
        <v>1360</v>
      </c>
      <c r="D129" t="s">
        <v>1181</v>
      </c>
      <c r="E129" t="s">
        <v>813</v>
      </c>
      <c r="F129" t="s">
        <v>1140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1141</v>
      </c>
      <c r="Q129" t="s">
        <v>1150</v>
      </c>
      <c r="R129" t="s">
        <v>1161</v>
      </c>
      <c r="S129">
        <v>53.330399999999997</v>
      </c>
      <c r="T129">
        <v>17.9054</v>
      </c>
      <c r="U129" t="s">
        <v>1155</v>
      </c>
      <c r="V129" t="s">
        <v>1234</v>
      </c>
      <c r="W129">
        <v>67.5</v>
      </c>
      <c r="X129">
        <v>32.075000000000003</v>
      </c>
      <c r="Y129">
        <v>235</v>
      </c>
      <c r="AA129">
        <f>VLOOKUP(A129,Cover!A:R,18,0)</f>
        <v>5.9</v>
      </c>
      <c r="AB129" s="77">
        <f t="shared" si="74"/>
        <v>22.505400000000002</v>
      </c>
      <c r="AC129" s="77">
        <f t="shared" si="75"/>
        <v>5.7629999999999999</v>
      </c>
      <c r="AD129" s="77">
        <f t="shared" si="76"/>
        <v>35.258121522033392</v>
      </c>
      <c r="AE129" s="77">
        <f t="shared" si="77"/>
        <v>12.238786952089704</v>
      </c>
      <c r="AF129" s="77">
        <f t="shared" si="78"/>
        <v>12.0054</v>
      </c>
      <c r="AG129" s="77">
        <f t="shared" si="79"/>
        <v>22.511363124971872</v>
      </c>
      <c r="AH129" s="77">
        <f t="shared" si="80"/>
        <v>67.5</v>
      </c>
      <c r="AI129" s="77">
        <f t="shared" si="81"/>
        <v>35.424999999999997</v>
      </c>
      <c r="AJ129" s="77">
        <f t="shared" si="82"/>
        <v>32.075000000000003</v>
      </c>
      <c r="AK129" s="77">
        <f t="shared" si="83"/>
        <v>5.9</v>
      </c>
      <c r="AL129" s="77">
        <f t="shared" si="84"/>
        <v>26.175000000000004</v>
      </c>
      <c r="AM129" s="77">
        <f t="shared" si="85"/>
        <v>38.777777777777779</v>
      </c>
      <c r="AN129" t="str">
        <f t="shared" si="64"/>
        <v/>
      </c>
      <c r="AO129" t="s">
        <v>1146</v>
      </c>
      <c r="AP129" t="str">
        <f t="shared" si="65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6"/>
        <v>DDm125-33</v>
      </c>
    </row>
    <row r="130" spans="1:53">
      <c r="A130" s="35" t="s">
        <v>146</v>
      </c>
      <c r="B130" t="s">
        <v>1202</v>
      </c>
      <c r="C130" t="s">
        <v>1361</v>
      </c>
      <c r="D130" t="s">
        <v>1138</v>
      </c>
      <c r="E130" t="s">
        <v>1362</v>
      </c>
      <c r="F130" t="s">
        <v>1149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1144</v>
      </c>
      <c r="Q130" t="s">
        <v>1150</v>
      </c>
      <c r="R130" t="s">
        <v>1178</v>
      </c>
      <c r="S130">
        <v>10.1088</v>
      </c>
      <c r="T130">
        <v>5.2037999999999798</v>
      </c>
      <c r="U130" t="s">
        <v>1144</v>
      </c>
      <c r="V130" t="s">
        <v>1229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4"/>
        <v>7.1750000000000007</v>
      </c>
      <c r="AC130" s="77">
        <f t="shared" si="75"/>
        <v>3.9595000000000002</v>
      </c>
      <c r="AD130" s="77">
        <f t="shared" si="76"/>
        <v>54.854740061162083</v>
      </c>
      <c r="AE130" s="77">
        <f t="shared" si="77"/>
        <v>40.138881849054698</v>
      </c>
      <c r="AF130" s="77">
        <f t="shared" si="78"/>
        <v>4.2037999999999798</v>
      </c>
      <c r="AG130" s="77">
        <f t="shared" si="79"/>
        <v>41.585549224437912</v>
      </c>
      <c r="AH130" s="77">
        <f t="shared" si="80"/>
        <v>9</v>
      </c>
      <c r="AI130" s="77">
        <f t="shared" si="81"/>
        <v>4.9050000000000002</v>
      </c>
      <c r="AJ130" s="77">
        <f t="shared" si="82"/>
        <v>4.0949999999999998</v>
      </c>
      <c r="AK130" s="77">
        <f t="shared" si="83"/>
        <v>1</v>
      </c>
      <c r="AL130" s="77">
        <f t="shared" si="84"/>
        <v>3.0949999999999998</v>
      </c>
      <c r="AM130" s="77">
        <f t="shared" si="85"/>
        <v>34.388888888888886</v>
      </c>
      <c r="AN130" t="str">
        <f t="shared" si="64"/>
        <v/>
      </c>
      <c r="AO130" t="s">
        <v>1146</v>
      </c>
      <c r="AP130" t="str">
        <f t="shared" si="65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6"/>
        <v>2DDm85-15</v>
      </c>
    </row>
    <row r="131" spans="1:53">
      <c r="A131" s="35" t="s">
        <v>147</v>
      </c>
      <c r="B131" t="s">
        <v>1159</v>
      </c>
      <c r="C131" t="s">
        <v>1159</v>
      </c>
      <c r="D131" t="s">
        <v>1199</v>
      </c>
      <c r="E131" t="s">
        <v>818</v>
      </c>
      <c r="F131" t="s">
        <v>1140</v>
      </c>
      <c r="G131">
        <v>36.6</v>
      </c>
      <c r="H131">
        <v>26</v>
      </c>
      <c r="I131">
        <v>649</v>
      </c>
      <c r="J131">
        <v>35.3705</v>
      </c>
      <c r="K131" s="64">
        <v>45415</v>
      </c>
      <c r="L131">
        <v>39.893999999999998</v>
      </c>
      <c r="M131">
        <v>4.5235000000000003</v>
      </c>
      <c r="N131">
        <v>28.067499999999999</v>
      </c>
      <c r="O131">
        <v>-7.3029999999999999</v>
      </c>
      <c r="P131" t="s">
        <v>1144</v>
      </c>
      <c r="Q131" t="s">
        <v>1150</v>
      </c>
      <c r="R131" t="s">
        <v>1161</v>
      </c>
      <c r="S131">
        <v>35.553600000000003</v>
      </c>
      <c r="T131">
        <v>0.18310000000000301</v>
      </c>
      <c r="U131" t="s">
        <v>1141</v>
      </c>
      <c r="V131" t="s">
        <v>1363</v>
      </c>
      <c r="W131">
        <v>73.5</v>
      </c>
      <c r="X131">
        <v>38.1295</v>
      </c>
      <c r="Y131">
        <v>119</v>
      </c>
      <c r="Z131" t="s">
        <v>1364</v>
      </c>
      <c r="AA131">
        <f>VLOOKUP(A131,Cover!A:R,18,0)</f>
        <v>4.4000000000000004</v>
      </c>
      <c r="AB131" s="77">
        <f t="shared" si="74"/>
        <v>0.12349999999999994</v>
      </c>
      <c r="AC131" s="77">
        <f t="shared" si="75"/>
        <v>-11.702999999999999</v>
      </c>
      <c r="AD131" s="77">
        <f t="shared" si="76"/>
        <v>0.30957036145786321</v>
      </c>
      <c r="AE131" s="77">
        <f t="shared" si="77"/>
        <v>-41.695911641578334</v>
      </c>
      <c r="AF131" s="77">
        <f t="shared" si="78"/>
        <v>-4.2168999999999972</v>
      </c>
      <c r="AG131" s="77">
        <f t="shared" si="79"/>
        <v>-11.860683587597309</v>
      </c>
      <c r="AH131" s="77">
        <f t="shared" si="80"/>
        <v>73.5</v>
      </c>
      <c r="AI131" s="77">
        <f t="shared" si="81"/>
        <v>35.3705</v>
      </c>
      <c r="AJ131" s="77">
        <f t="shared" si="82"/>
        <v>38.1295</v>
      </c>
      <c r="AK131" s="77">
        <f t="shared" si="83"/>
        <v>4.4000000000000004</v>
      </c>
      <c r="AL131" s="77">
        <f t="shared" si="84"/>
        <v>33.729500000000002</v>
      </c>
      <c r="AM131" s="77">
        <f t="shared" si="85"/>
        <v>45.890476190476193</v>
      </c>
      <c r="AN131" t="str">
        <f t="shared" si="64"/>
        <v>Capped</v>
      </c>
      <c r="AO131" t="s">
        <v>1146</v>
      </c>
      <c r="AP131" t="str">
        <f t="shared" si="65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6"/>
        <v>DDm125-33</v>
      </c>
    </row>
    <row r="132" spans="1:53">
      <c r="A132" s="35" t="s">
        <v>148</v>
      </c>
      <c r="B132" t="s">
        <v>1147</v>
      </c>
      <c r="C132" t="s">
        <v>1365</v>
      </c>
      <c r="D132" t="s">
        <v>1181</v>
      </c>
      <c r="E132" t="s">
        <v>947</v>
      </c>
      <c r="F132" t="s">
        <v>1140</v>
      </c>
      <c r="G132">
        <v>36.6</v>
      </c>
      <c r="H132">
        <v>9</v>
      </c>
      <c r="I132">
        <v>138</v>
      </c>
      <c r="J132">
        <v>7.5209999999999999</v>
      </c>
      <c r="K132" s="64">
        <v>45415</v>
      </c>
      <c r="L132">
        <v>12.766080000000001</v>
      </c>
      <c r="M132">
        <v>5.2450799999999997</v>
      </c>
      <c r="N132">
        <v>9.4720999999999993</v>
      </c>
      <c r="O132">
        <v>1.9511000000000001</v>
      </c>
      <c r="P132" t="s">
        <v>1144</v>
      </c>
      <c r="Q132" t="s">
        <v>1150</v>
      </c>
      <c r="R132" t="s">
        <v>1178</v>
      </c>
      <c r="S132">
        <v>10.1088</v>
      </c>
      <c r="T132">
        <v>2.5877999999999801</v>
      </c>
      <c r="U132" t="s">
        <v>1144</v>
      </c>
      <c r="V132" t="s">
        <v>1240</v>
      </c>
      <c r="W132">
        <v>11.25</v>
      </c>
      <c r="X132">
        <v>3.7290000000000001</v>
      </c>
      <c r="Y132">
        <v>29</v>
      </c>
      <c r="AA132">
        <f>VLOOKUP(A132,Cover!A:R,18,0)</f>
        <v>6.4</v>
      </c>
      <c r="AB132" s="77">
        <f t="shared" si="74"/>
        <v>-1.1549200000000006</v>
      </c>
      <c r="AC132" s="77">
        <f t="shared" si="75"/>
        <v>-4.4489000000000001</v>
      </c>
      <c r="AD132" s="77">
        <f t="shared" si="76"/>
        <v>-9.0467864841830892</v>
      </c>
      <c r="AE132" s="77">
        <f t="shared" si="77"/>
        <v>-46.96846528224998</v>
      </c>
      <c r="AF132" s="77">
        <f t="shared" si="78"/>
        <v>-3.8122000000000202</v>
      </c>
      <c r="AG132" s="77">
        <f t="shared" si="79"/>
        <v>-37.711696739474711</v>
      </c>
      <c r="AH132" s="77">
        <f t="shared" si="80"/>
        <v>11.25</v>
      </c>
      <c r="AI132" s="77">
        <f t="shared" si="81"/>
        <v>7.5209999999999999</v>
      </c>
      <c r="AJ132" s="77">
        <f t="shared" si="82"/>
        <v>3.7290000000000001</v>
      </c>
      <c r="AK132" s="77">
        <f t="shared" si="83"/>
        <v>6.4</v>
      </c>
      <c r="AL132" s="77">
        <f t="shared" si="84"/>
        <v>-2.6710000000000003</v>
      </c>
      <c r="AM132" s="77">
        <f t="shared" si="85"/>
        <v>-23.742222222222225</v>
      </c>
      <c r="AN132" t="str">
        <f t="shared" si="64"/>
        <v/>
      </c>
      <c r="AO132" t="s">
        <v>1146</v>
      </c>
      <c r="AP132" t="str">
        <f t="shared" si="65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6"/>
        <v>2DDm85-15</v>
      </c>
    </row>
    <row r="133" spans="1:53">
      <c r="A133" s="35" t="s">
        <v>149</v>
      </c>
      <c r="B133" t="s">
        <v>1147</v>
      </c>
      <c r="C133" t="s">
        <v>1365</v>
      </c>
      <c r="D133" t="s">
        <v>1133</v>
      </c>
      <c r="E133" t="s">
        <v>1366</v>
      </c>
      <c r="F133" t="s">
        <v>1140</v>
      </c>
      <c r="G133">
        <v>36.6</v>
      </c>
      <c r="H133">
        <v>9</v>
      </c>
      <c r="I133">
        <v>118</v>
      </c>
      <c r="J133">
        <v>6.431</v>
      </c>
      <c r="K133" s="64">
        <v>45415</v>
      </c>
      <c r="L133">
        <v>12.766080000000001</v>
      </c>
      <c r="M133">
        <v>6.3350799999999996</v>
      </c>
      <c r="N133">
        <v>10.333199563999999</v>
      </c>
      <c r="O133">
        <v>3.902199564</v>
      </c>
      <c r="P133" t="s">
        <v>1243</v>
      </c>
      <c r="Q133" t="s">
        <v>1168</v>
      </c>
      <c r="R133" t="s">
        <v>1174</v>
      </c>
      <c r="S133">
        <v>11.231999999999999</v>
      </c>
      <c r="T133">
        <v>4.8010000000000002</v>
      </c>
      <c r="U133" t="s">
        <v>1144</v>
      </c>
      <c r="V133" t="s">
        <v>1288</v>
      </c>
      <c r="W133">
        <v>10.5</v>
      </c>
      <c r="X133">
        <v>4.069</v>
      </c>
      <c r="Y133">
        <v>1</v>
      </c>
      <c r="Z133" t="s">
        <v>1367</v>
      </c>
      <c r="AA133">
        <f>VLOOKUP(A133,Cover!A:R,18,0)</f>
        <v>4</v>
      </c>
      <c r="AB133" s="77">
        <f t="shared" si="74"/>
        <v>2.3350799999999996</v>
      </c>
      <c r="AC133" s="77">
        <f t="shared" si="75"/>
        <v>-9.7800435999999991E-2</v>
      </c>
      <c r="AD133" s="77">
        <f t="shared" si="76"/>
        <v>18.291284403669717</v>
      </c>
      <c r="AE133" s="77">
        <f t="shared" si="77"/>
        <v>-0.94646808468432675</v>
      </c>
      <c r="AF133" s="77">
        <f t="shared" si="78"/>
        <v>0.80100000000000016</v>
      </c>
      <c r="AG133" s="77">
        <f t="shared" si="79"/>
        <v>7.1314102564102582</v>
      </c>
      <c r="AH133" s="77">
        <f t="shared" si="80"/>
        <v>10.5</v>
      </c>
      <c r="AI133" s="77">
        <f t="shared" si="81"/>
        <v>6.431</v>
      </c>
      <c r="AJ133" s="77">
        <f t="shared" si="82"/>
        <v>4.069</v>
      </c>
      <c r="AK133" s="77">
        <f t="shared" si="83"/>
        <v>4</v>
      </c>
      <c r="AL133" s="77">
        <f t="shared" si="84"/>
        <v>6.899999999999995E-2</v>
      </c>
      <c r="AM133" s="77">
        <f t="shared" si="85"/>
        <v>0.6571428571428567</v>
      </c>
      <c r="AN133" t="str">
        <f t="shared" si="64"/>
        <v>Capped</v>
      </c>
      <c r="AO133" t="s">
        <v>1146</v>
      </c>
      <c r="AP133" t="str">
        <f t="shared" si="65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6"/>
        <v>12V155F</v>
      </c>
    </row>
    <row r="134" spans="1:53">
      <c r="A134" s="35" t="s">
        <v>150</v>
      </c>
      <c r="B134" t="s">
        <v>1159</v>
      </c>
      <c r="C134" t="s">
        <v>1159</v>
      </c>
      <c r="D134" t="s">
        <v>1181</v>
      </c>
      <c r="E134" t="s">
        <v>814</v>
      </c>
      <c r="F134" t="s">
        <v>1193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1144</v>
      </c>
      <c r="Q134" t="s">
        <v>1150</v>
      </c>
      <c r="R134" t="s">
        <v>1161</v>
      </c>
      <c r="S134">
        <v>35.553600000000003</v>
      </c>
      <c r="T134">
        <v>11.9551</v>
      </c>
      <c r="U134" t="s">
        <v>1141</v>
      </c>
      <c r="V134" t="s">
        <v>1310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4"/>
        <v>11.563499999999999</v>
      </c>
      <c r="AC134" s="77">
        <f t="shared" si="75"/>
        <v>1.1539999999999999</v>
      </c>
      <c r="AD134" s="77">
        <f t="shared" si="76"/>
        <v>25.379702383565252</v>
      </c>
      <c r="AE134" s="77">
        <f t="shared" si="77"/>
        <v>3.2828390583884497</v>
      </c>
      <c r="AF134" s="77">
        <f t="shared" si="78"/>
        <v>1.5550999999999995</v>
      </c>
      <c r="AG134" s="77">
        <f t="shared" si="79"/>
        <v>4.3739593177624752</v>
      </c>
      <c r="AH134" s="77">
        <f t="shared" si="80"/>
        <v>150</v>
      </c>
      <c r="AI134" s="77">
        <f t="shared" si="81"/>
        <v>23.598500000000001</v>
      </c>
      <c r="AJ134" s="77">
        <f t="shared" si="82"/>
        <v>126.4015</v>
      </c>
      <c r="AK134" s="77">
        <f t="shared" si="83"/>
        <v>10.4</v>
      </c>
      <c r="AL134" s="77">
        <f t="shared" si="84"/>
        <v>116.00149999999999</v>
      </c>
      <c r="AM134" s="77">
        <f t="shared" si="85"/>
        <v>77.334333333333333</v>
      </c>
      <c r="AN134" t="str">
        <f t="shared" si="64"/>
        <v/>
      </c>
      <c r="AO134" t="s">
        <v>1146</v>
      </c>
      <c r="AP134" t="str">
        <f t="shared" si="65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6"/>
        <v>DDm125-33</v>
      </c>
    </row>
    <row r="135" spans="1:53">
      <c r="A135" s="35" t="s">
        <v>151</v>
      </c>
      <c r="B135" t="s">
        <v>1159</v>
      </c>
      <c r="C135" t="s">
        <v>1159</v>
      </c>
      <c r="D135" t="s">
        <v>1138</v>
      </c>
      <c r="E135" t="s">
        <v>1368</v>
      </c>
      <c r="F135" t="s">
        <v>1140</v>
      </c>
      <c r="G135">
        <v>36.6</v>
      </c>
      <c r="H135">
        <v>32</v>
      </c>
      <c r="I135">
        <v>526</v>
      </c>
      <c r="J135">
        <v>28.667000000000002</v>
      </c>
      <c r="K135" s="64">
        <v>45415</v>
      </c>
      <c r="L135">
        <v>49.468559999999997</v>
      </c>
      <c r="M135">
        <v>20.801559999999998</v>
      </c>
      <c r="N135">
        <v>31.261199999999999</v>
      </c>
      <c r="O135">
        <v>2.5941999999999998</v>
      </c>
      <c r="P135" t="s">
        <v>1141</v>
      </c>
      <c r="Q135" t="s">
        <v>1150</v>
      </c>
      <c r="R135" t="s">
        <v>1369</v>
      </c>
      <c r="S135">
        <v>49.247999999999998</v>
      </c>
      <c r="T135">
        <v>20.581</v>
      </c>
      <c r="U135" t="s">
        <v>1155</v>
      </c>
      <c r="V135" t="s">
        <v>1370</v>
      </c>
      <c r="W135">
        <v>60.75</v>
      </c>
      <c r="X135">
        <v>32.082999999999998</v>
      </c>
      <c r="Y135">
        <v>3</v>
      </c>
      <c r="AA135">
        <f>VLOOKUP(A135,Cover!A:R,18,0)</f>
        <v>1</v>
      </c>
      <c r="AB135" s="77">
        <f t="shared" ref="AB135" si="124">M135-AA135</f>
        <v>19.801559999999998</v>
      </c>
      <c r="AC135" s="77">
        <f t="shared" ref="AC135" si="125">O135-AA135</f>
        <v>1.5941999999999998</v>
      </c>
      <c r="AD135" s="77">
        <f>AB135/L135%</f>
        <v>40.028575725673036</v>
      </c>
      <c r="AE135" s="77">
        <f>AC135/N135%</f>
        <v>5.0996122989520547</v>
      </c>
      <c r="AF135" s="77">
        <f>T135-AA135</f>
        <v>19.581</v>
      </c>
      <c r="AG135" s="77">
        <f>AF135/S135%</f>
        <v>39.75999025341131</v>
      </c>
      <c r="AH135" s="77">
        <f>W135</f>
        <v>60.75</v>
      </c>
      <c r="AI135" s="77">
        <f>J135</f>
        <v>28.667000000000002</v>
      </c>
      <c r="AJ135" s="77">
        <f>AH135-AI135</f>
        <v>32.082999999999998</v>
      </c>
      <c r="AK135" s="77">
        <f>AA135</f>
        <v>1</v>
      </c>
      <c r="AL135" s="77">
        <f>AJ135-AK135</f>
        <v>31.082999999999998</v>
      </c>
      <c r="AM135" s="77">
        <f>AL135/AH135%</f>
        <v>51.165432098765429</v>
      </c>
      <c r="AN135" t="str">
        <f t="shared" si="64"/>
        <v/>
      </c>
      <c r="AO135" t="s">
        <v>1146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6"/>
        <v>SBS EON 1800</v>
      </c>
    </row>
    <row r="136" spans="1:53">
      <c r="A136" s="35" t="s">
        <v>152</v>
      </c>
      <c r="B136" t="s">
        <v>1136</v>
      </c>
      <c r="C136" t="s">
        <v>1371</v>
      </c>
      <c r="D136" t="s">
        <v>1181</v>
      </c>
      <c r="E136" t="s">
        <v>956</v>
      </c>
      <c r="F136" t="s">
        <v>1140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1144</v>
      </c>
      <c r="Q136" t="s">
        <v>1150</v>
      </c>
      <c r="R136" t="s">
        <v>1161</v>
      </c>
      <c r="S136">
        <v>35.553600000000003</v>
      </c>
      <c r="T136">
        <v>20.021100000000001</v>
      </c>
      <c r="U136" t="s">
        <v>1141</v>
      </c>
      <c r="V136" t="s">
        <v>1152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4"/>
        <v>17.6615</v>
      </c>
      <c r="AC136" s="77">
        <f t="shared" si="75"/>
        <v>5.835</v>
      </c>
      <c r="AD136" s="77">
        <f t="shared" si="76"/>
        <v>44.271068331077359</v>
      </c>
      <c r="AE136" s="77">
        <f t="shared" si="77"/>
        <v>20.78916896766723</v>
      </c>
      <c r="AF136" s="77">
        <f t="shared" si="78"/>
        <v>13.321100000000001</v>
      </c>
      <c r="AG136" s="77">
        <f t="shared" si="79"/>
        <v>37.467654470995903</v>
      </c>
      <c r="AH136" s="77">
        <f t="shared" si="80"/>
        <v>22.5</v>
      </c>
      <c r="AI136" s="77">
        <f t="shared" si="81"/>
        <v>15.532500000000001</v>
      </c>
      <c r="AJ136" s="77">
        <f t="shared" si="82"/>
        <v>6.9674999999999994</v>
      </c>
      <c r="AK136" s="77">
        <f t="shared" si="83"/>
        <v>6.7</v>
      </c>
      <c r="AL136" s="77">
        <f t="shared" si="84"/>
        <v>0.26749999999999918</v>
      </c>
      <c r="AM136" s="77">
        <f t="shared" si="85"/>
        <v>1.1888888888888853</v>
      </c>
      <c r="AN136" t="str">
        <f t="shared" si="64"/>
        <v/>
      </c>
      <c r="AO136" t="s">
        <v>1146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6"/>
        <v>DDm125-33</v>
      </c>
    </row>
    <row r="137" spans="1:53">
      <c r="A137" s="35" t="s">
        <v>153</v>
      </c>
      <c r="B137" t="s">
        <v>1176</v>
      </c>
      <c r="C137" t="s">
        <v>1372</v>
      </c>
      <c r="D137" t="s">
        <v>1199</v>
      </c>
      <c r="E137" t="s">
        <v>1020</v>
      </c>
      <c r="F137" t="s">
        <v>1140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1186</v>
      </c>
      <c r="Q137" t="s">
        <v>1150</v>
      </c>
      <c r="R137" t="s">
        <v>1373</v>
      </c>
      <c r="S137">
        <v>9.2145600000000005</v>
      </c>
      <c r="T137">
        <v>3.8190599999999999</v>
      </c>
      <c r="U137" t="s">
        <v>1224</v>
      </c>
      <c r="V137" t="s">
        <v>1229</v>
      </c>
      <c r="W137">
        <v>9</v>
      </c>
      <c r="X137">
        <v>3.6044999999999998</v>
      </c>
      <c r="Y137">
        <v>4</v>
      </c>
      <c r="Z137" t="s">
        <v>1374</v>
      </c>
      <c r="AA137">
        <f>VLOOKUP(A137,Cover!A:R,18,0)</f>
        <v>0</v>
      </c>
      <c r="AB137" s="77">
        <f t="shared" si="74"/>
        <v>0.98753999999999997</v>
      </c>
      <c r="AC137" s="77">
        <f t="shared" si="75"/>
        <v>-0.68669999999999998</v>
      </c>
      <c r="AD137" s="77">
        <f t="shared" si="76"/>
        <v>15.471311475409834</v>
      </c>
      <c r="AE137" s="77">
        <f t="shared" si="77"/>
        <v>-14.583333333333334</v>
      </c>
      <c r="AF137" s="77">
        <f t="shared" si="78"/>
        <v>3.8190599999999999</v>
      </c>
      <c r="AG137" s="77">
        <f t="shared" si="79"/>
        <v>41.445929051414282</v>
      </c>
      <c r="AH137" s="77">
        <f t="shared" si="80"/>
        <v>9</v>
      </c>
      <c r="AI137" s="77">
        <f t="shared" si="81"/>
        <v>5.3955000000000002</v>
      </c>
      <c r="AJ137" s="77">
        <f t="shared" si="82"/>
        <v>3.6044999999999998</v>
      </c>
      <c r="AK137" s="77">
        <f t="shared" si="83"/>
        <v>0</v>
      </c>
      <c r="AL137" s="77">
        <f t="shared" si="84"/>
        <v>3.6044999999999998</v>
      </c>
      <c r="AM137" s="77">
        <f t="shared" si="85"/>
        <v>40.049999999999997</v>
      </c>
      <c r="AN137" t="str">
        <f t="shared" ref="AN137:AN200" si="126">IF(ISBLANK(Z137),"","Capped")</f>
        <v>Capped</v>
      </c>
      <c r="AO137" t="s">
        <v>1146</v>
      </c>
      <c r="AP137" t="str">
        <f t="shared" si="65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6"/>
        <v xml:space="preserve">12V101F </v>
      </c>
    </row>
    <row r="138" spans="1:53">
      <c r="A138" s="35" t="s">
        <v>154</v>
      </c>
      <c r="B138" t="s">
        <v>1136</v>
      </c>
      <c r="C138" t="s">
        <v>1375</v>
      </c>
      <c r="D138" t="s">
        <v>1199</v>
      </c>
      <c r="E138" t="s">
        <v>795</v>
      </c>
      <c r="F138" t="s">
        <v>1149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1144</v>
      </c>
      <c r="Q138" t="s">
        <v>1168</v>
      </c>
      <c r="R138" t="s">
        <v>1287</v>
      </c>
      <c r="S138">
        <v>1.7927999999999999</v>
      </c>
      <c r="T138">
        <v>0.92079999999999995</v>
      </c>
      <c r="U138" t="s">
        <v>1144</v>
      </c>
      <c r="V138" t="s">
        <v>1160</v>
      </c>
      <c r="W138">
        <v>3.75</v>
      </c>
      <c r="X138">
        <v>2.8780000000000001</v>
      </c>
      <c r="Y138">
        <v>1</v>
      </c>
      <c r="Z138" t="s">
        <v>1225</v>
      </c>
      <c r="AA138">
        <f>VLOOKUP(A138,Cover!A:R,18,0)</f>
        <v>0</v>
      </c>
      <c r="AB138" s="77">
        <f t="shared" si="74"/>
        <v>5.6680000000000001</v>
      </c>
      <c r="AC138" s="77">
        <f t="shared" si="75"/>
        <v>6.3547000000000002</v>
      </c>
      <c r="AD138" s="77">
        <f t="shared" si="76"/>
        <v>86.666666666666671</v>
      </c>
      <c r="AE138" s="77">
        <f t="shared" si="77"/>
        <v>87.933634992458522</v>
      </c>
      <c r="AF138" s="77">
        <f t="shared" si="78"/>
        <v>0.92079999999999995</v>
      </c>
      <c r="AG138" s="77">
        <f t="shared" si="79"/>
        <v>51.36099955377064</v>
      </c>
      <c r="AH138" s="77">
        <f t="shared" si="80"/>
        <v>3.75</v>
      </c>
      <c r="AI138" s="77">
        <f t="shared" si="81"/>
        <v>0.872</v>
      </c>
      <c r="AJ138" s="77">
        <f t="shared" si="82"/>
        <v>2.8780000000000001</v>
      </c>
      <c r="AK138" s="77">
        <f t="shared" si="83"/>
        <v>0</v>
      </c>
      <c r="AL138" s="77">
        <f t="shared" si="84"/>
        <v>2.8780000000000001</v>
      </c>
      <c r="AM138" s="77">
        <f t="shared" si="85"/>
        <v>76.74666666666667</v>
      </c>
      <c r="AN138" t="str">
        <f t="shared" si="126"/>
        <v>Capped</v>
      </c>
      <c r="AO138" t="s">
        <v>1146</v>
      </c>
      <c r="AP138" t="str">
        <f t="shared" si="65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6"/>
        <v>12V105F</v>
      </c>
    </row>
    <row r="139" spans="1:53">
      <c r="A139" s="35" t="s">
        <v>155</v>
      </c>
      <c r="B139" t="s">
        <v>1222</v>
      </c>
      <c r="C139" t="s">
        <v>1376</v>
      </c>
      <c r="D139" t="s">
        <v>1138</v>
      </c>
      <c r="E139" t="s">
        <v>904</v>
      </c>
      <c r="F139" t="s">
        <v>1140</v>
      </c>
      <c r="G139">
        <v>36.6</v>
      </c>
      <c r="H139">
        <v>9</v>
      </c>
      <c r="I139">
        <v>125</v>
      </c>
      <c r="J139">
        <v>6.8125</v>
      </c>
      <c r="K139" s="64">
        <v>45415</v>
      </c>
      <c r="L139">
        <v>12.766080000000001</v>
      </c>
      <c r="M139">
        <v>5.9535799999999997</v>
      </c>
      <c r="N139">
        <v>9.4720999999999993</v>
      </c>
      <c r="O139">
        <v>2.6596000000000002</v>
      </c>
      <c r="P139" t="s">
        <v>1144</v>
      </c>
      <c r="Q139" t="s">
        <v>1150</v>
      </c>
      <c r="R139" t="s">
        <v>1178</v>
      </c>
      <c r="S139">
        <v>10.1088</v>
      </c>
      <c r="T139">
        <v>3.29629999999998</v>
      </c>
      <c r="U139" t="s">
        <v>1144</v>
      </c>
      <c r="V139" t="s">
        <v>1152</v>
      </c>
      <c r="W139">
        <v>22.5</v>
      </c>
      <c r="X139">
        <v>15.6875</v>
      </c>
      <c r="Y139">
        <v>4</v>
      </c>
      <c r="AA139">
        <f>VLOOKUP(A139,Cover!A:R,18,0)</f>
        <v>0.5</v>
      </c>
      <c r="AB139" s="77">
        <f t="shared" si="74"/>
        <v>5.4535799999999997</v>
      </c>
      <c r="AC139" s="77">
        <f t="shared" si="75"/>
        <v>2.1596000000000002</v>
      </c>
      <c r="AD139" s="77">
        <f t="shared" si="76"/>
        <v>42.719299894721004</v>
      </c>
      <c r="AE139" s="77">
        <f t="shared" si="77"/>
        <v>22.799590375946202</v>
      </c>
      <c r="AF139" s="77">
        <f t="shared" si="78"/>
        <v>2.79629999999998</v>
      </c>
      <c r="AG139" s="77">
        <f t="shared" si="79"/>
        <v>27.662037037036836</v>
      </c>
      <c r="AH139" s="77">
        <f t="shared" si="80"/>
        <v>22.5</v>
      </c>
      <c r="AI139" s="77">
        <f t="shared" si="81"/>
        <v>6.8125</v>
      </c>
      <c r="AJ139" s="77">
        <f t="shared" si="82"/>
        <v>15.6875</v>
      </c>
      <c r="AK139" s="77">
        <f t="shared" si="83"/>
        <v>0.5</v>
      </c>
      <c r="AL139" s="77">
        <f t="shared" si="84"/>
        <v>15.1875</v>
      </c>
      <c r="AM139" s="77">
        <f t="shared" si="85"/>
        <v>67.5</v>
      </c>
      <c r="AN139" t="str">
        <f t="shared" si="126"/>
        <v/>
      </c>
      <c r="AO139" t="s">
        <v>1146</v>
      </c>
      <c r="AP139" t="str">
        <f t="shared" si="65"/>
        <v>2DDm85-15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7">IFERROR(LEFT(R139,FIND("(",R139,1)-1),R139)</f>
        <v>2DDm85-15</v>
      </c>
    </row>
    <row r="140" spans="1:53">
      <c r="A140" s="35" t="s">
        <v>156</v>
      </c>
      <c r="B140" t="s">
        <v>1188</v>
      </c>
      <c r="C140" t="s">
        <v>1377</v>
      </c>
      <c r="D140" t="s">
        <v>1138</v>
      </c>
      <c r="E140" t="s">
        <v>858</v>
      </c>
      <c r="F140" t="s">
        <v>1140</v>
      </c>
      <c r="G140">
        <v>36.6</v>
      </c>
      <c r="H140">
        <v>70</v>
      </c>
      <c r="I140">
        <v>932</v>
      </c>
      <c r="J140">
        <v>50.793999999999997</v>
      </c>
      <c r="K140" s="64">
        <v>45415</v>
      </c>
      <c r="L140">
        <v>110.10744</v>
      </c>
      <c r="M140">
        <v>59.31344</v>
      </c>
      <c r="N140">
        <v>76.594300000000004</v>
      </c>
      <c r="O140">
        <v>25.8003</v>
      </c>
      <c r="P140" t="s">
        <v>1155</v>
      </c>
      <c r="Q140" t="s">
        <v>1150</v>
      </c>
      <c r="R140" t="s">
        <v>1378</v>
      </c>
      <c r="S140">
        <v>95.610240000000005</v>
      </c>
      <c r="T140">
        <v>44.816240000000001</v>
      </c>
      <c r="U140" t="s">
        <v>1141</v>
      </c>
      <c r="V140" t="s">
        <v>1263</v>
      </c>
      <c r="W140">
        <v>60</v>
      </c>
      <c r="X140">
        <v>9.2059999999999995</v>
      </c>
      <c r="Y140">
        <v>11</v>
      </c>
      <c r="AA140">
        <f>VLOOKUP(A140,Cover!A:R,18,0)</f>
        <v>13.5</v>
      </c>
      <c r="AB140" s="77">
        <f t="shared" si="74"/>
        <v>45.81344</v>
      </c>
      <c r="AC140" s="77">
        <f t="shared" si="75"/>
        <v>12.3003</v>
      </c>
      <c r="AD140" s="77">
        <f t="shared" si="76"/>
        <v>41.607942206266898</v>
      </c>
      <c r="AE140" s="77">
        <f t="shared" si="77"/>
        <v>16.059027891109391</v>
      </c>
      <c r="AF140" s="77">
        <f t="shared" si="78"/>
        <v>31.316240000000001</v>
      </c>
      <c r="AG140" s="77">
        <f t="shared" si="79"/>
        <v>32.754064836569803</v>
      </c>
      <c r="AH140" s="77">
        <f>'Multiroom cooling'!F12</f>
        <v>82.5</v>
      </c>
      <c r="AI140" s="77">
        <f t="shared" si="81"/>
        <v>50.793999999999997</v>
      </c>
      <c r="AJ140" s="77">
        <f t="shared" si="82"/>
        <v>31.706000000000003</v>
      </c>
      <c r="AK140" s="77">
        <f t="shared" si="83"/>
        <v>13.5</v>
      </c>
      <c r="AL140" s="77">
        <f t="shared" si="84"/>
        <v>18.206000000000003</v>
      </c>
      <c r="AM140" s="77">
        <f t="shared" si="85"/>
        <v>22.067878787878794</v>
      </c>
      <c r="AN140" t="str">
        <f t="shared" si="126"/>
        <v/>
      </c>
      <c r="AO140" t="s">
        <v>1146</v>
      </c>
      <c r="AP140" t="str">
        <f t="shared" si="65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7"/>
        <v>2CP3000</v>
      </c>
    </row>
    <row r="141" spans="1:53">
      <c r="A141" s="35" t="s">
        <v>157</v>
      </c>
      <c r="B141" t="s">
        <v>1202</v>
      </c>
      <c r="C141" t="s">
        <v>1379</v>
      </c>
      <c r="D141" t="s">
        <v>1380</v>
      </c>
      <c r="E141" t="s">
        <v>874</v>
      </c>
      <c r="F141" t="s">
        <v>1193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1186</v>
      </c>
      <c r="Q141" t="s">
        <v>1150</v>
      </c>
      <c r="R141" t="s">
        <v>1242</v>
      </c>
      <c r="S141">
        <v>5.3784000000000001</v>
      </c>
      <c r="T141">
        <v>2.9258999999999999</v>
      </c>
      <c r="U141" t="s">
        <v>1224</v>
      </c>
      <c r="V141" t="s">
        <v>1381</v>
      </c>
      <c r="W141">
        <v>24</v>
      </c>
      <c r="X141">
        <v>21.547499999999999</v>
      </c>
      <c r="Y141">
        <v>4</v>
      </c>
      <c r="AA141">
        <f>VLOOKUP(A141,Cover!A:R,18,0)</f>
        <v>0</v>
      </c>
      <c r="AB141" s="77">
        <f t="shared" si="74"/>
        <v>14.333500000000001</v>
      </c>
      <c r="AC141" s="77">
        <f t="shared" si="75"/>
        <v>15.26</v>
      </c>
      <c r="AD141" s="77">
        <f t="shared" si="76"/>
        <v>85.389610389610397</v>
      </c>
      <c r="AE141" s="77">
        <f t="shared" si="77"/>
        <v>86.15384615384616</v>
      </c>
      <c r="AF141" s="77">
        <f t="shared" si="78"/>
        <v>2.9258999999999999</v>
      </c>
      <c r="AG141" s="77">
        <f t="shared" si="79"/>
        <v>54.400937081659976</v>
      </c>
      <c r="AH141" s="368">
        <f>AVERAGE(W141:W142)</f>
        <v>24</v>
      </c>
      <c r="AI141" s="368">
        <f>SUM(J141:J142)</f>
        <v>7.0305</v>
      </c>
      <c r="AJ141" s="368">
        <f t="shared" si="82"/>
        <v>16.9695</v>
      </c>
      <c r="AK141" s="368">
        <f>SUM(AA141:AA142)</f>
        <v>0</v>
      </c>
      <c r="AL141" s="368">
        <f t="shared" si="84"/>
        <v>16.9695</v>
      </c>
      <c r="AM141" s="369">
        <f t="shared" si="85"/>
        <v>70.706249999999997</v>
      </c>
      <c r="AN141" t="str">
        <f t="shared" si="126"/>
        <v/>
      </c>
      <c r="AO141" t="s">
        <v>1201</v>
      </c>
      <c r="AP141" t="str">
        <f t="shared" si="65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7"/>
        <v xml:space="preserve">12V101F </v>
      </c>
    </row>
    <row r="142" spans="1:53">
      <c r="A142" s="35" t="s">
        <v>158</v>
      </c>
      <c r="B142" t="s">
        <v>1202</v>
      </c>
      <c r="C142" t="s">
        <v>1379</v>
      </c>
      <c r="D142" t="s">
        <v>1380</v>
      </c>
      <c r="E142" t="s">
        <v>874</v>
      </c>
      <c r="F142" t="s">
        <v>1193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1186</v>
      </c>
      <c r="Q142" t="s">
        <v>1150</v>
      </c>
      <c r="R142" t="s">
        <v>1242</v>
      </c>
      <c r="S142">
        <v>5.3784000000000001</v>
      </c>
      <c r="T142">
        <v>0.8004</v>
      </c>
      <c r="U142" t="s">
        <v>1224</v>
      </c>
      <c r="V142" t="s">
        <v>1381</v>
      </c>
      <c r="W142">
        <v>24</v>
      </c>
      <c r="X142">
        <v>19.422000000000001</v>
      </c>
      <c r="Y142">
        <v>4</v>
      </c>
      <c r="AA142">
        <f>VLOOKUP(A142,Cover!A:R,18,0)</f>
        <v>0</v>
      </c>
      <c r="AB142" s="77">
        <f t="shared" si="74"/>
        <v>12.208</v>
      </c>
      <c r="AC142" s="77">
        <f t="shared" si="75"/>
        <v>13.134499999999999</v>
      </c>
      <c r="AD142" s="77">
        <f t="shared" si="76"/>
        <v>72.72727272727272</v>
      </c>
      <c r="AE142" s="77">
        <f t="shared" si="77"/>
        <v>74.15384615384616</v>
      </c>
      <c r="AF142" s="77">
        <f t="shared" si="78"/>
        <v>0.8004</v>
      </c>
      <c r="AG142" s="77">
        <f t="shared" si="79"/>
        <v>14.881749219098618</v>
      </c>
      <c r="AH142" s="368"/>
      <c r="AI142" s="368"/>
      <c r="AJ142" s="368"/>
      <c r="AK142" s="368"/>
      <c r="AL142" s="368"/>
      <c r="AM142" s="369"/>
      <c r="AN142" t="str">
        <f t="shared" si="126"/>
        <v/>
      </c>
      <c r="AO142" t="s">
        <v>1201</v>
      </c>
      <c r="AP142" t="str">
        <f t="shared" si="65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7"/>
        <v xml:space="preserve">12V101F </v>
      </c>
    </row>
    <row r="143" spans="1:53">
      <c r="A143" s="35" t="s">
        <v>159</v>
      </c>
      <c r="B143" t="s">
        <v>1202</v>
      </c>
      <c r="C143" t="s">
        <v>1379</v>
      </c>
      <c r="D143" t="s">
        <v>1181</v>
      </c>
      <c r="E143" t="s">
        <v>876</v>
      </c>
      <c r="F143" t="s">
        <v>1193</v>
      </c>
      <c r="G143">
        <v>55</v>
      </c>
      <c r="H143">
        <v>69</v>
      </c>
      <c r="I143">
        <v>1632</v>
      </c>
      <c r="J143">
        <v>88.944000000000003</v>
      </c>
      <c r="K143" s="64">
        <v>45415</v>
      </c>
      <c r="L143">
        <v>163.06399999999999</v>
      </c>
      <c r="M143">
        <v>74.12</v>
      </c>
      <c r="N143">
        <v>138.43</v>
      </c>
      <c r="O143">
        <v>49.485999999999997</v>
      </c>
      <c r="P143" t="s">
        <v>1186</v>
      </c>
      <c r="Q143" t="s">
        <v>1150</v>
      </c>
      <c r="R143" t="s">
        <v>1161</v>
      </c>
      <c r="S143">
        <v>106.66079999999999</v>
      </c>
      <c r="T143">
        <v>17.716800000000099</v>
      </c>
      <c r="U143" t="s">
        <v>1190</v>
      </c>
      <c r="V143" t="s">
        <v>1382</v>
      </c>
      <c r="W143">
        <v>195</v>
      </c>
      <c r="X143">
        <v>106.056</v>
      </c>
      <c r="Y143">
        <v>37</v>
      </c>
      <c r="AA143">
        <f>VLOOKUP(A143,Cover!A:R,18,0)</f>
        <v>17.5</v>
      </c>
      <c r="AB143" s="77">
        <f t="shared" si="74"/>
        <v>56.620000000000005</v>
      </c>
      <c r="AC143" s="77">
        <f t="shared" si="75"/>
        <v>31.985999999999997</v>
      </c>
      <c r="AD143" s="77">
        <f t="shared" si="76"/>
        <v>34.722562920080463</v>
      </c>
      <c r="AE143" s="77">
        <f t="shared" si="77"/>
        <v>23.106263093260129</v>
      </c>
      <c r="AF143" s="77">
        <f t="shared" si="78"/>
        <v>0.21680000000009869</v>
      </c>
      <c r="AG143" s="77">
        <f t="shared" si="79"/>
        <v>0.20326117936495761</v>
      </c>
      <c r="AH143" s="368">
        <f>AVERAGE(W143:W144)</f>
        <v>195</v>
      </c>
      <c r="AI143" s="368">
        <f>SUM(J143:J144)</f>
        <v>137.44900000000001</v>
      </c>
      <c r="AJ143" s="368">
        <f t="shared" si="82"/>
        <v>57.550999999999988</v>
      </c>
      <c r="AK143" s="368">
        <f>SUM(AA143:AA144)</f>
        <v>38.200000000000003</v>
      </c>
      <c r="AL143" s="368">
        <f t="shared" si="84"/>
        <v>19.350999999999985</v>
      </c>
      <c r="AM143" s="369">
        <f t="shared" si="85"/>
        <v>9.9235897435897353</v>
      </c>
      <c r="AN143" t="str">
        <f t="shared" si="126"/>
        <v/>
      </c>
      <c r="AO143" t="s">
        <v>1201</v>
      </c>
      <c r="AP143" t="str">
        <f t="shared" ref="AP143:AP208" si="128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7"/>
        <v>DDm125-33</v>
      </c>
    </row>
    <row r="144" spans="1:53">
      <c r="A144" s="35" t="s">
        <v>160</v>
      </c>
      <c r="B144" t="s">
        <v>1202</v>
      </c>
      <c r="C144" t="s">
        <v>1379</v>
      </c>
      <c r="D144" t="s">
        <v>1181</v>
      </c>
      <c r="E144" t="s">
        <v>876</v>
      </c>
      <c r="F144" t="s">
        <v>1193</v>
      </c>
      <c r="G144">
        <v>55</v>
      </c>
      <c r="H144">
        <v>70</v>
      </c>
      <c r="I144">
        <v>890</v>
      </c>
      <c r="J144">
        <v>48.505000000000003</v>
      </c>
      <c r="K144" s="64">
        <v>45415</v>
      </c>
      <c r="L144">
        <v>165.46199999999999</v>
      </c>
      <c r="M144">
        <v>116.95699999999999</v>
      </c>
      <c r="N144">
        <v>141.42750000000001</v>
      </c>
      <c r="O144">
        <v>92.922499999999999</v>
      </c>
      <c r="P144" t="s">
        <v>1186</v>
      </c>
      <c r="Q144" t="s">
        <v>1150</v>
      </c>
      <c r="R144" t="s">
        <v>1161</v>
      </c>
      <c r="S144">
        <v>106.66079999999999</v>
      </c>
      <c r="T144">
        <v>58.155800000000099</v>
      </c>
      <c r="U144" t="s">
        <v>1190</v>
      </c>
      <c r="V144" t="s">
        <v>1382</v>
      </c>
      <c r="W144">
        <v>195</v>
      </c>
      <c r="X144">
        <v>146.495</v>
      </c>
      <c r="Y144">
        <v>37</v>
      </c>
      <c r="AA144">
        <f>VLOOKUP(A144,Cover!A:R,18,0)</f>
        <v>20.700000000000003</v>
      </c>
      <c r="AB144" s="77">
        <f t="shared" si="74"/>
        <v>96.256999999999991</v>
      </c>
      <c r="AC144" s="77">
        <f t="shared" si="75"/>
        <v>72.222499999999997</v>
      </c>
      <c r="AD144" s="77">
        <f t="shared" si="76"/>
        <v>58.174686634997762</v>
      </c>
      <c r="AE144" s="77">
        <f t="shared" si="77"/>
        <v>51.066801011118763</v>
      </c>
      <c r="AF144" s="77">
        <f t="shared" si="78"/>
        <v>37.455800000000096</v>
      </c>
      <c r="AG144" s="77">
        <f t="shared" si="79"/>
        <v>35.116743920915738</v>
      </c>
      <c r="AH144" s="368"/>
      <c r="AI144" s="368"/>
      <c r="AJ144" s="368"/>
      <c r="AK144" s="368"/>
      <c r="AL144" s="368"/>
      <c r="AM144" s="369"/>
      <c r="AN144" t="str">
        <f t="shared" si="126"/>
        <v/>
      </c>
      <c r="AO144" t="s">
        <v>1201</v>
      </c>
      <c r="AP144" t="str">
        <f t="shared" si="128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7"/>
        <v>DDm125-33</v>
      </c>
    </row>
    <row r="145" spans="1:53">
      <c r="A145" s="35" t="s">
        <v>161</v>
      </c>
      <c r="B145" t="s">
        <v>1202</v>
      </c>
      <c r="C145" t="s">
        <v>1379</v>
      </c>
      <c r="D145" t="s">
        <v>1138</v>
      </c>
      <c r="E145" t="s">
        <v>1383</v>
      </c>
      <c r="F145" t="s">
        <v>1352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1144</v>
      </c>
      <c r="Q145" t="s">
        <v>1150</v>
      </c>
      <c r="R145" t="s">
        <v>1355</v>
      </c>
      <c r="S145">
        <v>18.792000000000002</v>
      </c>
      <c r="T145">
        <v>12.252000000000001</v>
      </c>
      <c r="U145" t="s">
        <v>1144</v>
      </c>
      <c r="V145" t="s">
        <v>1381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29">M145-AA145</f>
        <v>11.345000000000001</v>
      </c>
      <c r="AC145" s="77">
        <f t="shared" ref="AC145:AC212" si="130">O145-AA145</f>
        <v>3.7967499999999998</v>
      </c>
      <c r="AD145" s="77">
        <f t="shared" ref="AD145:AD212" si="131">AB145/L145%</f>
        <v>63.080344731720885</v>
      </c>
      <c r="AE145" s="77">
        <f t="shared" ref="AE145:AE212" si="132">AC145/N145%</f>
        <v>36.378661939780102</v>
      </c>
      <c r="AF145" s="77">
        <f t="shared" ref="AF145:AF212" si="133">T145-AA145</f>
        <v>12.152000000000001</v>
      </c>
      <c r="AG145" s="77">
        <f t="shared" ref="AG145:AG212" si="134">AF145/S145%</f>
        <v>64.665815240527891</v>
      </c>
      <c r="AH145" s="77">
        <f t="shared" ref="AH145:AH212" si="135">W145</f>
        <v>24</v>
      </c>
      <c r="AI145" s="77">
        <f t="shared" ref="AI145:AI212" si="136">J145</f>
        <v>6.54</v>
      </c>
      <c r="AJ145" s="77">
        <f t="shared" ref="AJ145:AJ212" si="137">AH145-AI145</f>
        <v>17.46</v>
      </c>
      <c r="AK145" s="77">
        <f t="shared" ref="AK145:AK212" si="138">AA145</f>
        <v>0.1</v>
      </c>
      <c r="AL145" s="77">
        <f t="shared" ref="AL145:AL212" si="139">AJ145-AK145</f>
        <v>17.36</v>
      </c>
      <c r="AM145" s="77">
        <f t="shared" ref="AM145:AM212" si="140">AL145/AH145%</f>
        <v>72.333333333333329</v>
      </c>
      <c r="AN145" t="str">
        <f t="shared" si="126"/>
        <v/>
      </c>
      <c r="AO145" t="s">
        <v>1146</v>
      </c>
      <c r="AP145" t="str">
        <f t="shared" si="128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7"/>
        <v>DDm85-27</v>
      </c>
    </row>
    <row r="146" spans="1:53">
      <c r="A146" s="35" t="s">
        <v>162</v>
      </c>
      <c r="B146" t="s">
        <v>1202</v>
      </c>
      <c r="C146" t="s">
        <v>1379</v>
      </c>
      <c r="D146" t="s">
        <v>1138</v>
      </c>
      <c r="E146" t="s">
        <v>882</v>
      </c>
      <c r="F146" t="s">
        <v>1140</v>
      </c>
      <c r="G146">
        <v>36.6</v>
      </c>
      <c r="H146">
        <v>35</v>
      </c>
      <c r="I146">
        <v>462</v>
      </c>
      <c r="J146">
        <v>25.178999999999998</v>
      </c>
      <c r="K146" s="64">
        <v>45415</v>
      </c>
      <c r="L146">
        <v>54.255839999999999</v>
      </c>
      <c r="M146">
        <v>29.076840000000001</v>
      </c>
      <c r="N146">
        <v>35.119799999999998</v>
      </c>
      <c r="O146">
        <v>9.9407999999999994</v>
      </c>
      <c r="P146" t="s">
        <v>1141</v>
      </c>
      <c r="Q146" t="s">
        <v>1150</v>
      </c>
      <c r="R146" t="s">
        <v>1161</v>
      </c>
      <c r="S146">
        <v>53.330399999999997</v>
      </c>
      <c r="T146">
        <v>28.151399999999999</v>
      </c>
      <c r="U146" t="s">
        <v>1190</v>
      </c>
      <c r="V146" t="s">
        <v>1384</v>
      </c>
      <c r="W146">
        <v>135</v>
      </c>
      <c r="X146">
        <v>109.821</v>
      </c>
      <c r="Y146">
        <v>135</v>
      </c>
      <c r="AA146">
        <f>VLOOKUP(A146,Cover!A:R,18,0)</f>
        <v>8.1</v>
      </c>
      <c r="AB146" s="77">
        <f t="shared" si="129"/>
        <v>20.976840000000003</v>
      </c>
      <c r="AC146" s="77">
        <f t="shared" si="130"/>
        <v>1.8407999999999998</v>
      </c>
      <c r="AD146" s="77">
        <f t="shared" si="131"/>
        <v>38.662824131005998</v>
      </c>
      <c r="AE146" s="77">
        <f t="shared" si="132"/>
        <v>5.2414877077887692</v>
      </c>
      <c r="AF146" s="77">
        <f t="shared" si="133"/>
        <v>20.051400000000001</v>
      </c>
      <c r="AG146" s="77">
        <f t="shared" si="134"/>
        <v>37.598442914360291</v>
      </c>
      <c r="AH146" s="77">
        <f t="shared" si="135"/>
        <v>135</v>
      </c>
      <c r="AI146" s="77">
        <f t="shared" si="136"/>
        <v>25.178999999999998</v>
      </c>
      <c r="AJ146" s="77">
        <f t="shared" si="137"/>
        <v>109.821</v>
      </c>
      <c r="AK146" s="77">
        <f t="shared" si="138"/>
        <v>8.1</v>
      </c>
      <c r="AL146" s="77">
        <f t="shared" si="139"/>
        <v>101.721</v>
      </c>
      <c r="AM146" s="77">
        <f t="shared" si="140"/>
        <v>75.348888888888894</v>
      </c>
      <c r="AN146" t="str">
        <f t="shared" si="126"/>
        <v/>
      </c>
      <c r="AO146" t="s">
        <v>1146</v>
      </c>
      <c r="AP146" t="str">
        <f t="shared" si="128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7"/>
        <v>DDm125-33</v>
      </c>
    </row>
    <row r="147" spans="1:53">
      <c r="A147" s="35" t="s">
        <v>163</v>
      </c>
      <c r="B147" t="s">
        <v>1147</v>
      </c>
      <c r="C147" t="s">
        <v>1385</v>
      </c>
      <c r="D147" t="s">
        <v>1138</v>
      </c>
      <c r="E147" t="s">
        <v>948</v>
      </c>
      <c r="F147" t="s">
        <v>1140</v>
      </c>
      <c r="G147">
        <v>36.6</v>
      </c>
      <c r="H147">
        <v>35</v>
      </c>
      <c r="I147">
        <v>523</v>
      </c>
      <c r="J147">
        <v>28.503499999999999</v>
      </c>
      <c r="K147" s="64">
        <v>45415</v>
      </c>
      <c r="L147">
        <v>54.255839999999999</v>
      </c>
      <c r="M147">
        <v>25.75234</v>
      </c>
      <c r="N147">
        <v>35.119799999999998</v>
      </c>
      <c r="O147">
        <v>6.6162999999999998</v>
      </c>
      <c r="P147" t="s">
        <v>1141</v>
      </c>
      <c r="Q147" t="s">
        <v>1150</v>
      </c>
      <c r="R147" t="s">
        <v>1161</v>
      </c>
      <c r="S147">
        <v>53.330399999999997</v>
      </c>
      <c r="T147">
        <v>24.826899999999998</v>
      </c>
      <c r="U147" t="s">
        <v>1155</v>
      </c>
      <c r="V147" t="s">
        <v>1234</v>
      </c>
      <c r="W147">
        <v>67.5</v>
      </c>
      <c r="X147">
        <v>38.996499999999997</v>
      </c>
      <c r="Y147">
        <v>44</v>
      </c>
      <c r="AA147">
        <f>VLOOKUP(A147,Cover!A:R,18,0)</f>
        <v>2</v>
      </c>
      <c r="AB147" s="77">
        <f t="shared" si="129"/>
        <v>23.75234</v>
      </c>
      <c r="AC147" s="77">
        <f t="shared" si="130"/>
        <v>4.6162999999999998</v>
      </c>
      <c r="AD147" s="77">
        <f t="shared" si="131"/>
        <v>43.778402472434301</v>
      </c>
      <c r="AE147" s="77">
        <f t="shared" si="132"/>
        <v>13.144437041213219</v>
      </c>
      <c r="AF147" s="77">
        <f t="shared" si="133"/>
        <v>22.826899999999998</v>
      </c>
      <c r="AG147" s="77">
        <f t="shared" si="134"/>
        <v>42.802791653540943</v>
      </c>
      <c r="AH147" s="77">
        <f t="shared" si="135"/>
        <v>67.5</v>
      </c>
      <c r="AI147" s="77">
        <f t="shared" si="136"/>
        <v>28.503499999999999</v>
      </c>
      <c r="AJ147" s="77">
        <f t="shared" si="137"/>
        <v>38.996499999999997</v>
      </c>
      <c r="AK147" s="77">
        <f t="shared" si="138"/>
        <v>2</v>
      </c>
      <c r="AL147" s="77">
        <f t="shared" si="139"/>
        <v>36.996499999999997</v>
      </c>
      <c r="AM147" s="77">
        <f t="shared" si="140"/>
        <v>54.809629629629619</v>
      </c>
      <c r="AN147" t="str">
        <f t="shared" si="126"/>
        <v/>
      </c>
      <c r="AO147" t="s">
        <v>1146</v>
      </c>
      <c r="AP147" t="str">
        <f t="shared" si="128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7"/>
        <v>DDm125-33</v>
      </c>
    </row>
    <row r="148" spans="1:53">
      <c r="A148" s="35" t="s">
        <v>164</v>
      </c>
      <c r="B148" t="s">
        <v>1222</v>
      </c>
      <c r="C148" t="s">
        <v>1386</v>
      </c>
      <c r="D148" t="s">
        <v>1181</v>
      </c>
      <c r="E148" t="s">
        <v>906</v>
      </c>
      <c r="F148" t="s">
        <v>1140</v>
      </c>
      <c r="G148">
        <v>36.6</v>
      </c>
      <c r="H148">
        <v>18</v>
      </c>
      <c r="I148">
        <v>185</v>
      </c>
      <c r="J148">
        <v>10.0825</v>
      </c>
      <c r="K148" s="64">
        <v>45415</v>
      </c>
      <c r="L148">
        <v>27.12792</v>
      </c>
      <c r="M148">
        <v>17.04542</v>
      </c>
      <c r="N148">
        <v>12.1099</v>
      </c>
      <c r="O148">
        <v>2.0274000000000001</v>
      </c>
      <c r="P148" t="s">
        <v>1144</v>
      </c>
      <c r="Q148" t="s">
        <v>1150</v>
      </c>
      <c r="R148" t="s">
        <v>1161</v>
      </c>
      <c r="S148">
        <v>35.553600000000003</v>
      </c>
      <c r="T148">
        <v>25.4711</v>
      </c>
      <c r="U148" t="s">
        <v>1144</v>
      </c>
      <c r="V148" t="s">
        <v>1152</v>
      </c>
      <c r="W148">
        <v>22.5</v>
      </c>
      <c r="X148">
        <v>12.4175</v>
      </c>
      <c r="Y148">
        <v>174</v>
      </c>
      <c r="AA148">
        <f>VLOOKUP(A148,Cover!A:R,18,0)</f>
        <v>5.9</v>
      </c>
      <c r="AB148" s="77">
        <f t="shared" si="129"/>
        <v>11.14542</v>
      </c>
      <c r="AC148" s="77">
        <f t="shared" si="130"/>
        <v>-3.8726000000000003</v>
      </c>
      <c r="AD148" s="77">
        <f t="shared" si="131"/>
        <v>41.084683234099778</v>
      </c>
      <c r="AE148" s="77">
        <f t="shared" si="132"/>
        <v>-31.978794209696201</v>
      </c>
      <c r="AF148" s="77">
        <f t="shared" si="133"/>
        <v>19.571100000000001</v>
      </c>
      <c r="AG148" s="77">
        <f t="shared" si="134"/>
        <v>55.046746321047657</v>
      </c>
      <c r="AH148" s="77">
        <f t="shared" si="135"/>
        <v>22.5</v>
      </c>
      <c r="AI148" s="77">
        <f t="shared" si="136"/>
        <v>10.0825</v>
      </c>
      <c r="AJ148" s="77">
        <f t="shared" si="137"/>
        <v>12.4175</v>
      </c>
      <c r="AK148" s="77">
        <f t="shared" si="138"/>
        <v>5.9</v>
      </c>
      <c r="AL148" s="77">
        <f t="shared" si="139"/>
        <v>6.5175000000000001</v>
      </c>
      <c r="AM148" s="77">
        <f t="shared" si="140"/>
        <v>28.966666666666665</v>
      </c>
      <c r="AN148" t="str">
        <f t="shared" si="126"/>
        <v/>
      </c>
      <c r="AO148" t="s">
        <v>1146</v>
      </c>
      <c r="AP148" t="str">
        <f t="shared" si="128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7"/>
        <v>DDm125-33</v>
      </c>
    </row>
    <row r="149" spans="1:53">
      <c r="A149" s="35" t="s">
        <v>165</v>
      </c>
      <c r="B149" t="s">
        <v>1188</v>
      </c>
      <c r="C149" t="s">
        <v>1387</v>
      </c>
      <c r="D149" t="s">
        <v>1133</v>
      </c>
      <c r="E149" t="s">
        <v>857</v>
      </c>
      <c r="F149" t="s">
        <v>1140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1141</v>
      </c>
      <c r="Q149" t="s">
        <v>1150</v>
      </c>
      <c r="R149" t="s">
        <v>1330</v>
      </c>
      <c r="S149">
        <v>21.6432</v>
      </c>
      <c r="T149">
        <v>13.904199999999999</v>
      </c>
      <c r="U149" t="s">
        <v>1141</v>
      </c>
      <c r="V149" t="s">
        <v>1388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29"/>
        <v>8.2186000000000003</v>
      </c>
      <c r="AC149" s="77">
        <f t="shared" si="130"/>
        <v>-1.6895</v>
      </c>
      <c r="AD149" s="77">
        <f t="shared" si="131"/>
        <v>51.502732240437162</v>
      </c>
      <c r="AE149" s="77">
        <f t="shared" si="132"/>
        <v>-27.927927927927929</v>
      </c>
      <c r="AF149" s="77">
        <f t="shared" si="133"/>
        <v>13.904199999999999</v>
      </c>
      <c r="AG149" s="77">
        <f t="shared" si="134"/>
        <v>64.242810674946398</v>
      </c>
      <c r="AH149" s="77">
        <f t="shared" si="135"/>
        <v>21</v>
      </c>
      <c r="AI149" s="77">
        <f t="shared" si="136"/>
        <v>7.7389999999999999</v>
      </c>
      <c r="AJ149" s="77">
        <f t="shared" si="137"/>
        <v>13.260999999999999</v>
      </c>
      <c r="AK149" s="77">
        <f t="shared" si="138"/>
        <v>0</v>
      </c>
      <c r="AL149" s="77">
        <f t="shared" si="139"/>
        <v>13.260999999999999</v>
      </c>
      <c r="AM149" s="77">
        <f t="shared" si="140"/>
        <v>63.147619047619045</v>
      </c>
      <c r="AN149" t="str">
        <f t="shared" si="126"/>
        <v>Capped</v>
      </c>
      <c r="AO149" t="s">
        <v>1146</v>
      </c>
      <c r="AP149" t="str">
        <f t="shared" si="128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7"/>
        <v>DDm85-21</v>
      </c>
    </row>
    <row r="150" spans="1:53">
      <c r="A150" s="35" t="s">
        <v>166</v>
      </c>
      <c r="B150" t="s">
        <v>1222</v>
      </c>
      <c r="C150" t="s">
        <v>1389</v>
      </c>
      <c r="D150" t="s">
        <v>1138</v>
      </c>
      <c r="E150" t="s">
        <v>907</v>
      </c>
      <c r="F150" t="s">
        <v>1140</v>
      </c>
      <c r="G150">
        <v>36.6</v>
      </c>
      <c r="H150">
        <v>10</v>
      </c>
      <c r="I150">
        <v>99</v>
      </c>
      <c r="J150">
        <v>5.3955000000000002</v>
      </c>
      <c r="K150" s="64">
        <v>45415</v>
      </c>
      <c r="L150">
        <v>14.361840000000001</v>
      </c>
      <c r="M150">
        <v>8.9663400000000006</v>
      </c>
      <c r="N150">
        <v>17.734300000000001</v>
      </c>
      <c r="O150">
        <v>12.338800000000001</v>
      </c>
      <c r="P150" t="s">
        <v>1155</v>
      </c>
      <c r="Q150" t="s">
        <v>1168</v>
      </c>
      <c r="R150" t="s">
        <v>1169</v>
      </c>
      <c r="S150">
        <v>3.456</v>
      </c>
      <c r="T150">
        <v>-1.9395</v>
      </c>
      <c r="U150" t="s">
        <v>1144</v>
      </c>
      <c r="V150" t="s">
        <v>1240</v>
      </c>
      <c r="W150">
        <v>11.25</v>
      </c>
      <c r="X150">
        <v>5.8544999999999998</v>
      </c>
      <c r="Y150">
        <v>4</v>
      </c>
      <c r="AA150">
        <f>VLOOKUP(A150,Cover!A:R,18,0)</f>
        <v>0</v>
      </c>
      <c r="AB150" s="77">
        <f t="shared" si="129"/>
        <v>8.9663400000000006</v>
      </c>
      <c r="AC150" s="77">
        <f t="shared" si="130"/>
        <v>12.338800000000001</v>
      </c>
      <c r="AD150" s="77">
        <f t="shared" si="131"/>
        <v>62.431693989071043</v>
      </c>
      <c r="AE150" s="77">
        <f t="shared" si="132"/>
        <v>69.575906576521206</v>
      </c>
      <c r="AF150" s="77">
        <f t="shared" si="133"/>
        <v>-1.9395</v>
      </c>
      <c r="AG150" s="77">
        <f t="shared" si="134"/>
        <v>-56.119791666666664</v>
      </c>
      <c r="AH150" s="77">
        <f t="shared" si="135"/>
        <v>11.25</v>
      </c>
      <c r="AI150" s="77">
        <f t="shared" si="136"/>
        <v>5.3955000000000002</v>
      </c>
      <c r="AJ150" s="77">
        <f t="shared" si="137"/>
        <v>5.8544999999999998</v>
      </c>
      <c r="AK150" s="77">
        <f t="shared" si="138"/>
        <v>0</v>
      </c>
      <c r="AL150" s="77">
        <f t="shared" si="139"/>
        <v>5.8544999999999998</v>
      </c>
      <c r="AM150" s="77">
        <f t="shared" si="140"/>
        <v>52.04</v>
      </c>
      <c r="AN150" t="str">
        <f t="shared" si="126"/>
        <v/>
      </c>
      <c r="AO150" t="s">
        <v>1146</v>
      </c>
      <c r="AP150" t="str">
        <f t="shared" si="128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7"/>
        <v>SBS C11F</v>
      </c>
    </row>
    <row r="151" spans="1:53">
      <c r="A151" s="35" t="s">
        <v>167</v>
      </c>
      <c r="B151" t="s">
        <v>1222</v>
      </c>
      <c r="C151" t="s">
        <v>1390</v>
      </c>
      <c r="D151" t="s">
        <v>1181</v>
      </c>
      <c r="E151" t="s">
        <v>1391</v>
      </c>
      <c r="F151" t="s">
        <v>1140</v>
      </c>
      <c r="G151">
        <v>36.6</v>
      </c>
      <c r="H151">
        <v>26</v>
      </c>
      <c r="I151">
        <v>319</v>
      </c>
      <c r="J151">
        <v>17.3855</v>
      </c>
      <c r="K151" s="64">
        <v>45415</v>
      </c>
      <c r="L151">
        <v>39.893999999999998</v>
      </c>
      <c r="M151">
        <v>22.508500000000002</v>
      </c>
      <c r="N151">
        <v>28.067499999999999</v>
      </c>
      <c r="O151">
        <v>10.682</v>
      </c>
      <c r="P151" t="s">
        <v>1144</v>
      </c>
      <c r="Q151" t="s">
        <v>1150</v>
      </c>
      <c r="R151" t="s">
        <v>1161</v>
      </c>
      <c r="S151">
        <v>35.553600000000003</v>
      </c>
      <c r="T151">
        <v>18.168099999999999</v>
      </c>
      <c r="U151" t="s">
        <v>1141</v>
      </c>
      <c r="V151" t="s">
        <v>1207</v>
      </c>
      <c r="W151">
        <v>37.5</v>
      </c>
      <c r="X151">
        <v>20.1145</v>
      </c>
      <c r="Y151">
        <v>18</v>
      </c>
      <c r="AA151">
        <f>VLOOKUP(A151,Cover!A:R,18,0)</f>
        <v>1.7</v>
      </c>
      <c r="AB151" s="77">
        <f t="shared" si="129"/>
        <v>20.808500000000002</v>
      </c>
      <c r="AC151" s="77">
        <f t="shared" si="130"/>
        <v>8.9820000000000011</v>
      </c>
      <c r="AD151" s="77">
        <f t="shared" si="131"/>
        <v>52.159472602396363</v>
      </c>
      <c r="AE151" s="77">
        <f t="shared" si="132"/>
        <v>32.001425135833259</v>
      </c>
      <c r="AF151" s="77">
        <f t="shared" si="133"/>
        <v>16.4681</v>
      </c>
      <c r="AG151" s="77">
        <f t="shared" si="134"/>
        <v>46.319078799333958</v>
      </c>
      <c r="AH151" s="77">
        <f t="shared" si="135"/>
        <v>37.5</v>
      </c>
      <c r="AI151" s="77">
        <f t="shared" si="136"/>
        <v>17.3855</v>
      </c>
      <c r="AJ151" s="77">
        <f t="shared" si="137"/>
        <v>20.1145</v>
      </c>
      <c r="AK151" s="77">
        <f t="shared" si="138"/>
        <v>1.7</v>
      </c>
      <c r="AL151" s="77">
        <f t="shared" si="139"/>
        <v>18.4145</v>
      </c>
      <c r="AM151" s="77">
        <f t="shared" si="140"/>
        <v>49.105333333333334</v>
      </c>
      <c r="AN151" t="str">
        <f t="shared" si="126"/>
        <v/>
      </c>
      <c r="AO151" t="s">
        <v>1146</v>
      </c>
      <c r="AP151" t="str">
        <f t="shared" si="128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7"/>
        <v>DDm125-33</v>
      </c>
    </row>
    <row r="152" spans="1:53">
      <c r="A152" s="35" t="s">
        <v>168</v>
      </c>
      <c r="B152" t="s">
        <v>1159</v>
      </c>
      <c r="C152" t="s">
        <v>1159</v>
      </c>
      <c r="D152" t="s">
        <v>1133</v>
      </c>
      <c r="E152" t="s">
        <v>819</v>
      </c>
      <c r="F152" t="s">
        <v>1149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1155</v>
      </c>
      <c r="Q152" t="s">
        <v>1150</v>
      </c>
      <c r="R152" t="s">
        <v>1392</v>
      </c>
      <c r="S152">
        <v>113.616</v>
      </c>
      <c r="T152">
        <v>35.680999999999997</v>
      </c>
      <c r="U152" t="s">
        <v>1224</v>
      </c>
      <c r="V152" t="s">
        <v>1393</v>
      </c>
      <c r="W152">
        <v>71.25</v>
      </c>
      <c r="X152">
        <v>-6.6849999999999996</v>
      </c>
      <c r="Y152">
        <v>45</v>
      </c>
      <c r="Z152" t="s">
        <v>1256</v>
      </c>
      <c r="AA152">
        <f>VLOOKUP(A152,Cover!A:R,18,0)</f>
        <v>11.5</v>
      </c>
      <c r="AB152" s="77">
        <f t="shared" si="129"/>
        <v>21.744999999999997</v>
      </c>
      <c r="AC152" s="77">
        <f t="shared" si="130"/>
        <v>5.9400000000000013</v>
      </c>
      <c r="AD152" s="77">
        <f t="shared" si="131"/>
        <v>19.558373808238887</v>
      </c>
      <c r="AE152" s="77">
        <f t="shared" si="132"/>
        <v>6.228047182175624</v>
      </c>
      <c r="AF152" s="77">
        <f t="shared" si="133"/>
        <v>24.180999999999997</v>
      </c>
      <c r="AG152" s="77">
        <f t="shared" si="134"/>
        <v>21.283093930432329</v>
      </c>
      <c r="AH152" s="77">
        <f t="shared" si="135"/>
        <v>71.25</v>
      </c>
      <c r="AI152" s="77">
        <f t="shared" si="136"/>
        <v>77.935000000000002</v>
      </c>
      <c r="AJ152" s="77">
        <f t="shared" si="137"/>
        <v>-6.6850000000000023</v>
      </c>
      <c r="AK152" s="77">
        <f t="shared" si="138"/>
        <v>11.5</v>
      </c>
      <c r="AL152" s="77">
        <f t="shared" si="139"/>
        <v>-18.185000000000002</v>
      </c>
      <c r="AM152" s="77">
        <f t="shared" si="140"/>
        <v>-25.522807017543862</v>
      </c>
      <c r="AN152" t="str">
        <f t="shared" si="126"/>
        <v>Capped</v>
      </c>
      <c r="AO152" t="s">
        <v>1146</v>
      </c>
      <c r="AP152" t="str">
        <f t="shared" si="128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7"/>
        <v xml:space="preserve">DDm125-33 </v>
      </c>
    </row>
    <row r="153" spans="1:53">
      <c r="A153" s="35" t="s">
        <v>169</v>
      </c>
      <c r="B153" t="s">
        <v>1197</v>
      </c>
      <c r="C153" t="s">
        <v>1394</v>
      </c>
      <c r="D153" t="s">
        <v>1133</v>
      </c>
      <c r="E153" t="s">
        <v>958</v>
      </c>
      <c r="F153" t="s">
        <v>1149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1144</v>
      </c>
      <c r="Q153" t="s">
        <v>1150</v>
      </c>
      <c r="R153" t="s">
        <v>1210</v>
      </c>
      <c r="S153">
        <v>28.123200000000001</v>
      </c>
      <c r="T153">
        <v>15.043200000000001</v>
      </c>
      <c r="U153" t="s">
        <v>1144</v>
      </c>
      <c r="V153" t="s">
        <v>1152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29"/>
        <v>21.89</v>
      </c>
      <c r="AC153" s="77">
        <f t="shared" si="130"/>
        <v>13.442500000000001</v>
      </c>
      <c r="AD153" s="77">
        <f t="shared" si="131"/>
        <v>60.856269113149857</v>
      </c>
      <c r="AE153" s="77">
        <f t="shared" si="132"/>
        <v>48.8418566627305</v>
      </c>
      <c r="AF153" s="77">
        <f t="shared" si="133"/>
        <v>14.043200000000001</v>
      </c>
      <c r="AG153" s="77">
        <f t="shared" si="134"/>
        <v>49.934573590487574</v>
      </c>
      <c r="AH153" s="77">
        <f t="shared" si="135"/>
        <v>22.5</v>
      </c>
      <c r="AI153" s="77">
        <f t="shared" si="136"/>
        <v>13.08</v>
      </c>
      <c r="AJ153" s="77">
        <f t="shared" si="137"/>
        <v>9.42</v>
      </c>
      <c r="AK153" s="77">
        <f t="shared" si="138"/>
        <v>1</v>
      </c>
      <c r="AL153" s="77">
        <f t="shared" si="139"/>
        <v>8.42</v>
      </c>
      <c r="AM153" s="77">
        <f t="shared" si="140"/>
        <v>37.422222222222224</v>
      </c>
      <c r="AN153" t="str">
        <f t="shared" si="126"/>
        <v>Capped</v>
      </c>
      <c r="AO153" t="s">
        <v>1146</v>
      </c>
      <c r="AP153" t="str">
        <f t="shared" si="128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7"/>
        <v>DDm100-33</v>
      </c>
    </row>
    <row r="154" spans="1:53">
      <c r="A154" s="35" t="s">
        <v>170</v>
      </c>
      <c r="B154" t="s">
        <v>1222</v>
      </c>
      <c r="C154" t="s">
        <v>1395</v>
      </c>
      <c r="D154" t="s">
        <v>1138</v>
      </c>
      <c r="E154" t="s">
        <v>914</v>
      </c>
      <c r="F154" t="s">
        <v>1140</v>
      </c>
      <c r="G154">
        <v>36.6</v>
      </c>
      <c r="H154">
        <v>48</v>
      </c>
      <c r="I154">
        <v>366</v>
      </c>
      <c r="J154">
        <v>19.946999999999999</v>
      </c>
      <c r="K154" s="64">
        <v>45415</v>
      </c>
      <c r="L154">
        <v>75.000720000000001</v>
      </c>
      <c r="M154">
        <v>55.053719999999998</v>
      </c>
      <c r="N154">
        <v>50.1509</v>
      </c>
      <c r="O154">
        <v>30.203900000000001</v>
      </c>
      <c r="P154" t="s">
        <v>1155</v>
      </c>
      <c r="Q154" t="s">
        <v>1150</v>
      </c>
      <c r="R154" t="s">
        <v>1161</v>
      </c>
      <c r="S154">
        <v>71.107200000000205</v>
      </c>
      <c r="T154">
        <v>51.160200000000202</v>
      </c>
      <c r="U154" t="s">
        <v>1141</v>
      </c>
      <c r="V154" t="s">
        <v>1220</v>
      </c>
      <c r="W154">
        <v>90</v>
      </c>
      <c r="X154">
        <v>70.052999999999997</v>
      </c>
      <c r="Y154">
        <v>55</v>
      </c>
      <c r="AA154">
        <f>VLOOKUP(A154,Cover!A:R,18,0)</f>
        <v>2</v>
      </c>
      <c r="AB154" s="77">
        <f t="shared" si="129"/>
        <v>53.053719999999998</v>
      </c>
      <c r="AC154" s="77">
        <f t="shared" si="130"/>
        <v>28.203900000000001</v>
      </c>
      <c r="AD154" s="77">
        <f t="shared" si="131"/>
        <v>70.737614252236511</v>
      </c>
      <c r="AE154" s="77">
        <f t="shared" si="132"/>
        <v>56.238073494194524</v>
      </c>
      <c r="AF154" s="77">
        <f t="shared" si="133"/>
        <v>49.160200000000202</v>
      </c>
      <c r="AG154" s="77">
        <f t="shared" si="134"/>
        <v>69.135333693353218</v>
      </c>
      <c r="AH154" s="368">
        <f>AVERAGE(W154:W155)</f>
        <v>90</v>
      </c>
      <c r="AI154" s="368">
        <f>SUM(J154:J155)</f>
        <v>40.384500000000003</v>
      </c>
      <c r="AJ154" s="368">
        <f t="shared" si="137"/>
        <v>49.615499999999997</v>
      </c>
      <c r="AK154" s="368">
        <f>SUM(AA154:AA155)</f>
        <v>21.1</v>
      </c>
      <c r="AL154" s="368">
        <f t="shared" si="139"/>
        <v>28.515499999999996</v>
      </c>
      <c r="AM154" s="369">
        <f t="shared" si="140"/>
        <v>31.683888888888884</v>
      </c>
      <c r="AN154" t="str">
        <f t="shared" si="126"/>
        <v/>
      </c>
      <c r="AO154" t="s">
        <v>1146</v>
      </c>
      <c r="AP154" t="str">
        <f t="shared" si="128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7"/>
        <v>DDm125-33</v>
      </c>
    </row>
    <row r="155" spans="1:53">
      <c r="A155" s="35" t="s">
        <v>171</v>
      </c>
      <c r="B155" t="s">
        <v>1222</v>
      </c>
      <c r="C155" t="s">
        <v>1395</v>
      </c>
      <c r="D155" t="s">
        <v>1138</v>
      </c>
      <c r="E155" t="s">
        <v>914</v>
      </c>
      <c r="F155" t="s">
        <v>1140</v>
      </c>
      <c r="G155">
        <v>36.6</v>
      </c>
      <c r="H155">
        <v>42</v>
      </c>
      <c r="I155">
        <v>375</v>
      </c>
      <c r="J155">
        <v>20.4375</v>
      </c>
      <c r="K155" s="64">
        <v>45415</v>
      </c>
      <c r="L155">
        <v>65.426159999999996</v>
      </c>
      <c r="M155">
        <v>44.988660000000003</v>
      </c>
      <c r="N155">
        <v>38.182699999999997</v>
      </c>
      <c r="O155">
        <v>17.745200000000001</v>
      </c>
      <c r="P155" t="s">
        <v>1155</v>
      </c>
      <c r="Q155" t="s">
        <v>1150</v>
      </c>
      <c r="R155" t="s">
        <v>1161</v>
      </c>
      <c r="S155">
        <v>71.107200000000205</v>
      </c>
      <c r="T155">
        <v>50.669700000000198</v>
      </c>
      <c r="U155" t="s">
        <v>1141</v>
      </c>
      <c r="V155" t="s">
        <v>1220</v>
      </c>
      <c r="W155">
        <v>90</v>
      </c>
      <c r="X155">
        <v>69.5625</v>
      </c>
      <c r="Y155">
        <v>55</v>
      </c>
      <c r="AA155">
        <f>VLOOKUP(A155,Cover!A:R,18,0)</f>
        <v>19.100000000000001</v>
      </c>
      <c r="AB155" s="77">
        <f t="shared" si="129"/>
        <v>25.888660000000002</v>
      </c>
      <c r="AC155" s="77">
        <f t="shared" si="130"/>
        <v>-1.3548000000000009</v>
      </c>
      <c r="AD155" s="77">
        <f t="shared" si="131"/>
        <v>39.569279321910379</v>
      </c>
      <c r="AE155" s="77">
        <f t="shared" si="132"/>
        <v>-3.5482037676748921</v>
      </c>
      <c r="AF155" s="77">
        <f t="shared" si="133"/>
        <v>31.569700000000196</v>
      </c>
      <c r="AG155" s="77">
        <f t="shared" si="134"/>
        <v>44.397332478286458</v>
      </c>
      <c r="AH155" s="368"/>
      <c r="AI155" s="368"/>
      <c r="AJ155" s="368"/>
      <c r="AK155" s="368"/>
      <c r="AL155" s="368"/>
      <c r="AM155" s="369"/>
      <c r="AN155" t="str">
        <f t="shared" si="126"/>
        <v/>
      </c>
      <c r="AO155" t="s">
        <v>1146</v>
      </c>
      <c r="AP155" t="str">
        <f t="shared" si="128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7"/>
        <v>DDm125-33</v>
      </c>
    </row>
    <row r="156" spans="1:53">
      <c r="A156" s="35" t="s">
        <v>172</v>
      </c>
      <c r="B156" t="s">
        <v>1222</v>
      </c>
      <c r="C156" t="s">
        <v>1395</v>
      </c>
      <c r="D156" t="s">
        <v>1138</v>
      </c>
      <c r="E156" t="s">
        <v>914</v>
      </c>
      <c r="F156" t="s">
        <v>1140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1144</v>
      </c>
      <c r="Q156" t="s">
        <v>1396</v>
      </c>
      <c r="R156" t="s">
        <v>1397</v>
      </c>
      <c r="S156">
        <v>18.446400000000001</v>
      </c>
      <c r="T156">
        <v>18.446400000000001</v>
      </c>
      <c r="U156" t="s">
        <v>1141</v>
      </c>
      <c r="V156" t="s">
        <v>1220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6"/>
        <v/>
      </c>
      <c r="AO156" t="s">
        <v>1146</v>
      </c>
      <c r="AP156" t="str">
        <f t="shared" si="128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7"/>
        <v>VH34</v>
      </c>
    </row>
    <row r="157" spans="1:53">
      <c r="A157" s="35" t="s">
        <v>173</v>
      </c>
      <c r="B157" t="s">
        <v>1222</v>
      </c>
      <c r="C157" t="s">
        <v>1395</v>
      </c>
      <c r="D157" t="s">
        <v>1133</v>
      </c>
      <c r="E157" t="s">
        <v>908</v>
      </c>
      <c r="F157" t="s">
        <v>1140</v>
      </c>
      <c r="G157">
        <v>36.6</v>
      </c>
      <c r="H157">
        <v>64</v>
      </c>
      <c r="I157">
        <v>916</v>
      </c>
      <c r="J157">
        <v>49.921999999999997</v>
      </c>
      <c r="K157" s="64">
        <v>45415</v>
      </c>
      <c r="L157">
        <v>100.53288000000001</v>
      </c>
      <c r="M157">
        <v>50.610880000000002</v>
      </c>
      <c r="N157">
        <v>92.966099999999997</v>
      </c>
      <c r="O157">
        <v>43.0441</v>
      </c>
      <c r="P157" t="s">
        <v>1141</v>
      </c>
      <c r="Q157" t="s">
        <v>1150</v>
      </c>
      <c r="R157" t="s">
        <v>1161</v>
      </c>
      <c r="S157">
        <v>53.330399999999997</v>
      </c>
      <c r="T157">
        <v>3.4083999999999901</v>
      </c>
      <c r="U157" t="s">
        <v>1186</v>
      </c>
      <c r="V157" t="s">
        <v>1179</v>
      </c>
      <c r="W157">
        <v>112.5</v>
      </c>
      <c r="X157">
        <v>62.578000000000003</v>
      </c>
      <c r="Y157">
        <v>39</v>
      </c>
      <c r="Z157" t="s">
        <v>1398</v>
      </c>
      <c r="AA157">
        <f>VLOOKUP(A157,Cover!A:R,18,0)</f>
        <v>4</v>
      </c>
      <c r="AB157" s="77">
        <f t="shared" si="129"/>
        <v>46.610880000000002</v>
      </c>
      <c r="AC157" s="77">
        <f t="shared" si="130"/>
        <v>39.0441</v>
      </c>
      <c r="AD157" s="77">
        <f t="shared" si="131"/>
        <v>46.36381649466324</v>
      </c>
      <c r="AE157" s="77">
        <f t="shared" si="132"/>
        <v>41.99821225156267</v>
      </c>
      <c r="AF157" s="77">
        <f t="shared" si="133"/>
        <v>-0.5916000000000099</v>
      </c>
      <c r="AG157" s="77">
        <f t="shared" si="134"/>
        <v>-1.1093110121056844</v>
      </c>
      <c r="AH157" s="368">
        <f>AVERAGE(W157:W158)</f>
        <v>112.5</v>
      </c>
      <c r="AI157" s="368">
        <f>SUM(J157:J158)</f>
        <v>87.908500000000004</v>
      </c>
      <c r="AJ157" s="368">
        <f t="shared" si="137"/>
        <v>24.591499999999996</v>
      </c>
      <c r="AK157" s="368">
        <f>SUM(AA157:AA158)</f>
        <v>4</v>
      </c>
      <c r="AL157" s="368">
        <f t="shared" si="139"/>
        <v>20.591499999999996</v>
      </c>
      <c r="AM157" s="369">
        <f t="shared" si="140"/>
        <v>18.303555555555551</v>
      </c>
      <c r="AN157" t="str">
        <f t="shared" si="126"/>
        <v>Capped</v>
      </c>
      <c r="AO157" t="s">
        <v>1201</v>
      </c>
      <c r="AP157" t="str">
        <f t="shared" si="128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7"/>
        <v>DDm125-33</v>
      </c>
    </row>
    <row r="158" spans="1:53">
      <c r="A158" s="35" t="s">
        <v>174</v>
      </c>
      <c r="B158" t="s">
        <v>1222</v>
      </c>
      <c r="C158" t="s">
        <v>1395</v>
      </c>
      <c r="D158" t="s">
        <v>1133</v>
      </c>
      <c r="E158" t="s">
        <v>908</v>
      </c>
      <c r="F158" t="s">
        <v>1140</v>
      </c>
      <c r="G158">
        <v>36.6</v>
      </c>
      <c r="H158">
        <v>64</v>
      </c>
      <c r="I158">
        <v>697</v>
      </c>
      <c r="J158">
        <v>37.986499999999999</v>
      </c>
      <c r="K158" s="64">
        <v>45415</v>
      </c>
      <c r="L158">
        <v>100.53288000000001</v>
      </c>
      <c r="M158">
        <v>62.546379999999999</v>
      </c>
      <c r="N158">
        <v>92.966099999999997</v>
      </c>
      <c r="O158">
        <v>54.979599999999998</v>
      </c>
      <c r="P158" t="s">
        <v>1141</v>
      </c>
      <c r="Q158" t="s">
        <v>1150</v>
      </c>
      <c r="R158" t="s">
        <v>1161</v>
      </c>
      <c r="S158">
        <v>53.330399999999997</v>
      </c>
      <c r="T158">
        <v>15.3439</v>
      </c>
      <c r="U158" t="s">
        <v>1186</v>
      </c>
      <c r="V158" t="s">
        <v>1179</v>
      </c>
      <c r="W158">
        <v>112.5</v>
      </c>
      <c r="X158">
        <v>74.513499999999993</v>
      </c>
      <c r="Y158">
        <v>39</v>
      </c>
      <c r="Z158" t="s">
        <v>1398</v>
      </c>
      <c r="AA158">
        <f>VLOOKUP(A158,Cover!A:R,18,0)</f>
        <v>0</v>
      </c>
      <c r="AB158" s="77">
        <f t="shared" si="129"/>
        <v>62.546379999999999</v>
      </c>
      <c r="AC158" s="77">
        <f t="shared" si="130"/>
        <v>54.979599999999998</v>
      </c>
      <c r="AD158" s="77">
        <f t="shared" si="131"/>
        <v>62.214849509931476</v>
      </c>
      <c r="AE158" s="77">
        <f t="shared" si="132"/>
        <v>59.139406729980067</v>
      </c>
      <c r="AF158" s="77">
        <f t="shared" si="133"/>
        <v>15.3439</v>
      </c>
      <c r="AG158" s="77">
        <f t="shared" si="134"/>
        <v>28.771394926720969</v>
      </c>
      <c r="AH158" s="368"/>
      <c r="AI158" s="368"/>
      <c r="AJ158" s="368"/>
      <c r="AK158" s="368"/>
      <c r="AL158" s="368"/>
      <c r="AM158" s="369"/>
      <c r="AN158" t="str">
        <f t="shared" si="126"/>
        <v>Capped</v>
      </c>
      <c r="AO158" t="s">
        <v>1201</v>
      </c>
      <c r="AP158" t="str">
        <f t="shared" si="128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7"/>
        <v>DDm125-33</v>
      </c>
    </row>
    <row r="159" spans="1:53">
      <c r="A159" s="35" t="s">
        <v>175</v>
      </c>
      <c r="B159" t="s">
        <v>1222</v>
      </c>
      <c r="C159" t="s">
        <v>1395</v>
      </c>
      <c r="D159" t="s">
        <v>1199</v>
      </c>
      <c r="E159" t="s">
        <v>909</v>
      </c>
      <c r="F159" t="s">
        <v>1193</v>
      </c>
      <c r="G159">
        <v>55</v>
      </c>
      <c r="H159">
        <v>84</v>
      </c>
      <c r="I159">
        <v>1790</v>
      </c>
      <c r="J159">
        <v>97.555000000000007</v>
      </c>
      <c r="K159" s="64">
        <v>45415</v>
      </c>
      <c r="L159">
        <v>199.03399999999999</v>
      </c>
      <c r="M159">
        <v>101.479</v>
      </c>
      <c r="N159">
        <v>161.5925</v>
      </c>
      <c r="O159">
        <v>64.037499999999994</v>
      </c>
      <c r="P159" t="s">
        <v>1243</v>
      </c>
      <c r="Q159" t="s">
        <v>1150</v>
      </c>
      <c r="R159" t="s">
        <v>1161</v>
      </c>
      <c r="S159">
        <v>142.21440000000001</v>
      </c>
      <c r="T159">
        <v>44.659399999999899</v>
      </c>
      <c r="U159" t="s">
        <v>1160</v>
      </c>
      <c r="V159" t="s">
        <v>1399</v>
      </c>
      <c r="W159">
        <v>375</v>
      </c>
      <c r="X159">
        <v>277.44499999999999</v>
      </c>
      <c r="Y159">
        <v>94</v>
      </c>
      <c r="Z159" t="s">
        <v>1095</v>
      </c>
      <c r="AA159">
        <f>VLOOKUP(A159,Cover!A:R,18,0)</f>
        <v>18.625000000000004</v>
      </c>
      <c r="AB159" s="77">
        <f t="shared" si="129"/>
        <v>82.853999999999999</v>
      </c>
      <c r="AC159" s="77">
        <f t="shared" si="130"/>
        <v>45.412499999999994</v>
      </c>
      <c r="AD159" s="77">
        <f t="shared" si="131"/>
        <v>41.628063546931678</v>
      </c>
      <c r="AE159" s="77">
        <f t="shared" si="132"/>
        <v>28.10309884431517</v>
      </c>
      <c r="AF159" s="77">
        <f t="shared" si="133"/>
        <v>26.034399999999895</v>
      </c>
      <c r="AG159" s="77">
        <f t="shared" si="134"/>
        <v>18.306444354439421</v>
      </c>
      <c r="AH159" s="368">
        <f>AVERAGE(W159:W160)</f>
        <v>375</v>
      </c>
      <c r="AI159" s="368">
        <f>SUM(J159:J160)</f>
        <v>198.87049999999999</v>
      </c>
      <c r="AJ159" s="368">
        <f t="shared" si="137"/>
        <v>176.12950000000001</v>
      </c>
      <c r="AK159" s="368">
        <f>SUM(AA159:AA160)</f>
        <v>36.850000000000009</v>
      </c>
      <c r="AL159" s="368">
        <f t="shared" si="139"/>
        <v>139.27949999999998</v>
      </c>
      <c r="AM159" s="369">
        <f t="shared" si="140"/>
        <v>37.141199999999998</v>
      </c>
      <c r="AN159" t="str">
        <f t="shared" si="126"/>
        <v>Capped</v>
      </c>
      <c r="AO159" t="s">
        <v>1201</v>
      </c>
      <c r="AP159" t="str">
        <f t="shared" si="128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7"/>
        <v>DDm125-33</v>
      </c>
    </row>
    <row r="160" spans="1:53">
      <c r="A160" s="35" t="s">
        <v>176</v>
      </c>
      <c r="B160" t="s">
        <v>1222</v>
      </c>
      <c r="C160" t="s">
        <v>1395</v>
      </c>
      <c r="D160" t="s">
        <v>1199</v>
      </c>
      <c r="E160" t="s">
        <v>909</v>
      </c>
      <c r="F160" t="s">
        <v>1193</v>
      </c>
      <c r="G160">
        <v>55</v>
      </c>
      <c r="H160">
        <v>84</v>
      </c>
      <c r="I160">
        <v>1859</v>
      </c>
      <c r="J160">
        <v>101.3155</v>
      </c>
      <c r="K160" s="64">
        <v>45415</v>
      </c>
      <c r="L160">
        <v>199.03399999999999</v>
      </c>
      <c r="M160">
        <v>97.718500000000006</v>
      </c>
      <c r="N160">
        <v>161.5925</v>
      </c>
      <c r="O160">
        <v>60.277000000000001</v>
      </c>
      <c r="P160" t="s">
        <v>1243</v>
      </c>
      <c r="Q160" t="s">
        <v>1150</v>
      </c>
      <c r="R160" t="s">
        <v>1161</v>
      </c>
      <c r="S160">
        <v>142.21440000000001</v>
      </c>
      <c r="T160">
        <v>40.898899999999898</v>
      </c>
      <c r="U160" t="s">
        <v>1160</v>
      </c>
      <c r="V160" t="s">
        <v>1399</v>
      </c>
      <c r="W160">
        <v>375</v>
      </c>
      <c r="X160">
        <v>273.68450000000001</v>
      </c>
      <c r="Y160">
        <v>94</v>
      </c>
      <c r="Z160" t="s">
        <v>1095</v>
      </c>
      <c r="AA160">
        <f>VLOOKUP(A160,Cover!A:R,18,0)</f>
        <v>18.225000000000001</v>
      </c>
      <c r="AB160" s="77">
        <f t="shared" si="129"/>
        <v>79.493500000000012</v>
      </c>
      <c r="AC160" s="77">
        <f t="shared" si="130"/>
        <v>42.052</v>
      </c>
      <c r="AD160" s="77">
        <f t="shared" si="131"/>
        <v>39.939658550800374</v>
      </c>
      <c r="AE160" s="77">
        <f t="shared" si="132"/>
        <v>26.023485000850904</v>
      </c>
      <c r="AF160" s="77">
        <f t="shared" si="133"/>
        <v>22.673899999999897</v>
      </c>
      <c r="AG160" s="77">
        <f t="shared" si="134"/>
        <v>15.943462827955464</v>
      </c>
      <c r="AH160" s="368"/>
      <c r="AI160" s="368"/>
      <c r="AJ160" s="368"/>
      <c r="AK160" s="368"/>
      <c r="AL160" s="368"/>
      <c r="AM160" s="369"/>
      <c r="AN160" t="str">
        <f t="shared" si="126"/>
        <v>Capped</v>
      </c>
      <c r="AO160" t="s">
        <v>1201</v>
      </c>
      <c r="AP160" t="str">
        <f t="shared" si="128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7"/>
        <v>DDm125-33</v>
      </c>
    </row>
    <row r="161" spans="1:53">
      <c r="A161" s="35" t="s">
        <v>177</v>
      </c>
      <c r="B161" t="s">
        <v>1202</v>
      </c>
      <c r="C161" t="s">
        <v>1400</v>
      </c>
      <c r="D161" t="s">
        <v>1138</v>
      </c>
      <c r="E161" t="s">
        <v>883</v>
      </c>
      <c r="F161" t="s">
        <v>1401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1144</v>
      </c>
      <c r="Q161" t="s">
        <v>1150</v>
      </c>
      <c r="R161" t="s">
        <v>1178</v>
      </c>
      <c r="S161">
        <v>10.1088</v>
      </c>
      <c r="T161">
        <v>2.6422999999999801</v>
      </c>
      <c r="U161" t="s">
        <v>1144</v>
      </c>
      <c r="V161" t="s">
        <v>1152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29"/>
        <v>20.0015</v>
      </c>
      <c r="AC161" s="77">
        <f t="shared" si="130"/>
        <v>20.382999999999999</v>
      </c>
      <c r="AD161" s="77">
        <f t="shared" si="131"/>
        <v>72.817460317460316</v>
      </c>
      <c r="AE161" s="77">
        <f t="shared" si="132"/>
        <v>73.189823874755376</v>
      </c>
      <c r="AF161" s="77">
        <f t="shared" si="133"/>
        <v>2.6422999999999801</v>
      </c>
      <c r="AG161" s="77">
        <f t="shared" si="134"/>
        <v>26.138611902500593</v>
      </c>
      <c r="AH161" s="77">
        <f t="shared" si="135"/>
        <v>22.5</v>
      </c>
      <c r="AI161" s="77">
        <f t="shared" si="136"/>
        <v>7.4664999999999999</v>
      </c>
      <c r="AJ161" s="77">
        <f t="shared" si="137"/>
        <v>15.0335</v>
      </c>
      <c r="AK161" s="77">
        <f t="shared" si="138"/>
        <v>0</v>
      </c>
      <c r="AL161" s="77">
        <f t="shared" si="139"/>
        <v>15.0335</v>
      </c>
      <c r="AM161" s="77">
        <f t="shared" si="140"/>
        <v>66.815555555555548</v>
      </c>
      <c r="AN161" t="str">
        <f t="shared" si="126"/>
        <v/>
      </c>
      <c r="AO161" t="s">
        <v>1146</v>
      </c>
      <c r="AP161" t="str">
        <f t="shared" si="128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7"/>
        <v>2DDm85-15</v>
      </c>
    </row>
    <row r="162" spans="1:53">
      <c r="A162" s="35" t="s">
        <v>178</v>
      </c>
      <c r="B162" t="s">
        <v>1171</v>
      </c>
      <c r="C162" t="s">
        <v>1402</v>
      </c>
      <c r="D162" t="s">
        <v>1138</v>
      </c>
      <c r="E162" t="s">
        <v>960</v>
      </c>
      <c r="F162" t="s">
        <v>1140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1144</v>
      </c>
      <c r="Q162" t="s">
        <v>1150</v>
      </c>
      <c r="R162" t="s">
        <v>1161</v>
      </c>
      <c r="S162">
        <v>35.553600000000003</v>
      </c>
      <c r="T162">
        <v>23.5091</v>
      </c>
      <c r="U162" t="s">
        <v>1155</v>
      </c>
      <c r="V162" t="s">
        <v>1156</v>
      </c>
      <c r="W162">
        <v>33.75</v>
      </c>
      <c r="X162">
        <v>21.705500000000001</v>
      </c>
      <c r="Y162">
        <v>17</v>
      </c>
      <c r="AA162">
        <f>VLOOKUP(A162,Cover!A:R,18,0)</f>
        <v>0.3</v>
      </c>
      <c r="AB162" s="77">
        <f t="shared" si="129"/>
        <v>22.762219999999999</v>
      </c>
      <c r="AC162" s="77">
        <f t="shared" si="130"/>
        <v>9.7388999999999992</v>
      </c>
      <c r="AD162" s="77">
        <f t="shared" si="131"/>
        <v>64.837216350601821</v>
      </c>
      <c r="AE162" s="77">
        <f t="shared" si="132"/>
        <v>44.100546111558906</v>
      </c>
      <c r="AF162" s="77">
        <f t="shared" si="133"/>
        <v>23.209099999999999</v>
      </c>
      <c r="AG162" s="77">
        <f t="shared" si="134"/>
        <v>65.279184105125779</v>
      </c>
      <c r="AH162" s="77">
        <f t="shared" si="135"/>
        <v>33.75</v>
      </c>
      <c r="AI162" s="77">
        <f t="shared" si="136"/>
        <v>12.044499999999999</v>
      </c>
      <c r="AJ162" s="77">
        <f t="shared" si="137"/>
        <v>21.705500000000001</v>
      </c>
      <c r="AK162" s="77">
        <f t="shared" si="138"/>
        <v>0.3</v>
      </c>
      <c r="AL162" s="77">
        <f t="shared" si="139"/>
        <v>21.4055</v>
      </c>
      <c r="AM162" s="77">
        <f t="shared" si="140"/>
        <v>63.423703703703701</v>
      </c>
      <c r="AN162" t="str">
        <f t="shared" si="126"/>
        <v/>
      </c>
      <c r="AO162" t="s">
        <v>1146</v>
      </c>
      <c r="AP162" t="str">
        <f t="shared" si="128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7"/>
        <v>DDm125-33</v>
      </c>
    </row>
    <row r="163" spans="1:53">
      <c r="A163" s="35" t="s">
        <v>179</v>
      </c>
      <c r="B163" t="s">
        <v>1147</v>
      </c>
      <c r="C163" t="s">
        <v>1403</v>
      </c>
      <c r="D163" t="s">
        <v>1133</v>
      </c>
      <c r="E163" t="s">
        <v>1404</v>
      </c>
      <c r="F163" t="s">
        <v>1323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1155</v>
      </c>
      <c r="Q163" t="s">
        <v>1168</v>
      </c>
      <c r="R163" t="s">
        <v>1169</v>
      </c>
      <c r="S163">
        <v>3.456</v>
      </c>
      <c r="T163">
        <v>1.5485</v>
      </c>
      <c r="U163" t="s">
        <v>1224</v>
      </c>
      <c r="V163" t="s">
        <v>1243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29"/>
        <v>-1.0024999999999999</v>
      </c>
      <c r="AC163" s="77">
        <f t="shared" si="130"/>
        <v>5.7499999999999218E-3</v>
      </c>
      <c r="AD163" s="77">
        <f t="shared" si="131"/>
        <v>-20.438328236493373</v>
      </c>
      <c r="AE163" s="77">
        <f t="shared" si="132"/>
        <v>9.7239250834987898E-2</v>
      </c>
      <c r="AF163" s="77">
        <f t="shared" si="133"/>
        <v>-2.4515000000000002</v>
      </c>
      <c r="AG163" s="77">
        <f t="shared" si="134"/>
        <v>-70.934606481481481</v>
      </c>
      <c r="AH163" s="77">
        <f t="shared" si="135"/>
        <v>6</v>
      </c>
      <c r="AI163" s="77">
        <f t="shared" si="136"/>
        <v>1.9075</v>
      </c>
      <c r="AJ163" s="77">
        <f t="shared" si="137"/>
        <v>4.0925000000000002</v>
      </c>
      <c r="AK163" s="77">
        <f t="shared" si="138"/>
        <v>4</v>
      </c>
      <c r="AL163" s="77">
        <f t="shared" si="139"/>
        <v>9.2500000000000249E-2</v>
      </c>
      <c r="AM163" s="77">
        <f t="shared" si="140"/>
        <v>1.541666666666671</v>
      </c>
      <c r="AN163" t="str">
        <f t="shared" si="126"/>
        <v>Capped</v>
      </c>
      <c r="AO163" t="s">
        <v>1146</v>
      </c>
      <c r="AP163" t="str">
        <f t="shared" si="128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7"/>
        <v>SBS C11F</v>
      </c>
    </row>
    <row r="164" spans="1:53">
      <c r="A164" s="35" t="s">
        <v>180</v>
      </c>
      <c r="B164" t="s">
        <v>1197</v>
      </c>
      <c r="C164" t="s">
        <v>1405</v>
      </c>
      <c r="D164" t="s">
        <v>1138</v>
      </c>
      <c r="E164" t="s">
        <v>924</v>
      </c>
      <c r="F164" t="s">
        <v>1140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1144</v>
      </c>
      <c r="Q164" t="s">
        <v>1150</v>
      </c>
      <c r="R164" t="s">
        <v>1161</v>
      </c>
      <c r="S164">
        <v>35.553600000000003</v>
      </c>
      <c r="T164">
        <v>10.374599999999999</v>
      </c>
      <c r="U164" t="s">
        <v>1190</v>
      </c>
      <c r="V164" t="s">
        <v>1211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29"/>
        <v>18.502279999999999</v>
      </c>
      <c r="AC164" s="77">
        <f t="shared" si="130"/>
        <v>7.8726000000000003</v>
      </c>
      <c r="AD164" s="77">
        <f t="shared" si="131"/>
        <v>41.409467231019342</v>
      </c>
      <c r="AE164" s="77">
        <f t="shared" si="132"/>
        <v>23.119618461393888</v>
      </c>
      <c r="AF164" s="77">
        <f t="shared" si="133"/>
        <v>9.3745999999999992</v>
      </c>
      <c r="AG164" s="77">
        <f t="shared" si="134"/>
        <v>26.367512713199222</v>
      </c>
      <c r="AH164" s="77">
        <f t="shared" si="135"/>
        <v>54</v>
      </c>
      <c r="AI164" s="77">
        <f t="shared" si="136"/>
        <v>25.178999999999998</v>
      </c>
      <c r="AJ164" s="77">
        <f t="shared" si="137"/>
        <v>28.821000000000002</v>
      </c>
      <c r="AK164" s="77">
        <f t="shared" si="138"/>
        <v>1</v>
      </c>
      <c r="AL164" s="77">
        <f t="shared" si="139"/>
        <v>27.821000000000002</v>
      </c>
      <c r="AM164" s="77">
        <f t="shared" si="140"/>
        <v>51.520370370370372</v>
      </c>
      <c r="AN164" t="str">
        <f t="shared" si="126"/>
        <v/>
      </c>
      <c r="AO164" t="s">
        <v>1146</v>
      </c>
      <c r="AP164" t="str">
        <f t="shared" si="128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7"/>
        <v>DDm125-33</v>
      </c>
    </row>
    <row r="165" spans="1:53">
      <c r="A165" s="35" t="s">
        <v>181</v>
      </c>
      <c r="B165" t="s">
        <v>1176</v>
      </c>
      <c r="C165" t="s">
        <v>1406</v>
      </c>
      <c r="D165" t="s">
        <v>1133</v>
      </c>
      <c r="E165" t="s">
        <v>1021</v>
      </c>
      <c r="F165" t="s">
        <v>1193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1141</v>
      </c>
      <c r="Q165" t="s">
        <v>1150</v>
      </c>
      <c r="R165" t="s">
        <v>1407</v>
      </c>
      <c r="S165">
        <v>27.086400000000001</v>
      </c>
      <c r="T165">
        <v>11.7719</v>
      </c>
      <c r="U165" t="s">
        <v>1141</v>
      </c>
      <c r="V165" t="s">
        <v>1251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29"/>
        <v>12.961499999999999</v>
      </c>
      <c r="AC165" s="77">
        <f t="shared" si="130"/>
        <v>3.6420000000000003</v>
      </c>
      <c r="AD165" s="77">
        <f t="shared" si="131"/>
        <v>45.042743953294405</v>
      </c>
      <c r="AE165" s="77">
        <f t="shared" si="132"/>
        <v>18.718680132603502</v>
      </c>
      <c r="AF165" s="77">
        <f t="shared" si="133"/>
        <v>11.2719</v>
      </c>
      <c r="AG165" s="77">
        <f t="shared" si="134"/>
        <v>41.614611022505763</v>
      </c>
      <c r="AH165" s="77">
        <f t="shared" si="135"/>
        <v>33</v>
      </c>
      <c r="AI165" s="77">
        <f t="shared" si="136"/>
        <v>15.314500000000001</v>
      </c>
      <c r="AJ165" s="77">
        <f t="shared" si="137"/>
        <v>17.685499999999998</v>
      </c>
      <c r="AK165" s="77">
        <f t="shared" si="138"/>
        <v>0.5</v>
      </c>
      <c r="AL165" s="77">
        <f t="shared" si="139"/>
        <v>17.185499999999998</v>
      </c>
      <c r="AM165" s="77">
        <f t="shared" si="140"/>
        <v>52.077272727272721</v>
      </c>
      <c r="AN165" t="str">
        <f t="shared" si="126"/>
        <v>Capped</v>
      </c>
      <c r="AO165" t="s">
        <v>1146</v>
      </c>
      <c r="AP165" t="str">
        <f t="shared" si="128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7"/>
        <v xml:space="preserve">2CP1000 </v>
      </c>
    </row>
    <row r="166" spans="1:53">
      <c r="A166" s="35" t="s">
        <v>182</v>
      </c>
      <c r="B166" t="s">
        <v>1188</v>
      </c>
      <c r="C166" t="s">
        <v>1214</v>
      </c>
      <c r="D166" t="s">
        <v>1138</v>
      </c>
      <c r="E166" t="s">
        <v>850</v>
      </c>
      <c r="F166" t="s">
        <v>1140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1243</v>
      </c>
      <c r="Q166" t="s">
        <v>1168</v>
      </c>
      <c r="R166" t="s">
        <v>1287</v>
      </c>
      <c r="S166">
        <v>7.1712000000000096</v>
      </c>
      <c r="T166">
        <v>4.2827000000000099</v>
      </c>
      <c r="U166" t="s">
        <v>1144</v>
      </c>
      <c r="V166" t="s">
        <v>1240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29"/>
        <v>8.2818199999999997</v>
      </c>
      <c r="AC166" s="77">
        <f t="shared" si="130"/>
        <v>7.2812000000000001</v>
      </c>
      <c r="AD166" s="77">
        <f t="shared" si="131"/>
        <v>74.141295862607336</v>
      </c>
      <c r="AE166" s="77">
        <f t="shared" si="132"/>
        <v>71.59699892818864</v>
      </c>
      <c r="AF166" s="77">
        <f t="shared" si="133"/>
        <v>4.2827000000000099</v>
      </c>
      <c r="AG166" s="77">
        <f t="shared" si="134"/>
        <v>59.720827755466367</v>
      </c>
      <c r="AH166" s="77">
        <f t="shared" si="135"/>
        <v>11.25</v>
      </c>
      <c r="AI166" s="77">
        <f t="shared" si="136"/>
        <v>2.8885000000000001</v>
      </c>
      <c r="AJ166" s="77">
        <f t="shared" si="137"/>
        <v>8.3614999999999995</v>
      </c>
      <c r="AK166" s="77">
        <f t="shared" si="138"/>
        <v>0</v>
      </c>
      <c r="AL166" s="77">
        <f t="shared" si="139"/>
        <v>8.3614999999999995</v>
      </c>
      <c r="AM166" s="77">
        <f t="shared" si="140"/>
        <v>74.324444444444438</v>
      </c>
      <c r="AN166" t="str">
        <f t="shared" si="126"/>
        <v/>
      </c>
      <c r="AO166" t="s">
        <v>1146</v>
      </c>
      <c r="AP166" t="str">
        <f t="shared" si="128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7"/>
        <v>12V105F</v>
      </c>
    </row>
    <row r="167" spans="1:53">
      <c r="A167" s="35" t="s">
        <v>183</v>
      </c>
      <c r="B167" t="s">
        <v>1188</v>
      </c>
      <c r="C167" t="s">
        <v>1408</v>
      </c>
      <c r="D167" t="s">
        <v>1138</v>
      </c>
      <c r="E167" t="s">
        <v>859</v>
      </c>
      <c r="F167" t="s">
        <v>1140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1141</v>
      </c>
      <c r="Q167" t="s">
        <v>1150</v>
      </c>
      <c r="R167" t="s">
        <v>1409</v>
      </c>
      <c r="S167">
        <v>37.908000000000001</v>
      </c>
      <c r="T167">
        <v>6.3525000000000098</v>
      </c>
      <c r="U167" t="s">
        <v>1243</v>
      </c>
      <c r="V167" t="s">
        <v>1410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29"/>
        <v>15.317299999999999</v>
      </c>
      <c r="AC167" s="77">
        <f t="shared" si="130"/>
        <v>4.2320000000000002</v>
      </c>
      <c r="AD167" s="77">
        <f t="shared" si="131"/>
        <v>31.995830617803847</v>
      </c>
      <c r="AE167" s="77">
        <f t="shared" si="132"/>
        <v>11.503907577302073</v>
      </c>
      <c r="AF167" s="77">
        <f t="shared" si="133"/>
        <v>5.3525000000000098</v>
      </c>
      <c r="AG167" s="77">
        <f t="shared" si="134"/>
        <v>14.119710878970164</v>
      </c>
      <c r="AH167" s="77">
        <f t="shared" si="135"/>
        <v>99.75</v>
      </c>
      <c r="AI167" s="77">
        <f t="shared" si="136"/>
        <v>31.555499999999999</v>
      </c>
      <c r="AJ167" s="77">
        <f t="shared" si="137"/>
        <v>68.194500000000005</v>
      </c>
      <c r="AK167" s="77">
        <f t="shared" si="138"/>
        <v>1</v>
      </c>
      <c r="AL167" s="77">
        <f t="shared" si="139"/>
        <v>67.194500000000005</v>
      </c>
      <c r="AM167" s="77">
        <f t="shared" si="140"/>
        <v>67.362907268170432</v>
      </c>
      <c r="AN167" t="str">
        <f t="shared" si="126"/>
        <v/>
      </c>
      <c r="AO167" t="s">
        <v>1146</v>
      </c>
      <c r="AP167" t="str">
        <f t="shared" si="128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7"/>
        <v>2CP1400</v>
      </c>
    </row>
    <row r="168" spans="1:53">
      <c r="A168" s="35" t="s">
        <v>184</v>
      </c>
      <c r="B168" t="s">
        <v>1188</v>
      </c>
      <c r="C168" t="s">
        <v>1408</v>
      </c>
      <c r="D168" t="s">
        <v>1138</v>
      </c>
      <c r="E168" t="s">
        <v>861</v>
      </c>
      <c r="F168" t="s">
        <v>1205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1141</v>
      </c>
      <c r="Q168" t="s">
        <v>1150</v>
      </c>
      <c r="R168" t="s">
        <v>1178</v>
      </c>
      <c r="S168">
        <v>15.1632</v>
      </c>
      <c r="T168">
        <v>6.2742499999999897</v>
      </c>
      <c r="U168" t="s">
        <v>1141</v>
      </c>
      <c r="V168" t="s">
        <v>1158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29"/>
        <v>12.911049999999999</v>
      </c>
      <c r="AC168" s="77">
        <f t="shared" si="130"/>
        <v>8.6327999999999996</v>
      </c>
      <c r="AD168" s="77">
        <f t="shared" si="131"/>
        <v>59.224999999999994</v>
      </c>
      <c r="AE168" s="77">
        <f t="shared" si="132"/>
        <v>49.269051321928458</v>
      </c>
      <c r="AF168" s="77">
        <f t="shared" si="133"/>
        <v>6.2742499999999897</v>
      </c>
      <c r="AG168" s="77">
        <f t="shared" si="134"/>
        <v>41.378139179065037</v>
      </c>
      <c r="AH168" s="77">
        <f t="shared" si="135"/>
        <v>45</v>
      </c>
      <c r="AI168" s="77">
        <f t="shared" si="136"/>
        <v>8.8889499999999995</v>
      </c>
      <c r="AJ168" s="77">
        <f t="shared" si="137"/>
        <v>36.111049999999999</v>
      </c>
      <c r="AK168" s="77">
        <f t="shared" si="138"/>
        <v>0</v>
      </c>
      <c r="AL168" s="77">
        <f t="shared" si="139"/>
        <v>36.111049999999999</v>
      </c>
      <c r="AM168" s="77">
        <f t="shared" si="140"/>
        <v>80.24677777777778</v>
      </c>
      <c r="AN168" t="str">
        <f t="shared" si="126"/>
        <v/>
      </c>
      <c r="AO168" t="s">
        <v>1146</v>
      </c>
      <c r="AP168" t="str">
        <f t="shared" si="128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7"/>
        <v>2DDm85-15</v>
      </c>
    </row>
    <row r="169" spans="1:53">
      <c r="A169" s="35" t="s">
        <v>185</v>
      </c>
      <c r="B169" t="s">
        <v>1136</v>
      </c>
      <c r="C169" t="s">
        <v>1411</v>
      </c>
      <c r="D169" t="s">
        <v>1181</v>
      </c>
      <c r="E169" t="s">
        <v>796</v>
      </c>
      <c r="F169" t="s">
        <v>1140</v>
      </c>
      <c r="G169">
        <v>36.6</v>
      </c>
      <c r="H169">
        <v>7</v>
      </c>
      <c r="I169">
        <v>99</v>
      </c>
      <c r="J169">
        <v>5.3955000000000002</v>
      </c>
      <c r="K169" s="64">
        <v>45415</v>
      </c>
      <c r="L169">
        <v>9.57456</v>
      </c>
      <c r="M169">
        <v>4.1790599999999998</v>
      </c>
      <c r="N169">
        <v>5.4282000000000004</v>
      </c>
      <c r="O169">
        <v>3.27000000000005E-2</v>
      </c>
      <c r="P169" t="s">
        <v>1229</v>
      </c>
      <c r="Q169" t="s">
        <v>1150</v>
      </c>
      <c r="R169" t="s">
        <v>1373</v>
      </c>
      <c r="S169">
        <v>18.429120000000001</v>
      </c>
      <c r="T169">
        <v>13.033620000000001</v>
      </c>
      <c r="U169" t="s">
        <v>1144</v>
      </c>
      <c r="V169" t="s">
        <v>1240</v>
      </c>
      <c r="W169">
        <v>11.25</v>
      </c>
      <c r="X169">
        <v>5.8544999999999998</v>
      </c>
      <c r="Y169">
        <v>8</v>
      </c>
      <c r="AA169">
        <f>VLOOKUP(A169,Cover!A:R,18,0)</f>
        <v>2.4</v>
      </c>
      <c r="AB169" s="77">
        <f t="shared" si="129"/>
        <v>1.7790599999999999</v>
      </c>
      <c r="AC169" s="77">
        <f t="shared" si="130"/>
        <v>-2.3672999999999993</v>
      </c>
      <c r="AD169" s="77">
        <f t="shared" si="131"/>
        <v>18.581114954629768</v>
      </c>
      <c r="AE169" s="77">
        <f t="shared" si="132"/>
        <v>-43.611141814966274</v>
      </c>
      <c r="AF169" s="77">
        <f t="shared" si="133"/>
        <v>10.633620000000001</v>
      </c>
      <c r="AG169" s="77">
        <f t="shared" si="134"/>
        <v>57.700096369224354</v>
      </c>
      <c r="AH169" s="77">
        <f t="shared" si="135"/>
        <v>11.25</v>
      </c>
      <c r="AI169" s="77">
        <f t="shared" si="136"/>
        <v>5.3955000000000002</v>
      </c>
      <c r="AJ169" s="77">
        <f t="shared" si="137"/>
        <v>5.8544999999999998</v>
      </c>
      <c r="AK169" s="77">
        <f t="shared" si="138"/>
        <v>2.4</v>
      </c>
      <c r="AL169" s="77">
        <f t="shared" si="139"/>
        <v>3.4544999999999999</v>
      </c>
      <c r="AM169" s="77">
        <f t="shared" si="140"/>
        <v>30.706666666666663</v>
      </c>
      <c r="AN169" t="str">
        <f t="shared" si="126"/>
        <v/>
      </c>
      <c r="AO169" t="s">
        <v>1146</v>
      </c>
      <c r="AP169" t="str">
        <f t="shared" si="128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7"/>
        <v xml:space="preserve">12V101F </v>
      </c>
    </row>
    <row r="170" spans="1:53">
      <c r="A170" s="35" t="s">
        <v>186</v>
      </c>
      <c r="B170" t="s">
        <v>1136</v>
      </c>
      <c r="C170" t="s">
        <v>1411</v>
      </c>
      <c r="D170" t="s">
        <v>1138</v>
      </c>
      <c r="E170" t="s">
        <v>797</v>
      </c>
      <c r="F170" t="s">
        <v>1140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1141</v>
      </c>
      <c r="Q170" t="s">
        <v>1150</v>
      </c>
      <c r="R170" t="s">
        <v>1355</v>
      </c>
      <c r="S170">
        <v>28.187999999999999</v>
      </c>
      <c r="T170">
        <v>15.871</v>
      </c>
      <c r="U170" t="s">
        <v>1155</v>
      </c>
      <c r="V170" t="s">
        <v>1152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29"/>
        <v>13.810919999999999</v>
      </c>
      <c r="AC170" s="77">
        <f t="shared" si="130"/>
        <v>2.5261499999999999</v>
      </c>
      <c r="AD170" s="77">
        <f t="shared" si="131"/>
        <v>50.910353613546484</v>
      </c>
      <c r="AE170" s="77">
        <f t="shared" si="132"/>
        <v>15.944745836528719</v>
      </c>
      <c r="AF170" s="77">
        <f t="shared" si="133"/>
        <v>14.871</v>
      </c>
      <c r="AG170" s="77">
        <f t="shared" si="134"/>
        <v>52.756492124308224</v>
      </c>
      <c r="AH170" s="77">
        <f t="shared" si="135"/>
        <v>22.5</v>
      </c>
      <c r="AI170" s="77">
        <f t="shared" si="136"/>
        <v>12.317</v>
      </c>
      <c r="AJ170" s="77">
        <f t="shared" si="137"/>
        <v>10.183</v>
      </c>
      <c r="AK170" s="77">
        <f t="shared" si="138"/>
        <v>1</v>
      </c>
      <c r="AL170" s="77">
        <f t="shared" si="139"/>
        <v>9.1829999999999998</v>
      </c>
      <c r="AM170" s="77">
        <f t="shared" si="140"/>
        <v>40.813333333333333</v>
      </c>
      <c r="AN170" t="str">
        <f t="shared" si="126"/>
        <v/>
      </c>
      <c r="AO170" t="s">
        <v>1146</v>
      </c>
      <c r="AP170" t="str">
        <f t="shared" si="128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7"/>
        <v>DDm85-27</v>
      </c>
    </row>
    <row r="171" spans="1:53">
      <c r="A171" s="35" t="s">
        <v>187</v>
      </c>
      <c r="B171" t="s">
        <v>1222</v>
      </c>
      <c r="C171" t="s">
        <v>1412</v>
      </c>
      <c r="D171" t="s">
        <v>1181</v>
      </c>
      <c r="E171" t="s">
        <v>884</v>
      </c>
      <c r="F171" t="s">
        <v>1140</v>
      </c>
      <c r="G171">
        <v>36.6</v>
      </c>
      <c r="H171">
        <v>11</v>
      </c>
      <c r="I171">
        <v>101</v>
      </c>
      <c r="J171">
        <v>5.5045000000000002</v>
      </c>
      <c r="K171" s="64">
        <v>45415</v>
      </c>
      <c r="L171">
        <v>15.957599999999999</v>
      </c>
      <c r="M171">
        <v>10.453099999999999</v>
      </c>
      <c r="N171">
        <v>11.663</v>
      </c>
      <c r="O171">
        <v>6.1585000000000001</v>
      </c>
      <c r="P171" t="s">
        <v>1243</v>
      </c>
      <c r="Q171" t="s">
        <v>1168</v>
      </c>
      <c r="R171" t="s">
        <v>1320</v>
      </c>
      <c r="S171">
        <v>14.91264</v>
      </c>
      <c r="T171">
        <v>9.4081400000000208</v>
      </c>
      <c r="U171" t="s">
        <v>1141</v>
      </c>
      <c r="V171" t="s">
        <v>1288</v>
      </c>
      <c r="W171">
        <v>10.5</v>
      </c>
      <c r="X171">
        <v>4.9954999999999998</v>
      </c>
      <c r="Y171">
        <v>6</v>
      </c>
      <c r="AA171">
        <f>VLOOKUP(A171,Cover!A:R,18,0)</f>
        <v>1.7</v>
      </c>
      <c r="AB171" s="77">
        <f t="shared" si="129"/>
        <v>8.7530999999999999</v>
      </c>
      <c r="AC171" s="77">
        <f t="shared" si="130"/>
        <v>4.4584999999999999</v>
      </c>
      <c r="AD171" s="77">
        <f t="shared" si="131"/>
        <v>54.85223341855918</v>
      </c>
      <c r="AE171" s="77">
        <f t="shared" si="132"/>
        <v>38.227728714738916</v>
      </c>
      <c r="AF171" s="77">
        <f t="shared" si="133"/>
        <v>7.7081400000000206</v>
      </c>
      <c r="AG171" s="77">
        <f t="shared" si="134"/>
        <v>51.688634607956878</v>
      </c>
      <c r="AH171" s="77">
        <f t="shared" si="135"/>
        <v>10.5</v>
      </c>
      <c r="AI171" s="77">
        <f t="shared" si="136"/>
        <v>5.5045000000000002</v>
      </c>
      <c r="AJ171" s="77">
        <f t="shared" si="137"/>
        <v>4.9954999999999998</v>
      </c>
      <c r="AK171" s="77">
        <f t="shared" si="138"/>
        <v>1.7</v>
      </c>
      <c r="AL171" s="77">
        <f t="shared" si="139"/>
        <v>3.2954999999999997</v>
      </c>
      <c r="AM171" s="77">
        <f t="shared" si="140"/>
        <v>31.385714285714283</v>
      </c>
      <c r="AN171" t="str">
        <f t="shared" si="126"/>
        <v/>
      </c>
      <c r="AO171" t="s">
        <v>1146</v>
      </c>
      <c r="AP171" t="str">
        <f t="shared" si="128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7"/>
        <v>12V190F</v>
      </c>
    </row>
    <row r="172" spans="1:53">
      <c r="A172" s="35" t="s">
        <v>188</v>
      </c>
      <c r="B172" t="s">
        <v>1202</v>
      </c>
      <c r="C172" t="s">
        <v>1413</v>
      </c>
      <c r="D172" t="s">
        <v>1181</v>
      </c>
      <c r="E172" t="s">
        <v>885</v>
      </c>
      <c r="F172" t="s">
        <v>1140</v>
      </c>
      <c r="G172">
        <v>36.6</v>
      </c>
      <c r="H172">
        <v>32</v>
      </c>
      <c r="I172">
        <v>376</v>
      </c>
      <c r="J172">
        <v>20.492000000000001</v>
      </c>
      <c r="K172" s="64">
        <v>45415</v>
      </c>
      <c r="L172">
        <v>49.468559999999997</v>
      </c>
      <c r="M172">
        <v>28.976559999999999</v>
      </c>
      <c r="N172">
        <v>35.675699999999999</v>
      </c>
      <c r="O172">
        <v>15.1837</v>
      </c>
      <c r="P172" t="s">
        <v>1155</v>
      </c>
      <c r="Q172" t="s">
        <v>1150</v>
      </c>
      <c r="R172" t="s">
        <v>1154</v>
      </c>
      <c r="S172">
        <v>42.249600000000001</v>
      </c>
      <c r="T172">
        <v>21.7576</v>
      </c>
      <c r="U172" t="s">
        <v>1141</v>
      </c>
      <c r="V172" t="s">
        <v>1158</v>
      </c>
      <c r="W172">
        <v>45</v>
      </c>
      <c r="X172">
        <v>24.507999999999999</v>
      </c>
      <c r="Y172">
        <v>40</v>
      </c>
      <c r="AA172">
        <f>VLOOKUP(A172,Cover!A:R,18,0)</f>
        <v>10.1</v>
      </c>
      <c r="AB172" s="77">
        <f t="shared" si="129"/>
        <v>18.876559999999998</v>
      </c>
      <c r="AC172" s="77">
        <f t="shared" si="130"/>
        <v>5.0837000000000003</v>
      </c>
      <c r="AD172" s="77">
        <f t="shared" si="131"/>
        <v>38.158701203350169</v>
      </c>
      <c r="AE172" s="77">
        <f t="shared" si="132"/>
        <v>14.24975543577281</v>
      </c>
      <c r="AF172" s="77">
        <f t="shared" si="133"/>
        <v>11.6576</v>
      </c>
      <c r="AG172" s="77">
        <f t="shared" si="134"/>
        <v>27.5922138907824</v>
      </c>
      <c r="AH172" s="368">
        <f>AVERAGE(W172:W173)</f>
        <v>45</v>
      </c>
      <c r="AI172" s="368">
        <f>SUM(J172:J173)</f>
        <v>35.316000000000003</v>
      </c>
      <c r="AJ172" s="368">
        <f t="shared" si="137"/>
        <v>9.6839999999999975</v>
      </c>
      <c r="AK172" s="368">
        <f>SUM(AA172:AA173)</f>
        <v>21.3</v>
      </c>
      <c r="AL172" s="368">
        <f t="shared" si="139"/>
        <v>-11.616000000000003</v>
      </c>
      <c r="AM172" s="369">
        <f t="shared" si="140"/>
        <v>-25.81333333333334</v>
      </c>
      <c r="AN172" t="str">
        <f t="shared" si="126"/>
        <v/>
      </c>
      <c r="AO172" t="s">
        <v>1146</v>
      </c>
      <c r="AP172" t="str">
        <f t="shared" si="128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7"/>
        <v>DDm100-25</v>
      </c>
    </row>
    <row r="173" spans="1:53">
      <c r="A173" s="35" t="s">
        <v>189</v>
      </c>
      <c r="B173" t="s">
        <v>1202</v>
      </c>
      <c r="C173" t="s">
        <v>1413</v>
      </c>
      <c r="D173" t="s">
        <v>1181</v>
      </c>
      <c r="E173" t="s">
        <v>885</v>
      </c>
      <c r="F173" t="s">
        <v>1140</v>
      </c>
      <c r="G173">
        <v>36.6</v>
      </c>
      <c r="H173">
        <v>24</v>
      </c>
      <c r="I173">
        <v>272</v>
      </c>
      <c r="J173">
        <v>14.824</v>
      </c>
      <c r="K173" s="64">
        <v>45415</v>
      </c>
      <c r="L173">
        <v>36.702480000000001</v>
      </c>
      <c r="M173">
        <v>21.87848</v>
      </c>
      <c r="N173">
        <v>17.5381</v>
      </c>
      <c r="O173">
        <v>2.7141000000000002</v>
      </c>
      <c r="P173" t="s">
        <v>1155</v>
      </c>
      <c r="Q173" t="s">
        <v>1150</v>
      </c>
      <c r="R173" t="s">
        <v>1157</v>
      </c>
      <c r="S173">
        <v>45.705599999999997</v>
      </c>
      <c r="T173">
        <v>30.881599999999999</v>
      </c>
      <c r="U173" t="s">
        <v>1141</v>
      </c>
      <c r="V173" t="s">
        <v>1158</v>
      </c>
      <c r="W173">
        <v>45</v>
      </c>
      <c r="X173">
        <v>30.175999999999998</v>
      </c>
      <c r="Y173">
        <v>40</v>
      </c>
      <c r="AA173">
        <f>VLOOKUP(A173,Cover!A:R,18,0)</f>
        <v>11.200000000000001</v>
      </c>
      <c r="AB173" s="77">
        <f t="shared" ref="AB173" si="141">M173-AA173</f>
        <v>10.678479999999999</v>
      </c>
      <c r="AC173" s="77">
        <f t="shared" ref="AC173" si="142">O173-AA173</f>
        <v>-8.4859000000000009</v>
      </c>
      <c r="AD173" s="77">
        <f t="shared" ref="AD173" si="143">AB173/L173%</f>
        <v>29.094709676294347</v>
      </c>
      <c r="AE173" s="77">
        <f t="shared" ref="AE173" si="144">AC173/N173%</f>
        <v>-48.385514964562866</v>
      </c>
      <c r="AF173" s="77">
        <f t="shared" ref="AF173" si="145">T173-AA173</f>
        <v>19.681599999999996</v>
      </c>
      <c r="AG173" s="77">
        <f t="shared" ref="AG173" si="146">AF173/S173%</f>
        <v>43.061681719526703</v>
      </c>
      <c r="AH173" s="368"/>
      <c r="AI173" s="368"/>
      <c r="AJ173" s="368"/>
      <c r="AK173" s="368"/>
      <c r="AL173" s="368"/>
      <c r="AM173" s="369"/>
      <c r="AN173" t="str">
        <f t="shared" si="126"/>
        <v/>
      </c>
      <c r="AO173" t="s">
        <v>1146</v>
      </c>
      <c r="AP173" t="str">
        <f t="shared" ref="AP173" si="147">TRIM(BA173)</f>
        <v>DDm100-27</v>
      </c>
      <c r="BA173" t="str">
        <f t="shared" si="127"/>
        <v>DDm100-27</v>
      </c>
    </row>
    <row r="174" spans="1:53">
      <c r="A174" s="35" t="s">
        <v>190</v>
      </c>
      <c r="B174" t="s">
        <v>1202</v>
      </c>
      <c r="C174" t="s">
        <v>1414</v>
      </c>
      <c r="D174" t="s">
        <v>1138</v>
      </c>
      <c r="E174" t="s">
        <v>1415</v>
      </c>
      <c r="F174" t="s">
        <v>1416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1144</v>
      </c>
      <c r="Q174" t="s">
        <v>1150</v>
      </c>
      <c r="R174" t="s">
        <v>1178</v>
      </c>
      <c r="S174">
        <v>10.1088</v>
      </c>
      <c r="T174">
        <v>2.9147999999999801</v>
      </c>
      <c r="U174" t="s">
        <v>1144</v>
      </c>
      <c r="V174" t="s">
        <v>1152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29"/>
        <v>11.240080000000001</v>
      </c>
      <c r="AC174" s="77">
        <f t="shared" si="130"/>
        <v>9.3630999999999993</v>
      </c>
      <c r="AD174" s="77">
        <f t="shared" si="131"/>
        <v>60.974456007568584</v>
      </c>
      <c r="AE174" s="77">
        <f t="shared" si="132"/>
        <v>56.550362080315992</v>
      </c>
      <c r="AF174" s="77">
        <f t="shared" si="133"/>
        <v>2.9147999999999801</v>
      </c>
      <c r="AG174" s="77">
        <f t="shared" si="134"/>
        <v>28.834283000949469</v>
      </c>
      <c r="AH174" s="77">
        <f t="shared" si="135"/>
        <v>22.5</v>
      </c>
      <c r="AI174" s="77">
        <f t="shared" si="136"/>
        <v>7.194</v>
      </c>
      <c r="AJ174" s="77">
        <f t="shared" si="137"/>
        <v>15.306000000000001</v>
      </c>
      <c r="AK174" s="77">
        <f t="shared" si="138"/>
        <v>0</v>
      </c>
      <c r="AL174" s="77">
        <f t="shared" si="139"/>
        <v>15.306000000000001</v>
      </c>
      <c r="AM174" s="77">
        <f t="shared" si="140"/>
        <v>68.026666666666671</v>
      </c>
      <c r="AN174" t="str">
        <f t="shared" si="126"/>
        <v/>
      </c>
      <c r="AO174" t="s">
        <v>1146</v>
      </c>
      <c r="AP174" t="str">
        <f t="shared" si="128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7"/>
        <v>2DDm85-15</v>
      </c>
    </row>
    <row r="175" spans="1:53">
      <c r="A175" s="35" t="s">
        <v>191</v>
      </c>
      <c r="B175" t="s">
        <v>1273</v>
      </c>
      <c r="C175" t="s">
        <v>1417</v>
      </c>
      <c r="D175" t="s">
        <v>1133</v>
      </c>
      <c r="E175" t="s">
        <v>1418</v>
      </c>
      <c r="F175" t="s">
        <v>1193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1155</v>
      </c>
      <c r="Q175" t="s">
        <v>1142</v>
      </c>
      <c r="R175" t="s">
        <v>1419</v>
      </c>
      <c r="S175">
        <v>11.664</v>
      </c>
      <c r="T175">
        <v>3.2709999999999901</v>
      </c>
      <c r="U175" t="s">
        <v>1155</v>
      </c>
      <c r="V175" t="s">
        <v>1152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29"/>
        <v>3.597</v>
      </c>
      <c r="AC175" s="77">
        <f t="shared" si="130"/>
        <v>0.94393956400000101</v>
      </c>
      <c r="AD175" s="77">
        <f t="shared" si="131"/>
        <v>29.999999999999996</v>
      </c>
      <c r="AE175" s="77">
        <f t="shared" si="132"/>
        <v>10.109731968701015</v>
      </c>
      <c r="AF175" s="77">
        <f t="shared" si="133"/>
        <v>3.2709999999999901</v>
      </c>
      <c r="AG175" s="77">
        <f t="shared" si="134"/>
        <v>28.043552812071248</v>
      </c>
      <c r="AH175" s="77">
        <f t="shared" si="135"/>
        <v>22.5</v>
      </c>
      <c r="AI175" s="77">
        <f t="shared" si="136"/>
        <v>8.3930000000000007</v>
      </c>
      <c r="AJ175" s="77">
        <f t="shared" si="137"/>
        <v>14.106999999999999</v>
      </c>
      <c r="AK175" s="77">
        <f t="shared" si="138"/>
        <v>0</v>
      </c>
      <c r="AL175" s="77">
        <f t="shared" si="139"/>
        <v>14.106999999999999</v>
      </c>
      <c r="AM175" s="77">
        <f t="shared" si="140"/>
        <v>62.697777777777773</v>
      </c>
      <c r="AN175" t="str">
        <f t="shared" si="126"/>
        <v>Capped</v>
      </c>
      <c r="AO175" t="s">
        <v>1146</v>
      </c>
      <c r="AP175" t="str">
        <f t="shared" si="128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7"/>
        <v>EN320</v>
      </c>
    </row>
    <row r="176" spans="1:53">
      <c r="A176" s="35" t="s">
        <v>192</v>
      </c>
      <c r="B176" t="s">
        <v>1273</v>
      </c>
      <c r="C176" t="s">
        <v>1420</v>
      </c>
      <c r="D176" t="s">
        <v>1138</v>
      </c>
      <c r="E176" t="s">
        <v>1030</v>
      </c>
      <c r="F176" t="s">
        <v>1149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1144</v>
      </c>
      <c r="Q176" t="s">
        <v>1150</v>
      </c>
      <c r="R176" t="s">
        <v>1355</v>
      </c>
      <c r="S176">
        <v>18.792000000000002</v>
      </c>
      <c r="T176">
        <v>9.2544999999999806</v>
      </c>
      <c r="U176" t="s">
        <v>1141</v>
      </c>
      <c r="V176" t="s">
        <v>1158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29"/>
        <v>14.622499999999999</v>
      </c>
      <c r="AC176" s="77">
        <f t="shared" si="130"/>
        <v>9.1180000000000003</v>
      </c>
      <c r="AD176" s="77">
        <f t="shared" si="131"/>
        <v>55.89640672782874</v>
      </c>
      <c r="AE176" s="77">
        <f t="shared" si="132"/>
        <v>44.143206409915038</v>
      </c>
      <c r="AF176" s="77">
        <f t="shared" si="133"/>
        <v>7.2544999999999806</v>
      </c>
      <c r="AG176" s="77">
        <f t="shared" si="134"/>
        <v>38.604193273733401</v>
      </c>
      <c r="AH176" s="368">
        <f>AVERAGE(W176:W177)</f>
        <v>45</v>
      </c>
      <c r="AI176" s="368">
        <f>SUM(J176:J177)</f>
        <v>19.3475</v>
      </c>
      <c r="AJ176" s="368">
        <f t="shared" si="137"/>
        <v>25.6525</v>
      </c>
      <c r="AK176" s="368">
        <f>SUM(AA176:AA177)</f>
        <v>2</v>
      </c>
      <c r="AL176" s="368">
        <f t="shared" si="139"/>
        <v>23.6525</v>
      </c>
      <c r="AM176" s="369">
        <f t="shared" si="140"/>
        <v>52.56111111111111</v>
      </c>
      <c r="AN176" t="str">
        <f t="shared" si="126"/>
        <v/>
      </c>
      <c r="AO176" t="s">
        <v>1146</v>
      </c>
      <c r="AP176" t="str">
        <f t="shared" si="128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7"/>
        <v>DDm85-27</v>
      </c>
    </row>
    <row r="177" spans="1:53">
      <c r="A177" s="35" t="s">
        <v>193</v>
      </c>
      <c r="B177" t="s">
        <v>1273</v>
      </c>
      <c r="C177" t="s">
        <v>1420</v>
      </c>
      <c r="D177" t="s">
        <v>1138</v>
      </c>
      <c r="E177" t="s">
        <v>1030</v>
      </c>
      <c r="F177" t="s">
        <v>1149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1144</v>
      </c>
      <c r="Q177" t="s">
        <v>1150</v>
      </c>
      <c r="R177" t="s">
        <v>1355</v>
      </c>
      <c r="S177">
        <v>18.792000000000002</v>
      </c>
      <c r="T177">
        <v>8.9819999999999798</v>
      </c>
      <c r="U177" t="s">
        <v>1141</v>
      </c>
      <c r="V177" t="s">
        <v>1158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29"/>
        <v>9.81</v>
      </c>
      <c r="AC177" s="77">
        <f t="shared" si="130"/>
        <v>2.6705000000000001</v>
      </c>
      <c r="AD177" s="77">
        <f t="shared" si="131"/>
        <v>50</v>
      </c>
      <c r="AE177" s="77">
        <f t="shared" si="132"/>
        <v>21.397379912663755</v>
      </c>
      <c r="AF177" s="77">
        <f t="shared" si="133"/>
        <v>8.9819999999999798</v>
      </c>
      <c r="AG177" s="77">
        <f t="shared" si="134"/>
        <v>47.796934865900276</v>
      </c>
      <c r="AH177" s="368"/>
      <c r="AI177" s="368"/>
      <c r="AJ177" s="368"/>
      <c r="AK177" s="368"/>
      <c r="AL177" s="368"/>
      <c r="AM177" s="369"/>
      <c r="AN177" t="str">
        <f t="shared" si="126"/>
        <v/>
      </c>
      <c r="AO177" t="s">
        <v>1146</v>
      </c>
      <c r="AP177" t="str">
        <f t="shared" si="128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7"/>
        <v>DDm85-27</v>
      </c>
    </row>
    <row r="178" spans="1:53">
      <c r="A178" s="35" t="s">
        <v>194</v>
      </c>
      <c r="B178" t="s">
        <v>1184</v>
      </c>
      <c r="C178" t="s">
        <v>1421</v>
      </c>
      <c r="D178" t="s">
        <v>1181</v>
      </c>
      <c r="E178" t="s">
        <v>987</v>
      </c>
      <c r="F178" t="s">
        <v>1140</v>
      </c>
      <c r="G178">
        <v>36.6</v>
      </c>
      <c r="H178">
        <v>22</v>
      </c>
      <c r="I178">
        <v>90</v>
      </c>
      <c r="J178">
        <v>4.9050000000000002</v>
      </c>
      <c r="K178" s="64">
        <v>45415</v>
      </c>
      <c r="L178">
        <v>33.510959999999997</v>
      </c>
      <c r="M178">
        <v>28.60596</v>
      </c>
      <c r="N178">
        <v>27.064699999999998</v>
      </c>
      <c r="O178">
        <v>22.159700000000001</v>
      </c>
      <c r="P178" t="s">
        <v>1144</v>
      </c>
      <c r="Q178" t="s">
        <v>1150</v>
      </c>
      <c r="R178" t="s">
        <v>1262</v>
      </c>
      <c r="S178">
        <v>22.982399999999998</v>
      </c>
      <c r="T178">
        <v>18.077400000000001</v>
      </c>
      <c r="U178" t="s">
        <v>1141</v>
      </c>
      <c r="V178" t="s">
        <v>1422</v>
      </c>
      <c r="W178">
        <v>39</v>
      </c>
      <c r="X178">
        <v>34.094999999999999</v>
      </c>
      <c r="Y178">
        <v>7</v>
      </c>
      <c r="AA178">
        <f>VLOOKUP(A178,Cover!A:R,18,0)</f>
        <v>7</v>
      </c>
      <c r="AB178" s="77">
        <f t="shared" si="129"/>
        <v>21.60596</v>
      </c>
      <c r="AC178" s="77">
        <f t="shared" si="130"/>
        <v>15.159700000000001</v>
      </c>
      <c r="AD178" s="77">
        <f t="shared" si="131"/>
        <v>64.474309300598975</v>
      </c>
      <c r="AE178" s="77">
        <f t="shared" si="132"/>
        <v>56.012813738929317</v>
      </c>
      <c r="AF178" s="77">
        <f t="shared" si="133"/>
        <v>11.077400000000001</v>
      </c>
      <c r="AG178" s="77">
        <f t="shared" si="134"/>
        <v>48.199491785018111</v>
      </c>
      <c r="AH178" s="368">
        <f>AVERAGE(W178:W179)</f>
        <v>39</v>
      </c>
      <c r="AI178" s="368">
        <f>SUM(J178:J179)</f>
        <v>6.54</v>
      </c>
      <c r="AJ178" s="368">
        <f t="shared" si="137"/>
        <v>32.46</v>
      </c>
      <c r="AK178" s="368">
        <f>SUM(AA178:AA179)</f>
        <v>14.4</v>
      </c>
      <c r="AL178" s="368">
        <f t="shared" si="139"/>
        <v>18.060000000000002</v>
      </c>
      <c r="AM178" s="369">
        <f t="shared" si="140"/>
        <v>46.307692307692314</v>
      </c>
      <c r="AN178" t="str">
        <f t="shared" si="126"/>
        <v/>
      </c>
      <c r="AO178" s="52" t="s">
        <v>1201</v>
      </c>
      <c r="AP178" t="str">
        <f t="shared" si="128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7"/>
        <v>DDm85-33</v>
      </c>
    </row>
    <row r="179" spans="1:53">
      <c r="A179" s="35" t="s">
        <v>195</v>
      </c>
      <c r="B179" t="s">
        <v>1184</v>
      </c>
      <c r="C179" t="s">
        <v>1421</v>
      </c>
      <c r="D179" t="s">
        <v>1181</v>
      </c>
      <c r="E179" t="s">
        <v>987</v>
      </c>
      <c r="F179" t="s">
        <v>1140</v>
      </c>
      <c r="G179">
        <v>36.6</v>
      </c>
      <c r="H179">
        <v>22</v>
      </c>
      <c r="I179">
        <v>30</v>
      </c>
      <c r="J179">
        <v>1.635</v>
      </c>
      <c r="K179" s="64">
        <v>45415</v>
      </c>
      <c r="L179">
        <v>33.510959999999997</v>
      </c>
      <c r="M179">
        <v>31.875959999999999</v>
      </c>
      <c r="N179">
        <v>27.064699999999998</v>
      </c>
      <c r="O179">
        <v>25.4297</v>
      </c>
      <c r="P179" t="s">
        <v>1144</v>
      </c>
      <c r="Q179" t="s">
        <v>1150</v>
      </c>
      <c r="R179" t="s">
        <v>1262</v>
      </c>
      <c r="S179">
        <v>22.982399999999998</v>
      </c>
      <c r="T179">
        <v>21.3474</v>
      </c>
      <c r="U179" t="s">
        <v>1141</v>
      </c>
      <c r="V179" t="s">
        <v>1422</v>
      </c>
      <c r="W179">
        <v>39</v>
      </c>
      <c r="X179">
        <v>37.365000000000002</v>
      </c>
      <c r="Y179">
        <v>7</v>
      </c>
      <c r="AA179">
        <f>VLOOKUP(A179,Cover!A:R,18,0)</f>
        <v>7.4</v>
      </c>
      <c r="AB179" s="77">
        <f t="shared" ref="AB179" si="148">M179-AA179</f>
        <v>24.475960000000001</v>
      </c>
      <c r="AC179" s="77">
        <f t="shared" ref="AC179" si="149">O179-AA179</f>
        <v>18.029699999999998</v>
      </c>
      <c r="AD179" s="77">
        <f t="shared" ref="AD179" si="150">AB179/L179%</f>
        <v>73.038671527166045</v>
      </c>
      <c r="AE179" s="77">
        <f t="shared" ref="AE179" si="151">AC179/N179%</f>
        <v>66.617032518372639</v>
      </c>
      <c r="AF179" s="77">
        <f t="shared" ref="AF179" si="152">T179-AA179</f>
        <v>13.9474</v>
      </c>
      <c r="AG179" s="77">
        <f t="shared" ref="AG179" si="153">AF179/S179%</f>
        <v>60.687308549150664</v>
      </c>
      <c r="AH179" s="368"/>
      <c r="AI179" s="368"/>
      <c r="AJ179" s="368"/>
      <c r="AK179" s="368"/>
      <c r="AL179" s="368"/>
      <c r="AM179" s="369"/>
      <c r="AN179" t="str">
        <f t="shared" si="126"/>
        <v/>
      </c>
      <c r="AO179" s="52" t="s">
        <v>1201</v>
      </c>
      <c r="AP179" t="str">
        <f t="shared" si="128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7"/>
        <v>DDm85-33</v>
      </c>
    </row>
    <row r="180" spans="1:53">
      <c r="A180" s="35" t="s">
        <v>196</v>
      </c>
      <c r="B180" t="s">
        <v>1184</v>
      </c>
      <c r="C180" t="s">
        <v>1423</v>
      </c>
      <c r="D180" t="s">
        <v>1138</v>
      </c>
      <c r="E180" t="s">
        <v>992</v>
      </c>
      <c r="F180" t="s">
        <v>1149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1144</v>
      </c>
      <c r="Q180" t="s">
        <v>1150</v>
      </c>
      <c r="R180" t="s">
        <v>1210</v>
      </c>
      <c r="S180">
        <v>28.123200000000001</v>
      </c>
      <c r="T180">
        <v>19.9482</v>
      </c>
      <c r="U180" t="s">
        <v>1162</v>
      </c>
      <c r="V180" t="s">
        <v>1179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29"/>
        <v>12.715</v>
      </c>
      <c r="AC180" s="77">
        <f t="shared" si="130"/>
        <v>0.99750000000000005</v>
      </c>
      <c r="AD180" s="77">
        <f t="shared" si="131"/>
        <v>55.548274355613806</v>
      </c>
      <c r="AE180" s="77">
        <f t="shared" si="132"/>
        <v>8.9281718505258461</v>
      </c>
      <c r="AF180" s="77">
        <f t="shared" si="133"/>
        <v>17.9482</v>
      </c>
      <c r="AG180" s="77">
        <f t="shared" si="134"/>
        <v>63.819906696250783</v>
      </c>
      <c r="AH180" s="368">
        <f>AVERAGE(W180:W183)</f>
        <v>116.25</v>
      </c>
      <c r="AI180" s="368">
        <f>SUM(J180:J183)</f>
        <v>28.340000000000003</v>
      </c>
      <c r="AJ180" s="368">
        <f t="shared" si="137"/>
        <v>87.91</v>
      </c>
      <c r="AK180" s="368">
        <f>SUM(AA180:AA183)</f>
        <v>4</v>
      </c>
      <c r="AL180" s="368">
        <f t="shared" si="139"/>
        <v>83.91</v>
      </c>
      <c r="AM180" s="369">
        <f t="shared" si="140"/>
        <v>72.180645161290315</v>
      </c>
      <c r="AN180" t="str">
        <f t="shared" si="126"/>
        <v/>
      </c>
      <c r="AO180" t="s">
        <v>1201</v>
      </c>
      <c r="AP180" t="str">
        <f t="shared" si="128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7"/>
        <v>DDm100-33</v>
      </c>
    </row>
    <row r="181" spans="1:53">
      <c r="A181" s="35" t="s">
        <v>197</v>
      </c>
      <c r="B181" t="s">
        <v>1184</v>
      </c>
      <c r="C181" t="s">
        <v>1423</v>
      </c>
      <c r="D181" t="s">
        <v>1138</v>
      </c>
      <c r="E181" t="s">
        <v>992</v>
      </c>
      <c r="F181" t="s">
        <v>1149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1144</v>
      </c>
      <c r="Q181" t="s">
        <v>1150</v>
      </c>
      <c r="R181" t="s">
        <v>1161</v>
      </c>
      <c r="S181">
        <v>35.553600000000003</v>
      </c>
      <c r="T181">
        <v>34.4636</v>
      </c>
      <c r="U181" t="s">
        <v>1162</v>
      </c>
      <c r="V181" t="s">
        <v>1179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29"/>
        <v>29.61</v>
      </c>
      <c r="AC181" s="77">
        <f t="shared" si="130"/>
        <v>15.984999999999999</v>
      </c>
      <c r="AD181" s="77">
        <f t="shared" si="131"/>
        <v>90.550458715596321</v>
      </c>
      <c r="AE181" s="77">
        <f t="shared" si="132"/>
        <v>83.800786369593709</v>
      </c>
      <c r="AF181" s="77">
        <f t="shared" si="133"/>
        <v>32.4636</v>
      </c>
      <c r="AG181" s="77">
        <f t="shared" si="134"/>
        <v>91.308896989334414</v>
      </c>
      <c r="AH181" s="368"/>
      <c r="AI181" s="368"/>
      <c r="AJ181" s="368"/>
      <c r="AK181" s="368"/>
      <c r="AL181" s="368"/>
      <c r="AM181" s="369"/>
      <c r="AN181" t="str">
        <f t="shared" si="126"/>
        <v/>
      </c>
      <c r="AO181" t="s">
        <v>1201</v>
      </c>
      <c r="AP181" t="str">
        <f t="shared" si="128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7"/>
        <v>DDm125-33</v>
      </c>
    </row>
    <row r="182" spans="1:53">
      <c r="A182" s="35" t="s">
        <v>198</v>
      </c>
      <c r="B182" t="s">
        <v>1184</v>
      </c>
      <c r="C182" t="s">
        <v>1423</v>
      </c>
      <c r="D182" t="s">
        <v>1138</v>
      </c>
      <c r="E182" t="s">
        <v>992</v>
      </c>
      <c r="F182" t="s">
        <v>1149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1144</v>
      </c>
      <c r="Q182" t="s">
        <v>1150</v>
      </c>
      <c r="R182" t="s">
        <v>1210</v>
      </c>
      <c r="S182">
        <v>28.123200000000001</v>
      </c>
      <c r="T182">
        <v>19.9482</v>
      </c>
      <c r="U182" t="s">
        <v>1162</v>
      </c>
      <c r="V182" t="s">
        <v>1179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29"/>
        <v>14.715</v>
      </c>
      <c r="AC182" s="77">
        <f t="shared" si="130"/>
        <v>2.9975000000000001</v>
      </c>
      <c r="AD182" s="77">
        <f t="shared" si="131"/>
        <v>64.285714285714292</v>
      </c>
      <c r="AE182" s="77">
        <f t="shared" si="132"/>
        <v>26.829268292682929</v>
      </c>
      <c r="AF182" s="77">
        <f t="shared" si="133"/>
        <v>19.9482</v>
      </c>
      <c r="AG182" s="77">
        <f t="shared" si="134"/>
        <v>70.931472947601989</v>
      </c>
      <c r="AH182" s="368"/>
      <c r="AI182" s="368"/>
      <c r="AJ182" s="368"/>
      <c r="AK182" s="368"/>
      <c r="AL182" s="368"/>
      <c r="AM182" s="369"/>
      <c r="AN182" t="str">
        <f t="shared" si="126"/>
        <v/>
      </c>
      <c r="AO182" t="s">
        <v>1201</v>
      </c>
      <c r="AP182" t="str">
        <f t="shared" si="128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7"/>
        <v>DDm100-33</v>
      </c>
    </row>
    <row r="183" spans="1:53">
      <c r="A183" s="35" t="s">
        <v>199</v>
      </c>
      <c r="B183" t="s">
        <v>1184</v>
      </c>
      <c r="C183" t="s">
        <v>1423</v>
      </c>
      <c r="D183" t="s">
        <v>1138</v>
      </c>
      <c r="E183" t="s">
        <v>992</v>
      </c>
      <c r="F183" t="s">
        <v>1149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1144</v>
      </c>
      <c r="Q183" t="s">
        <v>1150</v>
      </c>
      <c r="R183" t="s">
        <v>1161</v>
      </c>
      <c r="S183">
        <v>35.553600000000003</v>
      </c>
      <c r="T183">
        <v>24.653600000000001</v>
      </c>
      <c r="U183" t="s">
        <v>1162</v>
      </c>
      <c r="V183" t="s">
        <v>1179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29"/>
        <v>18.53</v>
      </c>
      <c r="AC183" s="77">
        <f t="shared" si="130"/>
        <v>4.0875000000000004</v>
      </c>
      <c r="AD183" s="77">
        <f t="shared" si="131"/>
        <v>62.962962962962969</v>
      </c>
      <c r="AE183" s="77">
        <f t="shared" si="132"/>
        <v>27.272727272727273</v>
      </c>
      <c r="AF183" s="77">
        <f t="shared" si="133"/>
        <v>24.653600000000001</v>
      </c>
      <c r="AG183" s="77">
        <f t="shared" si="134"/>
        <v>69.342063813509739</v>
      </c>
      <c r="AH183" s="368"/>
      <c r="AI183" s="368"/>
      <c r="AJ183" s="368"/>
      <c r="AK183" s="368"/>
      <c r="AL183" s="368"/>
      <c r="AM183" s="369"/>
      <c r="AN183" t="str">
        <f t="shared" si="126"/>
        <v/>
      </c>
      <c r="AO183" t="s">
        <v>1201</v>
      </c>
      <c r="AP183" t="str">
        <f t="shared" si="128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7"/>
        <v>DDm125-33</v>
      </c>
    </row>
    <row r="184" spans="1:53">
      <c r="A184" s="35" t="s">
        <v>200</v>
      </c>
      <c r="B184" t="s">
        <v>1184</v>
      </c>
      <c r="C184" t="s">
        <v>1424</v>
      </c>
      <c r="D184" t="s">
        <v>1181</v>
      </c>
      <c r="E184" t="s">
        <v>989</v>
      </c>
      <c r="F184" t="s">
        <v>1140</v>
      </c>
      <c r="G184">
        <v>36.6</v>
      </c>
      <c r="H184">
        <v>30</v>
      </c>
      <c r="I184">
        <v>69</v>
      </c>
      <c r="J184">
        <v>3.7605</v>
      </c>
      <c r="K184" s="64">
        <v>45415</v>
      </c>
      <c r="L184">
        <v>46.27704</v>
      </c>
      <c r="M184">
        <v>42.516539999999999</v>
      </c>
      <c r="N184">
        <v>41.496299999999998</v>
      </c>
      <c r="O184">
        <v>37.735799999999998</v>
      </c>
      <c r="P184" t="s">
        <v>1144</v>
      </c>
      <c r="Q184" t="s">
        <v>1150</v>
      </c>
      <c r="R184" t="s">
        <v>1339</v>
      </c>
      <c r="S184">
        <v>26.654399999999999</v>
      </c>
      <c r="T184">
        <v>22.893899999999999</v>
      </c>
      <c r="U184" t="s">
        <v>1190</v>
      </c>
      <c r="V184" t="s">
        <v>1425</v>
      </c>
      <c r="W184">
        <v>99.825000000000003</v>
      </c>
      <c r="X184">
        <v>96.064499999999995</v>
      </c>
      <c r="Y184">
        <v>49</v>
      </c>
      <c r="AA184">
        <f>VLOOKUP(A184,Cover!A:R,18,0)</f>
        <v>11.8</v>
      </c>
      <c r="AB184" s="77">
        <f t="shared" si="129"/>
        <v>30.716539999999998</v>
      </c>
      <c r="AC184" s="77">
        <f t="shared" si="130"/>
        <v>25.935799999999997</v>
      </c>
      <c r="AD184" s="77">
        <f t="shared" si="131"/>
        <v>66.375334291043686</v>
      </c>
      <c r="AE184" s="77">
        <f t="shared" si="132"/>
        <v>62.501476035212775</v>
      </c>
      <c r="AF184" s="77">
        <f t="shared" si="133"/>
        <v>11.093899999999998</v>
      </c>
      <c r="AG184" s="77">
        <f t="shared" si="134"/>
        <v>41.621270784560892</v>
      </c>
      <c r="AH184" s="77">
        <f t="shared" si="135"/>
        <v>99.825000000000003</v>
      </c>
      <c r="AI184" s="77">
        <f t="shared" si="136"/>
        <v>3.7605</v>
      </c>
      <c r="AJ184" s="77">
        <f t="shared" si="137"/>
        <v>96.06450000000001</v>
      </c>
      <c r="AK184" s="77">
        <f t="shared" si="138"/>
        <v>11.8</v>
      </c>
      <c r="AL184" s="77">
        <f t="shared" si="139"/>
        <v>84.264500000000012</v>
      </c>
      <c r="AM184" s="77">
        <f t="shared" si="140"/>
        <v>84.412221387428005</v>
      </c>
      <c r="AN184" t="str">
        <f t="shared" si="126"/>
        <v/>
      </c>
      <c r="AO184" s="52" t="s">
        <v>1201</v>
      </c>
      <c r="AP184" t="str">
        <f t="shared" si="128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7"/>
        <v>DDm125-25</v>
      </c>
    </row>
    <row r="185" spans="1:53">
      <c r="A185" s="35" t="s">
        <v>201</v>
      </c>
      <c r="B185" t="s">
        <v>1184</v>
      </c>
      <c r="C185" t="s">
        <v>1424</v>
      </c>
      <c r="D185" t="s">
        <v>1181</v>
      </c>
      <c r="E185" t="s">
        <v>989</v>
      </c>
      <c r="F185" t="s">
        <v>1140</v>
      </c>
      <c r="G185">
        <v>36.6</v>
      </c>
      <c r="H185">
        <v>30</v>
      </c>
      <c r="I185">
        <v>180</v>
      </c>
      <c r="J185">
        <v>9.81</v>
      </c>
      <c r="K185" s="64">
        <v>45415</v>
      </c>
      <c r="L185">
        <v>46.27704</v>
      </c>
      <c r="M185">
        <v>36.467039999999997</v>
      </c>
      <c r="N185">
        <v>41.496299999999998</v>
      </c>
      <c r="O185">
        <v>31.686299999999999</v>
      </c>
      <c r="P185" t="s">
        <v>1144</v>
      </c>
      <c r="Q185" t="s">
        <v>1150</v>
      </c>
      <c r="R185" t="s">
        <v>1339</v>
      </c>
      <c r="S185">
        <v>26.654399999999999</v>
      </c>
      <c r="T185">
        <v>16.8444</v>
      </c>
      <c r="U185" t="s">
        <v>1190</v>
      </c>
      <c r="V185" t="s">
        <v>1425</v>
      </c>
      <c r="W185">
        <v>99.825000000000003</v>
      </c>
      <c r="X185">
        <v>90.015000000000001</v>
      </c>
      <c r="Y185">
        <v>49</v>
      </c>
      <c r="AA185">
        <f>VLOOKUP(A185,Cover!A:R,18,0)</f>
        <v>12.5</v>
      </c>
      <c r="AB185" s="77">
        <f t="shared" si="129"/>
        <v>23.967039999999997</v>
      </c>
      <c r="AC185" s="77">
        <f t="shared" si="130"/>
        <v>19.186299999999999</v>
      </c>
      <c r="AD185" s="77">
        <f t="shared" si="131"/>
        <v>51.790347870131711</v>
      </c>
      <c r="AE185" s="77">
        <f t="shared" si="132"/>
        <v>46.236170453751299</v>
      </c>
      <c r="AF185" s="77">
        <f t="shared" si="133"/>
        <v>4.3444000000000003</v>
      </c>
      <c r="AG185" s="77">
        <f t="shared" si="134"/>
        <v>16.29899753886788</v>
      </c>
      <c r="AH185" s="77">
        <f t="shared" si="135"/>
        <v>99.825000000000003</v>
      </c>
      <c r="AI185" s="77">
        <f t="shared" si="136"/>
        <v>9.81</v>
      </c>
      <c r="AJ185" s="77">
        <f t="shared" si="137"/>
        <v>90.015000000000001</v>
      </c>
      <c r="AK185" s="77">
        <f t="shared" si="138"/>
        <v>12.5</v>
      </c>
      <c r="AL185" s="77">
        <f t="shared" si="139"/>
        <v>77.515000000000001</v>
      </c>
      <c r="AM185" s="77">
        <f t="shared" si="140"/>
        <v>77.650889055847728</v>
      </c>
      <c r="AN185" t="str">
        <f t="shared" si="126"/>
        <v/>
      </c>
      <c r="AO185" s="52" t="s">
        <v>1201</v>
      </c>
      <c r="AP185" t="str">
        <f t="shared" si="128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7"/>
        <v>DDm125-25</v>
      </c>
    </row>
    <row r="186" spans="1:53">
      <c r="A186" s="35" t="s">
        <v>202</v>
      </c>
      <c r="B186" t="s">
        <v>1222</v>
      </c>
      <c r="C186" t="s">
        <v>1426</v>
      </c>
      <c r="D186" t="s">
        <v>1427</v>
      </c>
      <c r="E186" t="s">
        <v>1428</v>
      </c>
      <c r="F186" t="s">
        <v>1429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1144</v>
      </c>
      <c r="Q186" t="s">
        <v>1150</v>
      </c>
      <c r="R186" t="s">
        <v>1430</v>
      </c>
      <c r="S186">
        <v>7.9919999999999796</v>
      </c>
      <c r="T186">
        <v>7.6431999999999798</v>
      </c>
      <c r="U186" t="s">
        <v>1144</v>
      </c>
      <c r="V186" t="s">
        <v>1229</v>
      </c>
      <c r="W186">
        <v>9</v>
      </c>
      <c r="X186">
        <v>8.6511999999999993</v>
      </c>
      <c r="Y186">
        <v>8</v>
      </c>
      <c r="Z186" t="s">
        <v>1225</v>
      </c>
      <c r="AA186">
        <f>VLOOKUP(A186,Cover!A:R,18,0)</f>
        <v>0</v>
      </c>
      <c r="AB186" s="77">
        <f t="shared" si="129"/>
        <v>4.0111999999999997</v>
      </c>
      <c r="AC186" s="77">
        <f t="shared" si="130"/>
        <v>6.54E-2</v>
      </c>
      <c r="AD186" s="77">
        <f t="shared" si="131"/>
        <v>91.999999999999986</v>
      </c>
      <c r="AE186" s="77">
        <f t="shared" si="132"/>
        <v>15.789473684210527</v>
      </c>
      <c r="AF186" s="77">
        <f t="shared" si="133"/>
        <v>7.6431999999999798</v>
      </c>
      <c r="AG186" s="77">
        <f t="shared" si="134"/>
        <v>95.635635635635623</v>
      </c>
      <c r="AH186" s="77">
        <f t="shared" si="135"/>
        <v>9</v>
      </c>
      <c r="AI186" s="77">
        <f t="shared" si="136"/>
        <v>0.3488</v>
      </c>
      <c r="AJ186" s="77">
        <f t="shared" si="137"/>
        <v>8.6511999999999993</v>
      </c>
      <c r="AK186" s="77">
        <f t="shared" si="138"/>
        <v>0</v>
      </c>
      <c r="AL186" s="77">
        <f t="shared" si="139"/>
        <v>8.6511999999999993</v>
      </c>
      <c r="AM186" s="77">
        <f t="shared" si="140"/>
        <v>96.124444444444435</v>
      </c>
      <c r="AN186" t="str">
        <f t="shared" si="126"/>
        <v>Capped</v>
      </c>
      <c r="AO186" t="s">
        <v>1146</v>
      </c>
      <c r="AP186" t="str">
        <f t="shared" si="128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7"/>
        <v>2V460</v>
      </c>
    </row>
    <row r="187" spans="1:53">
      <c r="A187" s="35" t="s">
        <v>203</v>
      </c>
      <c r="B187" t="s">
        <v>1184</v>
      </c>
      <c r="C187" t="s">
        <v>1431</v>
      </c>
      <c r="D187" t="s">
        <v>1133</v>
      </c>
      <c r="E187" t="s">
        <v>1022</v>
      </c>
      <c r="F187" t="s">
        <v>1140</v>
      </c>
      <c r="G187">
        <v>36.6</v>
      </c>
      <c r="H187">
        <v>32</v>
      </c>
      <c r="I187">
        <v>273</v>
      </c>
      <c r="J187">
        <v>14.878500000000001</v>
      </c>
      <c r="K187" s="64">
        <v>45415</v>
      </c>
      <c r="L187">
        <v>49.468559999999997</v>
      </c>
      <c r="M187">
        <v>34.590060000000001</v>
      </c>
      <c r="N187">
        <v>40.035699999999999</v>
      </c>
      <c r="O187">
        <v>25.1572</v>
      </c>
      <c r="P187" t="s">
        <v>1144</v>
      </c>
      <c r="Q187" t="s">
        <v>1150</v>
      </c>
      <c r="R187" t="s">
        <v>1161</v>
      </c>
      <c r="S187">
        <v>35.553600000000003</v>
      </c>
      <c r="T187">
        <v>20.6751</v>
      </c>
      <c r="U187" t="s">
        <v>1155</v>
      </c>
      <c r="V187" t="s">
        <v>1234</v>
      </c>
      <c r="W187">
        <v>67.5</v>
      </c>
      <c r="X187">
        <v>52.621499999999997</v>
      </c>
      <c r="Y187">
        <v>25</v>
      </c>
      <c r="Z187" t="s">
        <v>1096</v>
      </c>
      <c r="AA187">
        <f>VLOOKUP(A187,Cover!A:R,18,0)</f>
        <v>10.15</v>
      </c>
      <c r="AB187" s="77">
        <f t="shared" si="129"/>
        <v>24.440060000000003</v>
      </c>
      <c r="AC187" s="77">
        <f t="shared" si="130"/>
        <v>15.007199999999999</v>
      </c>
      <c r="AD187" s="77">
        <f t="shared" si="131"/>
        <v>49.405238397883437</v>
      </c>
      <c r="AE187" s="77">
        <f t="shared" si="132"/>
        <v>37.484545043548636</v>
      </c>
      <c r="AF187" s="77">
        <f t="shared" si="133"/>
        <v>10.5251</v>
      </c>
      <c r="AG187" s="77">
        <f t="shared" si="134"/>
        <v>29.603471940956751</v>
      </c>
      <c r="AH187" s="369">
        <f>AVERAGE(W187:W188)</f>
        <v>67.5</v>
      </c>
      <c r="AI187" s="369">
        <f>SUM(J187:J188)</f>
        <v>17.113</v>
      </c>
      <c r="AJ187" s="369">
        <f t="shared" si="137"/>
        <v>50.387</v>
      </c>
      <c r="AK187" s="369">
        <f>SUM(AA187:AA188)</f>
        <v>20.6</v>
      </c>
      <c r="AL187" s="369">
        <f t="shared" si="139"/>
        <v>29.786999999999999</v>
      </c>
      <c r="AM187" s="369">
        <f t="shared" si="140"/>
        <v>44.128888888888888</v>
      </c>
      <c r="AN187" t="str">
        <f t="shared" si="126"/>
        <v>Capped</v>
      </c>
      <c r="AO187" t="s">
        <v>1201</v>
      </c>
      <c r="AP187" t="str">
        <f t="shared" si="128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7"/>
        <v>DDm125-33</v>
      </c>
    </row>
    <row r="188" spans="1:53">
      <c r="A188" s="35" t="s">
        <v>204</v>
      </c>
      <c r="B188" t="s">
        <v>1184</v>
      </c>
      <c r="C188" t="s">
        <v>1431</v>
      </c>
      <c r="D188" t="s">
        <v>1133</v>
      </c>
      <c r="E188" t="s">
        <v>1022</v>
      </c>
      <c r="F188" t="s">
        <v>1140</v>
      </c>
      <c r="G188">
        <v>36.6</v>
      </c>
      <c r="H188">
        <v>32</v>
      </c>
      <c r="I188">
        <v>41</v>
      </c>
      <c r="J188">
        <v>2.2345000000000002</v>
      </c>
      <c r="K188" s="64">
        <v>45415</v>
      </c>
      <c r="L188">
        <v>49.468559999999997</v>
      </c>
      <c r="M188">
        <v>47.234059999999999</v>
      </c>
      <c r="N188">
        <v>40.035699999999999</v>
      </c>
      <c r="O188">
        <v>37.801200000000001</v>
      </c>
      <c r="P188" t="s">
        <v>1144</v>
      </c>
      <c r="Q188" t="s">
        <v>1150</v>
      </c>
      <c r="R188" t="s">
        <v>1161</v>
      </c>
      <c r="S188">
        <v>35.553600000000003</v>
      </c>
      <c r="T188">
        <v>33.319099999999999</v>
      </c>
      <c r="U188" t="s">
        <v>1155</v>
      </c>
      <c r="V188" t="s">
        <v>1234</v>
      </c>
      <c r="W188">
        <v>67.5</v>
      </c>
      <c r="X188">
        <v>65.265500000000003</v>
      </c>
      <c r="Y188">
        <v>25</v>
      </c>
      <c r="Z188" t="s">
        <v>1096</v>
      </c>
      <c r="AA188">
        <f>VLOOKUP(A188,Cover!A:R,18,0)</f>
        <v>10.450000000000001</v>
      </c>
      <c r="AB188" s="77">
        <f t="shared" ref="AB188" si="154">M188-AA188</f>
        <v>36.784059999999997</v>
      </c>
      <c r="AC188" s="77">
        <f t="shared" ref="AC188" si="155">O188-AA188</f>
        <v>27.351199999999999</v>
      </c>
      <c r="AD188" s="77">
        <f t="shared" ref="AD188" si="156">AB188/L188%</f>
        <v>74.358461212535801</v>
      </c>
      <c r="AE188" s="77">
        <f t="shared" ref="AE188" si="157">AC188/N188%</f>
        <v>68.317027053354877</v>
      </c>
      <c r="AF188" s="77">
        <f t="shared" ref="AF188" si="158">T188-AA188</f>
        <v>22.869099999999996</v>
      </c>
      <c r="AG188" s="77">
        <f t="shared" ref="AG188" si="159">AF188/S188%</f>
        <v>64.322881508482951</v>
      </c>
      <c r="AH188" s="369"/>
      <c r="AI188" s="369"/>
      <c r="AJ188" s="369"/>
      <c r="AK188" s="369"/>
      <c r="AL188" s="369"/>
      <c r="AM188" s="369"/>
      <c r="AN188" t="str">
        <f t="shared" si="126"/>
        <v>Capped</v>
      </c>
      <c r="AO188" t="s">
        <v>1201</v>
      </c>
      <c r="AP188" t="str">
        <f t="shared" si="128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7"/>
        <v>DDm125-33</v>
      </c>
    </row>
    <row r="189" spans="1:53">
      <c r="A189" s="35" t="s">
        <v>205</v>
      </c>
      <c r="B189" t="s">
        <v>1147</v>
      </c>
      <c r="C189" t="s">
        <v>1432</v>
      </c>
      <c r="D189" t="s">
        <v>1138</v>
      </c>
      <c r="E189" t="s">
        <v>1433</v>
      </c>
      <c r="F189" t="s">
        <v>1323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1186</v>
      </c>
      <c r="Q189" t="s">
        <v>1168</v>
      </c>
      <c r="R189" t="s">
        <v>1434</v>
      </c>
      <c r="S189">
        <v>5.1062399999999997</v>
      </c>
      <c r="T189">
        <v>3.8527399999999998</v>
      </c>
      <c r="U189" t="s">
        <v>1144</v>
      </c>
      <c r="V189" t="s">
        <v>1170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29"/>
        <v>2.6515</v>
      </c>
      <c r="AC189" s="77">
        <f t="shared" si="130"/>
        <v>0.86935000000000007</v>
      </c>
      <c r="AD189" s="77">
        <f t="shared" si="131"/>
        <v>54.057084607543317</v>
      </c>
      <c r="AE189" s="77">
        <f t="shared" si="132"/>
        <v>27.838352786717262</v>
      </c>
      <c r="AF189" s="77">
        <f t="shared" si="133"/>
        <v>2.8527399999999998</v>
      </c>
      <c r="AG189" s="77">
        <f t="shared" si="134"/>
        <v>55.867722629566963</v>
      </c>
      <c r="AH189" s="77">
        <f t="shared" si="135"/>
        <v>5.0250000000000004</v>
      </c>
      <c r="AI189" s="77">
        <f t="shared" si="136"/>
        <v>1.2535000000000001</v>
      </c>
      <c r="AJ189" s="77">
        <f t="shared" si="137"/>
        <v>3.7715000000000005</v>
      </c>
      <c r="AK189" s="77">
        <f t="shared" si="138"/>
        <v>1</v>
      </c>
      <c r="AL189" s="77">
        <f t="shared" si="139"/>
        <v>2.7715000000000005</v>
      </c>
      <c r="AM189" s="77">
        <f t="shared" si="140"/>
        <v>55.154228855721399</v>
      </c>
      <c r="AN189" t="str">
        <f t="shared" si="126"/>
        <v/>
      </c>
      <c r="AO189" t="s">
        <v>1146</v>
      </c>
      <c r="AP189" t="str">
        <f t="shared" si="128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7"/>
        <v>12V92F</v>
      </c>
    </row>
    <row r="190" spans="1:53">
      <c r="A190" s="35" t="s">
        <v>206</v>
      </c>
      <c r="B190" t="s">
        <v>1159</v>
      </c>
      <c r="C190" t="s">
        <v>1159</v>
      </c>
      <c r="D190" t="s">
        <v>1138</v>
      </c>
      <c r="E190" t="s">
        <v>823</v>
      </c>
      <c r="F190" t="s">
        <v>1140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1162</v>
      </c>
      <c r="Q190" t="s">
        <v>1150</v>
      </c>
      <c r="R190" t="s">
        <v>1303</v>
      </c>
      <c r="S190">
        <v>42.863039999999998</v>
      </c>
      <c r="T190">
        <v>28.856539999999999</v>
      </c>
      <c r="U190" t="s">
        <v>1144</v>
      </c>
      <c r="V190" t="s">
        <v>1207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29"/>
        <v>2.9341399999999993</v>
      </c>
      <c r="AC190" s="77">
        <f t="shared" si="130"/>
        <v>-0.47320000000000029</v>
      </c>
      <c r="AD190" s="77">
        <f t="shared" si="131"/>
        <v>13.133643440832488</v>
      </c>
      <c r="AE190" s="77">
        <f t="shared" si="132"/>
        <v>-2.4993001748242532</v>
      </c>
      <c r="AF190" s="77">
        <f t="shared" si="133"/>
        <v>23.456539999999997</v>
      </c>
      <c r="AG190" s="77">
        <f t="shared" si="134"/>
        <v>54.724396589695921</v>
      </c>
      <c r="AH190" s="77">
        <f t="shared" si="135"/>
        <v>37.5</v>
      </c>
      <c r="AI190" s="77">
        <f t="shared" si="136"/>
        <v>14.006500000000001</v>
      </c>
      <c r="AJ190" s="77">
        <f t="shared" si="137"/>
        <v>23.493499999999997</v>
      </c>
      <c r="AK190" s="77">
        <f t="shared" si="138"/>
        <v>5.4</v>
      </c>
      <c r="AL190" s="77">
        <f t="shared" si="139"/>
        <v>18.093499999999999</v>
      </c>
      <c r="AM190" s="77">
        <f t="shared" si="140"/>
        <v>48.249333333333333</v>
      </c>
      <c r="AN190" t="str">
        <f t="shared" si="126"/>
        <v/>
      </c>
      <c r="AO190" t="s">
        <v>1146</v>
      </c>
      <c r="AP190" t="str">
        <f t="shared" si="128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7"/>
        <v xml:space="preserve">SBS XL 150F-FT </v>
      </c>
    </row>
    <row r="191" spans="1:53">
      <c r="A191" s="35" t="s">
        <v>207</v>
      </c>
      <c r="B191" t="s">
        <v>1136</v>
      </c>
      <c r="C191" t="s">
        <v>1435</v>
      </c>
      <c r="D191" t="s">
        <v>1133</v>
      </c>
      <c r="E191" t="s">
        <v>798</v>
      </c>
      <c r="F191" t="s">
        <v>1140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1141</v>
      </c>
      <c r="Q191" t="s">
        <v>1150</v>
      </c>
      <c r="R191" t="s">
        <v>1151</v>
      </c>
      <c r="S191">
        <v>26.1144</v>
      </c>
      <c r="T191">
        <v>5.4589000000000301</v>
      </c>
      <c r="U191" t="s">
        <v>1141</v>
      </c>
      <c r="V191" t="s">
        <v>1370</v>
      </c>
      <c r="W191">
        <v>60.75</v>
      </c>
      <c r="X191">
        <v>40.094499999999996</v>
      </c>
      <c r="Y191">
        <v>9</v>
      </c>
      <c r="Z191" t="s">
        <v>1436</v>
      </c>
      <c r="AA191">
        <f>VLOOKUP(A191,Cover!A:R,18,0)</f>
        <v>3</v>
      </c>
      <c r="AB191" s="77">
        <f t="shared" si="129"/>
        <v>16.238499999999998</v>
      </c>
      <c r="AC191" s="77">
        <f t="shared" si="130"/>
        <v>9.5350000000000001</v>
      </c>
      <c r="AD191" s="77">
        <f t="shared" si="131"/>
        <v>40.704115907153955</v>
      </c>
      <c r="AE191" s="77">
        <f t="shared" si="132"/>
        <v>28.728099908106234</v>
      </c>
      <c r="AF191" s="77">
        <f t="shared" si="133"/>
        <v>2.4589000000000301</v>
      </c>
      <c r="AG191" s="77">
        <f t="shared" si="134"/>
        <v>9.4158778298564396</v>
      </c>
      <c r="AH191" s="77">
        <f t="shared" si="135"/>
        <v>60.75</v>
      </c>
      <c r="AI191" s="77">
        <f t="shared" si="136"/>
        <v>20.6555</v>
      </c>
      <c r="AJ191" s="77">
        <f t="shared" si="137"/>
        <v>40.094499999999996</v>
      </c>
      <c r="AK191" s="77">
        <f t="shared" si="138"/>
        <v>3</v>
      </c>
      <c r="AL191" s="77">
        <f t="shared" si="139"/>
        <v>37.094499999999996</v>
      </c>
      <c r="AM191" s="77">
        <f t="shared" si="140"/>
        <v>61.060905349794226</v>
      </c>
      <c r="AN191" t="str">
        <f t="shared" si="126"/>
        <v>Capped</v>
      </c>
      <c r="AO191" t="s">
        <v>1146</v>
      </c>
      <c r="AP191" t="str">
        <f t="shared" si="128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7"/>
        <v>DDm85-25</v>
      </c>
    </row>
    <row r="192" spans="1:53">
      <c r="A192" s="35" t="s">
        <v>208</v>
      </c>
      <c r="B192" t="s">
        <v>1147</v>
      </c>
      <c r="C192" t="s">
        <v>1437</v>
      </c>
      <c r="D192" t="s">
        <v>1138</v>
      </c>
      <c r="E192" t="s">
        <v>949</v>
      </c>
      <c r="F192" t="s">
        <v>1153</v>
      </c>
      <c r="G192">
        <v>31</v>
      </c>
      <c r="H192">
        <v>11</v>
      </c>
      <c r="I192">
        <v>77</v>
      </c>
      <c r="J192">
        <v>4.1965000000000003</v>
      </c>
      <c r="K192" s="64">
        <v>45415</v>
      </c>
      <c r="L192">
        <v>13.516</v>
      </c>
      <c r="M192">
        <v>9.3194999999999997</v>
      </c>
      <c r="N192">
        <v>10.355</v>
      </c>
      <c r="O192">
        <v>6.1585000000000001</v>
      </c>
      <c r="P192" t="s">
        <v>1229</v>
      </c>
      <c r="Q192" t="s">
        <v>1150</v>
      </c>
      <c r="R192" t="s">
        <v>1242</v>
      </c>
      <c r="S192">
        <v>10.7568</v>
      </c>
      <c r="T192">
        <v>6.56029999999999</v>
      </c>
      <c r="U192" t="s">
        <v>1144</v>
      </c>
      <c r="V192" t="s">
        <v>1240</v>
      </c>
      <c r="W192">
        <v>11.25</v>
      </c>
      <c r="X192">
        <v>7.0534999999999997</v>
      </c>
      <c r="Y192">
        <v>3</v>
      </c>
      <c r="AA192">
        <f>VLOOKUP(A192,Cover!A:R,18,0)</f>
        <v>4</v>
      </c>
      <c r="AB192" s="77">
        <f t="shared" si="129"/>
        <v>5.3194999999999997</v>
      </c>
      <c r="AC192" s="77">
        <f t="shared" si="130"/>
        <v>2.1585000000000001</v>
      </c>
      <c r="AD192" s="77">
        <f t="shared" si="131"/>
        <v>39.357058301272559</v>
      </c>
      <c r="AE192" s="77">
        <f t="shared" si="132"/>
        <v>20.845002414292612</v>
      </c>
      <c r="AF192" s="77">
        <f t="shared" si="133"/>
        <v>2.56029999999999</v>
      </c>
      <c r="AG192" s="77">
        <f t="shared" si="134"/>
        <v>23.801688234419068</v>
      </c>
      <c r="AH192" s="77">
        <f t="shared" si="135"/>
        <v>11.25</v>
      </c>
      <c r="AI192" s="77">
        <f t="shared" si="136"/>
        <v>4.1965000000000003</v>
      </c>
      <c r="AJ192" s="77">
        <f t="shared" si="137"/>
        <v>7.0534999999999997</v>
      </c>
      <c r="AK192" s="77">
        <f t="shared" si="138"/>
        <v>4</v>
      </c>
      <c r="AL192" s="77">
        <f t="shared" si="139"/>
        <v>3.0534999999999997</v>
      </c>
      <c r="AM192" s="77">
        <f t="shared" si="140"/>
        <v>27.14222222222222</v>
      </c>
      <c r="AN192" t="str">
        <f t="shared" si="126"/>
        <v/>
      </c>
      <c r="AO192" t="s">
        <v>1146</v>
      </c>
      <c r="AP192" t="str">
        <f t="shared" si="128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7"/>
        <v xml:space="preserve">12V101F </v>
      </c>
    </row>
    <row r="193" spans="1:53">
      <c r="A193" s="35" t="s">
        <v>209</v>
      </c>
      <c r="B193" t="s">
        <v>1235</v>
      </c>
      <c r="C193" t="s">
        <v>1438</v>
      </c>
      <c r="D193" t="s">
        <v>1138</v>
      </c>
      <c r="E193" t="s">
        <v>1439</v>
      </c>
      <c r="F193" t="s">
        <v>1140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1141</v>
      </c>
      <c r="Q193" t="s">
        <v>1150</v>
      </c>
      <c r="R193" t="s">
        <v>1440</v>
      </c>
      <c r="S193">
        <v>17.755199999999999</v>
      </c>
      <c r="T193">
        <v>10.997199999999999</v>
      </c>
      <c r="U193" t="s">
        <v>1141</v>
      </c>
      <c r="V193" t="s">
        <v>1353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29"/>
        <v>10.795360000000001</v>
      </c>
      <c r="AC193" s="77">
        <f t="shared" si="130"/>
        <v>4.5234991825000002</v>
      </c>
      <c r="AD193" s="77">
        <f t="shared" si="131"/>
        <v>61.500248385494288</v>
      </c>
      <c r="AE193" s="77">
        <f t="shared" si="132"/>
        <v>40.096614016662855</v>
      </c>
      <c r="AF193" s="77">
        <f t="shared" si="133"/>
        <v>10.997199999999999</v>
      </c>
      <c r="AG193" s="77">
        <f t="shared" si="134"/>
        <v>61.937911147156889</v>
      </c>
      <c r="AH193" s="77">
        <f t="shared" si="135"/>
        <v>12</v>
      </c>
      <c r="AI193" s="77">
        <f t="shared" si="136"/>
        <v>6.758</v>
      </c>
      <c r="AJ193" s="77">
        <f t="shared" si="137"/>
        <v>5.242</v>
      </c>
      <c r="AK193" s="77">
        <f t="shared" si="138"/>
        <v>0</v>
      </c>
      <c r="AL193" s="77">
        <f t="shared" si="139"/>
        <v>5.242</v>
      </c>
      <c r="AM193" s="77">
        <f t="shared" si="140"/>
        <v>43.683333333333337</v>
      </c>
      <c r="AN193" t="str">
        <f t="shared" si="126"/>
        <v/>
      </c>
      <c r="AO193" t="s">
        <v>1146</v>
      </c>
      <c r="AP193" t="str">
        <f t="shared" si="128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7"/>
        <v>2CP650</v>
      </c>
    </row>
    <row r="194" spans="1:53">
      <c r="A194" s="35" t="s">
        <v>210</v>
      </c>
      <c r="B194" t="s">
        <v>1235</v>
      </c>
      <c r="C194" t="s">
        <v>1438</v>
      </c>
      <c r="D194" t="s">
        <v>1181</v>
      </c>
      <c r="E194" t="s">
        <v>1009</v>
      </c>
      <c r="F194" t="s">
        <v>1140</v>
      </c>
      <c r="G194">
        <v>36.6</v>
      </c>
      <c r="H194">
        <v>35</v>
      </c>
      <c r="I194">
        <v>333</v>
      </c>
      <c r="J194">
        <v>18.148499999999999</v>
      </c>
      <c r="K194" s="64">
        <v>45415</v>
      </c>
      <c r="L194">
        <v>54.255839999999999</v>
      </c>
      <c r="M194">
        <v>36.107340000000001</v>
      </c>
      <c r="N194">
        <v>35.119799999999998</v>
      </c>
      <c r="O194">
        <v>16.971299999999999</v>
      </c>
      <c r="P194" t="s">
        <v>1141</v>
      </c>
      <c r="Q194" t="s">
        <v>1150</v>
      </c>
      <c r="R194" t="s">
        <v>1161</v>
      </c>
      <c r="S194">
        <v>53.330399999999997</v>
      </c>
      <c r="T194">
        <v>35.181899999999999</v>
      </c>
      <c r="U194" t="s">
        <v>1141</v>
      </c>
      <c r="V194" t="s">
        <v>1158</v>
      </c>
      <c r="W194">
        <v>45</v>
      </c>
      <c r="X194">
        <v>26.851500000000001</v>
      </c>
      <c r="Y194">
        <v>278</v>
      </c>
      <c r="AA194">
        <f>VLOOKUP(A194,Cover!A:R,18,0)</f>
        <v>2.7</v>
      </c>
      <c r="AB194" s="77">
        <f t="shared" si="129"/>
        <v>33.407339999999998</v>
      </c>
      <c r="AC194" s="77">
        <f t="shared" si="130"/>
        <v>14.2713</v>
      </c>
      <c r="AD194" s="77">
        <f t="shared" si="131"/>
        <v>61.573721833446868</v>
      </c>
      <c r="AE194" s="77">
        <f t="shared" si="132"/>
        <v>40.636051458151819</v>
      </c>
      <c r="AF194" s="77">
        <f t="shared" si="133"/>
        <v>32.481899999999996</v>
      </c>
      <c r="AG194" s="77">
        <f t="shared" si="134"/>
        <v>60.906912380180906</v>
      </c>
      <c r="AH194" s="77">
        <f t="shared" si="135"/>
        <v>45</v>
      </c>
      <c r="AI194" s="77">
        <f t="shared" si="136"/>
        <v>18.148499999999999</v>
      </c>
      <c r="AJ194" s="77">
        <f t="shared" si="137"/>
        <v>26.851500000000001</v>
      </c>
      <c r="AK194" s="77">
        <f t="shared" si="138"/>
        <v>2.7</v>
      </c>
      <c r="AL194" s="77">
        <f t="shared" si="139"/>
        <v>24.151500000000002</v>
      </c>
      <c r="AM194" s="77">
        <f t="shared" si="140"/>
        <v>53.67</v>
      </c>
      <c r="AN194" t="str">
        <f t="shared" si="126"/>
        <v/>
      </c>
      <c r="AO194" t="s">
        <v>1146</v>
      </c>
      <c r="AP194" t="str">
        <f t="shared" si="128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7"/>
        <v>DDm125-33</v>
      </c>
    </row>
    <row r="195" spans="1:53">
      <c r="A195" s="35" t="s">
        <v>211</v>
      </c>
      <c r="B195" t="s">
        <v>1188</v>
      </c>
      <c r="C195" t="s">
        <v>1441</v>
      </c>
      <c r="D195" t="s">
        <v>1138</v>
      </c>
      <c r="E195" t="s">
        <v>1442</v>
      </c>
      <c r="F195" t="s">
        <v>1443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1155</v>
      </c>
      <c r="Q195" t="s">
        <v>1150</v>
      </c>
      <c r="R195" t="s">
        <v>1242</v>
      </c>
      <c r="S195">
        <v>3.5855999999999999</v>
      </c>
      <c r="T195">
        <v>2.2231000000000001</v>
      </c>
      <c r="U195" t="s">
        <v>1144</v>
      </c>
      <c r="V195" t="s">
        <v>1145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29"/>
        <v>5.1775000000000002</v>
      </c>
      <c r="AC195" s="77">
        <f t="shared" si="130"/>
        <v>4.6325000000000003</v>
      </c>
      <c r="AD195" s="77">
        <f t="shared" si="131"/>
        <v>79.166666666666671</v>
      </c>
      <c r="AE195" s="77">
        <f t="shared" si="132"/>
        <v>77.272727272727266</v>
      </c>
      <c r="AF195" s="77">
        <f t="shared" si="133"/>
        <v>2.2231000000000001</v>
      </c>
      <c r="AG195" s="77">
        <f t="shared" si="134"/>
        <v>62.000780901383315</v>
      </c>
      <c r="AH195" s="368">
        <f>AVERAGE(W195:W196)</f>
        <v>7.5</v>
      </c>
      <c r="AI195" s="368">
        <f>SUM(J195:J196)</f>
        <v>3.4880000000000004</v>
      </c>
      <c r="AJ195" s="368">
        <f t="shared" si="137"/>
        <v>4.0119999999999996</v>
      </c>
      <c r="AK195" s="368">
        <f>SUM(AA195:AA196)</f>
        <v>0</v>
      </c>
      <c r="AL195" s="368">
        <f t="shared" si="139"/>
        <v>4.0119999999999996</v>
      </c>
      <c r="AM195" s="369">
        <f t="shared" si="140"/>
        <v>53.493333333333332</v>
      </c>
      <c r="AN195" t="str">
        <f t="shared" si="126"/>
        <v/>
      </c>
      <c r="AO195" t="s">
        <v>1201</v>
      </c>
      <c r="AP195" t="str">
        <f t="shared" si="128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7"/>
        <v xml:space="preserve">12V101F </v>
      </c>
    </row>
    <row r="196" spans="1:53">
      <c r="A196" s="35" t="s">
        <v>212</v>
      </c>
      <c r="B196" t="s">
        <v>1188</v>
      </c>
      <c r="C196" t="s">
        <v>1441</v>
      </c>
      <c r="D196" t="s">
        <v>1138</v>
      </c>
      <c r="E196" t="s">
        <v>1442</v>
      </c>
      <c r="F196" t="s">
        <v>1443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1155</v>
      </c>
      <c r="Q196" t="s">
        <v>1168</v>
      </c>
      <c r="R196" t="s">
        <v>1247</v>
      </c>
      <c r="S196">
        <v>3.9052799999999999</v>
      </c>
      <c r="T196">
        <v>1.7797799999999999</v>
      </c>
      <c r="U196" t="s">
        <v>1144</v>
      </c>
      <c r="V196" t="s">
        <v>1145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29"/>
        <v>4.4145000000000003</v>
      </c>
      <c r="AC196" s="77">
        <f t="shared" si="130"/>
        <v>4.3055000000000003</v>
      </c>
      <c r="AD196" s="77">
        <f t="shared" si="131"/>
        <v>67.5</v>
      </c>
      <c r="AE196" s="77">
        <f t="shared" si="132"/>
        <v>66.949152542372886</v>
      </c>
      <c r="AF196" s="77">
        <f t="shared" si="133"/>
        <v>1.7797799999999999</v>
      </c>
      <c r="AG196" s="77">
        <f t="shared" si="134"/>
        <v>45.573684857423792</v>
      </c>
      <c r="AH196" s="368"/>
      <c r="AI196" s="368"/>
      <c r="AJ196" s="368"/>
      <c r="AK196" s="368"/>
      <c r="AL196" s="368"/>
      <c r="AM196" s="369"/>
      <c r="AN196" t="str">
        <f t="shared" si="126"/>
        <v/>
      </c>
      <c r="AO196" t="s">
        <v>1201</v>
      </c>
      <c r="AP196" t="str">
        <f t="shared" si="128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7"/>
        <v>12V100F</v>
      </c>
    </row>
    <row r="197" spans="1:53">
      <c r="A197" s="35" t="s">
        <v>213</v>
      </c>
      <c r="B197" t="s">
        <v>1171</v>
      </c>
      <c r="C197" t="s">
        <v>1444</v>
      </c>
      <c r="D197" t="s">
        <v>1181</v>
      </c>
      <c r="E197" t="s">
        <v>961</v>
      </c>
      <c r="F197" t="s">
        <v>1140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1144</v>
      </c>
      <c r="Q197" t="s">
        <v>1150</v>
      </c>
      <c r="R197" t="s">
        <v>1161</v>
      </c>
      <c r="S197">
        <v>35.553600000000003</v>
      </c>
      <c r="T197">
        <v>22.8551</v>
      </c>
      <c r="U197" t="s">
        <v>1190</v>
      </c>
      <c r="V197" t="s">
        <v>1156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29"/>
        <v>19.708220000000001</v>
      </c>
      <c r="AC197" s="77">
        <f t="shared" si="130"/>
        <v>6.6848999999999998</v>
      </c>
      <c r="AD197" s="77">
        <f t="shared" si="131"/>
        <v>56.138027135545556</v>
      </c>
      <c r="AE197" s="77">
        <f t="shared" si="132"/>
        <v>30.271153898403323</v>
      </c>
      <c r="AF197" s="77">
        <f t="shared" si="133"/>
        <v>20.155100000000001</v>
      </c>
      <c r="AG197" s="77">
        <f t="shared" si="134"/>
        <v>56.689336663516492</v>
      </c>
      <c r="AH197" s="77">
        <f t="shared" si="135"/>
        <v>33.75</v>
      </c>
      <c r="AI197" s="77">
        <f t="shared" si="136"/>
        <v>12.698499999999999</v>
      </c>
      <c r="AJ197" s="77">
        <f t="shared" si="137"/>
        <v>21.051500000000001</v>
      </c>
      <c r="AK197" s="77">
        <f t="shared" si="138"/>
        <v>2.7</v>
      </c>
      <c r="AL197" s="77">
        <f t="shared" si="139"/>
        <v>18.351500000000001</v>
      </c>
      <c r="AM197" s="77">
        <f t="shared" si="140"/>
        <v>54.374814814814819</v>
      </c>
      <c r="AN197" t="str">
        <f t="shared" si="126"/>
        <v/>
      </c>
      <c r="AO197" t="s">
        <v>1146</v>
      </c>
      <c r="AP197" t="str">
        <f t="shared" si="128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7"/>
        <v>DDm125-33</v>
      </c>
    </row>
    <row r="198" spans="1:53">
      <c r="A198" s="35" t="s">
        <v>214</v>
      </c>
      <c r="B198" t="s">
        <v>1176</v>
      </c>
      <c r="C198" t="s">
        <v>1445</v>
      </c>
      <c r="D198" t="s">
        <v>1138</v>
      </c>
      <c r="E198" t="s">
        <v>1027</v>
      </c>
      <c r="F198" t="s">
        <v>1193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1141</v>
      </c>
      <c r="Q198" t="s">
        <v>1150</v>
      </c>
      <c r="R198" t="s">
        <v>1161</v>
      </c>
      <c r="S198">
        <v>53.330399999999997</v>
      </c>
      <c r="T198">
        <v>30.2224</v>
      </c>
      <c r="U198" t="s">
        <v>1141</v>
      </c>
      <c r="V198" t="s">
        <v>1446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0">M198-AA198</f>
        <v>22.444000000000003</v>
      </c>
      <c r="AC198" s="77">
        <f t="shared" ref="AC198" si="161">O198-AA198</f>
        <v>4.1320000000000014</v>
      </c>
      <c r="AD198" s="77">
        <f t="shared" ref="AD198" si="162">AB198/L198%</f>
        <v>38.997775924381429</v>
      </c>
      <c r="AE198" s="77">
        <f t="shared" ref="AE198" si="163">AC198/N198%</f>
        <v>10.530071355759432</v>
      </c>
      <c r="AF198" s="77">
        <f t="shared" ref="AF198" si="164">T198-AA198</f>
        <v>18.2224</v>
      </c>
      <c r="AG198" s="77">
        <f t="shared" ref="AG198" si="165">AF198/S198%</f>
        <v>34.168879288360863</v>
      </c>
      <c r="AH198" s="77">
        <f t="shared" ref="AH198" si="166">W198</f>
        <v>31.5</v>
      </c>
      <c r="AI198" s="77">
        <f t="shared" ref="AI198" si="167">J198</f>
        <v>23.108000000000001</v>
      </c>
      <c r="AJ198" s="77">
        <f t="shared" ref="AJ198" si="168">AH198-AI198</f>
        <v>8.3919999999999995</v>
      </c>
      <c r="AK198" s="77">
        <f t="shared" ref="AK198" si="169">AA198</f>
        <v>12</v>
      </c>
      <c r="AL198" s="77">
        <f t="shared" ref="AL198" si="170">AJ198-AK198</f>
        <v>-3.6080000000000005</v>
      </c>
      <c r="AM198" s="77">
        <f t="shared" ref="AM198" si="171">AL198/AH198%</f>
        <v>-11.453968253968256</v>
      </c>
      <c r="AN198" t="str">
        <f t="shared" si="126"/>
        <v/>
      </c>
      <c r="AO198" t="s">
        <v>1146</v>
      </c>
      <c r="AP198" t="str">
        <f t="shared" si="128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7"/>
        <v>DDm125-33</v>
      </c>
    </row>
    <row r="199" spans="1:53">
      <c r="A199" s="35" t="s">
        <v>215</v>
      </c>
      <c r="B199" t="s">
        <v>1176</v>
      </c>
      <c r="C199" t="s">
        <v>1445</v>
      </c>
      <c r="D199" t="s">
        <v>1138</v>
      </c>
      <c r="E199" t="s">
        <v>1025</v>
      </c>
      <c r="F199" t="s">
        <v>1149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1144</v>
      </c>
      <c r="Q199" t="s">
        <v>1150</v>
      </c>
      <c r="R199" t="s">
        <v>1355</v>
      </c>
      <c r="S199">
        <v>18.792000000000002</v>
      </c>
      <c r="T199">
        <v>6.5294999999999899</v>
      </c>
      <c r="U199" t="s">
        <v>1243</v>
      </c>
      <c r="V199" t="s">
        <v>1447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29"/>
        <v>23.7075</v>
      </c>
      <c r="AC199" s="77">
        <f t="shared" si="130"/>
        <v>20.6555</v>
      </c>
      <c r="AD199" s="77">
        <f t="shared" si="131"/>
        <v>65.909090909090921</v>
      </c>
      <c r="AE199" s="77">
        <f t="shared" si="132"/>
        <v>62.748344370860934</v>
      </c>
      <c r="AF199" s="77">
        <f t="shared" si="133"/>
        <v>6.5294999999999899</v>
      </c>
      <c r="AG199" s="77">
        <f t="shared" si="134"/>
        <v>34.746168582375425</v>
      </c>
      <c r="AH199" s="77">
        <f t="shared" si="135"/>
        <v>36</v>
      </c>
      <c r="AI199" s="77">
        <f t="shared" si="136"/>
        <v>12.262499999999999</v>
      </c>
      <c r="AJ199" s="77">
        <f t="shared" si="137"/>
        <v>23.737500000000001</v>
      </c>
      <c r="AK199" s="77">
        <f t="shared" si="138"/>
        <v>0</v>
      </c>
      <c r="AL199" s="77">
        <f t="shared" si="139"/>
        <v>23.737500000000001</v>
      </c>
      <c r="AM199" s="77">
        <f t="shared" si="140"/>
        <v>65.9375</v>
      </c>
      <c r="AN199" t="str">
        <f t="shared" si="126"/>
        <v/>
      </c>
      <c r="AO199" t="s">
        <v>1146</v>
      </c>
      <c r="AP199" t="str">
        <f t="shared" si="128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7"/>
        <v>DDm85-27</v>
      </c>
    </row>
    <row r="200" spans="1:53">
      <c r="A200" s="35" t="s">
        <v>216</v>
      </c>
      <c r="B200" t="s">
        <v>1159</v>
      </c>
      <c r="C200" t="s">
        <v>1448</v>
      </c>
      <c r="D200" t="s">
        <v>1138</v>
      </c>
      <c r="E200" t="s">
        <v>825</v>
      </c>
      <c r="F200" t="s">
        <v>1140</v>
      </c>
      <c r="G200">
        <v>36.6</v>
      </c>
      <c r="H200">
        <v>9</v>
      </c>
      <c r="I200">
        <v>39</v>
      </c>
      <c r="J200">
        <v>2.1255000000000002</v>
      </c>
      <c r="K200" s="64">
        <v>45415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1144</v>
      </c>
      <c r="Q200" t="s">
        <v>1150</v>
      </c>
      <c r="R200" t="s">
        <v>1178</v>
      </c>
      <c r="S200">
        <v>10.1088</v>
      </c>
      <c r="T200">
        <v>7.9832999999999803</v>
      </c>
      <c r="U200" t="s">
        <v>1144</v>
      </c>
      <c r="V200" t="s">
        <v>1240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29"/>
        <v>10.64058</v>
      </c>
      <c r="AC200" s="77">
        <f t="shared" si="130"/>
        <v>7.3465999999999996</v>
      </c>
      <c r="AD200" s="77">
        <f t="shared" si="131"/>
        <v>83.350409836065566</v>
      </c>
      <c r="AE200" s="77">
        <f t="shared" si="132"/>
        <v>77.560414269275029</v>
      </c>
      <c r="AF200" s="77">
        <f t="shared" si="133"/>
        <v>7.9832999999999803</v>
      </c>
      <c r="AG200" s="77">
        <f t="shared" si="134"/>
        <v>78.97376543209856</v>
      </c>
      <c r="AH200" s="77">
        <f t="shared" si="135"/>
        <v>11.25</v>
      </c>
      <c r="AI200" s="77">
        <f t="shared" si="136"/>
        <v>2.1255000000000002</v>
      </c>
      <c r="AJ200" s="77">
        <f t="shared" si="137"/>
        <v>9.1244999999999994</v>
      </c>
      <c r="AK200" s="77">
        <f t="shared" si="138"/>
        <v>0</v>
      </c>
      <c r="AL200" s="77">
        <f t="shared" si="139"/>
        <v>9.1244999999999994</v>
      </c>
      <c r="AM200" s="77">
        <f t="shared" si="140"/>
        <v>81.106666666666655</v>
      </c>
      <c r="AN200" t="str">
        <f t="shared" si="126"/>
        <v/>
      </c>
      <c r="AO200" t="s">
        <v>1146</v>
      </c>
      <c r="AP200" t="str">
        <f t="shared" si="128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7"/>
        <v>2DDm85-15</v>
      </c>
    </row>
    <row r="201" spans="1:53">
      <c r="A201" s="35" t="s">
        <v>217</v>
      </c>
      <c r="B201" t="s">
        <v>1202</v>
      </c>
      <c r="C201" t="s">
        <v>1449</v>
      </c>
      <c r="D201" t="s">
        <v>1138</v>
      </c>
      <c r="E201" t="s">
        <v>1450</v>
      </c>
      <c r="F201" t="s">
        <v>1149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1144</v>
      </c>
      <c r="Q201" t="s">
        <v>1150</v>
      </c>
      <c r="R201" t="s">
        <v>1178</v>
      </c>
      <c r="S201">
        <v>10.1088</v>
      </c>
      <c r="T201">
        <v>1.93379999999998</v>
      </c>
      <c r="U201" t="s">
        <v>1155</v>
      </c>
      <c r="V201" t="s">
        <v>1234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29"/>
        <v>14.715</v>
      </c>
      <c r="AC201" s="77">
        <f t="shared" si="130"/>
        <v>13.952</v>
      </c>
      <c r="AD201" s="77">
        <f t="shared" si="131"/>
        <v>64.285714285714292</v>
      </c>
      <c r="AE201" s="77">
        <f t="shared" si="132"/>
        <v>63.054187192118228</v>
      </c>
      <c r="AF201" s="77">
        <f t="shared" si="133"/>
        <v>1.93379999999998</v>
      </c>
      <c r="AG201" s="77">
        <f t="shared" si="134"/>
        <v>19.129867046533512</v>
      </c>
      <c r="AH201" s="77">
        <f t="shared" si="135"/>
        <v>67.5</v>
      </c>
      <c r="AI201" s="77">
        <f t="shared" si="136"/>
        <v>8.1750000000000007</v>
      </c>
      <c r="AJ201" s="77">
        <f t="shared" si="137"/>
        <v>59.325000000000003</v>
      </c>
      <c r="AK201" s="77">
        <f t="shared" si="138"/>
        <v>0</v>
      </c>
      <c r="AL201" s="77">
        <f t="shared" si="139"/>
        <v>59.325000000000003</v>
      </c>
      <c r="AM201" s="77">
        <f t="shared" si="140"/>
        <v>87.888888888888886</v>
      </c>
      <c r="AN201" t="str">
        <f t="shared" ref="AN201:AN254" si="172">IF(ISBLANK(Z201),"","Capped")</f>
        <v/>
      </c>
      <c r="AO201" t="s">
        <v>1146</v>
      </c>
      <c r="AP201" t="str">
        <f t="shared" si="128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7"/>
        <v>2DDm85-15</v>
      </c>
    </row>
    <row r="202" spans="1:53">
      <c r="A202" s="35" t="s">
        <v>218</v>
      </c>
      <c r="B202" t="s">
        <v>1184</v>
      </c>
      <c r="C202" t="s">
        <v>1451</v>
      </c>
      <c r="D202" t="s">
        <v>1138</v>
      </c>
      <c r="E202" t="s">
        <v>1001</v>
      </c>
      <c r="F202" t="s">
        <v>1149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1155</v>
      </c>
      <c r="Q202" t="s">
        <v>1150</v>
      </c>
      <c r="R202" t="s">
        <v>1210</v>
      </c>
      <c r="S202">
        <v>56.246400000000101</v>
      </c>
      <c r="T202">
        <v>37.7164000000001</v>
      </c>
      <c r="U202" t="s">
        <v>1145</v>
      </c>
      <c r="V202" t="s">
        <v>1452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29"/>
        <v>27.25</v>
      </c>
      <c r="AC202" s="77">
        <f t="shared" si="130"/>
        <v>3.8149999999999999</v>
      </c>
      <c r="AD202" s="77">
        <f t="shared" si="131"/>
        <v>59.523809523809526</v>
      </c>
      <c r="AE202" s="77">
        <f t="shared" si="132"/>
        <v>17.073170731707318</v>
      </c>
      <c r="AF202" s="77">
        <f t="shared" si="133"/>
        <v>37.7164000000001</v>
      </c>
      <c r="AG202" s="77">
        <f t="shared" si="134"/>
        <v>67.055669340615637</v>
      </c>
      <c r="AH202" s="77">
        <f t="shared" si="135"/>
        <v>62.25</v>
      </c>
      <c r="AI202" s="77">
        <f t="shared" si="136"/>
        <v>18.53</v>
      </c>
      <c r="AJ202" s="77">
        <f t="shared" si="137"/>
        <v>43.72</v>
      </c>
      <c r="AK202" s="77">
        <f t="shared" si="138"/>
        <v>0</v>
      </c>
      <c r="AL202" s="77">
        <f t="shared" si="139"/>
        <v>43.72</v>
      </c>
      <c r="AM202" s="77">
        <f t="shared" si="140"/>
        <v>70.232931726907623</v>
      </c>
      <c r="AN202" t="str">
        <f t="shared" si="172"/>
        <v/>
      </c>
      <c r="AO202" t="s">
        <v>1146</v>
      </c>
      <c r="AP202" t="str">
        <f t="shared" si="128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7"/>
        <v>DDm100-33</v>
      </c>
    </row>
    <row r="203" spans="1:53">
      <c r="A203" s="35" t="s">
        <v>219</v>
      </c>
      <c r="B203" t="s">
        <v>1184</v>
      </c>
      <c r="C203" t="s">
        <v>1451</v>
      </c>
      <c r="D203" t="s">
        <v>1181</v>
      </c>
      <c r="E203" t="s">
        <v>996</v>
      </c>
      <c r="F203" t="s">
        <v>1140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1190</v>
      </c>
      <c r="Q203" t="s">
        <v>1150</v>
      </c>
      <c r="R203" t="s">
        <v>1453</v>
      </c>
      <c r="S203">
        <v>155.5848</v>
      </c>
      <c r="T203">
        <v>87.132799999999804</v>
      </c>
      <c r="U203" t="s">
        <v>1162</v>
      </c>
      <c r="V203" t="s">
        <v>1454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29"/>
        <v>25.900320000000001</v>
      </c>
      <c r="AC203" s="77">
        <f t="shared" si="130"/>
        <v>-2.4266000000000005</v>
      </c>
      <c r="AD203" s="77">
        <f t="shared" si="131"/>
        <v>19.793550469720369</v>
      </c>
      <c r="AE203" s="77">
        <f t="shared" si="132"/>
        <v>-2.3668281225920604</v>
      </c>
      <c r="AF203" s="77">
        <f t="shared" si="133"/>
        <v>50.632799999999804</v>
      </c>
      <c r="AG203" s="77">
        <f t="shared" si="134"/>
        <v>32.543538957532995</v>
      </c>
      <c r="AH203" s="368">
        <f>AVERAGE(W203:W204)</f>
        <v>411</v>
      </c>
      <c r="AI203" s="368">
        <f>SUM(J203:J204)</f>
        <v>115.4855</v>
      </c>
      <c r="AJ203" s="368">
        <f t="shared" si="137"/>
        <v>295.5145</v>
      </c>
      <c r="AK203" s="368">
        <f>SUM(AA203:AA204)</f>
        <v>47</v>
      </c>
      <c r="AL203" s="368">
        <f t="shared" si="139"/>
        <v>248.5145</v>
      </c>
      <c r="AM203" s="369">
        <f t="shared" si="140"/>
        <v>60.465815085158148</v>
      </c>
      <c r="AN203" t="str">
        <f t="shared" si="172"/>
        <v/>
      </c>
      <c r="AO203" t="s">
        <v>1146</v>
      </c>
      <c r="AP203" t="str">
        <f t="shared" si="128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3">IFERROR(LEFT(R203,FIND("(",R203,1)-1),R203)</f>
        <v xml:space="preserve">DDm100-33 </v>
      </c>
    </row>
    <row r="204" spans="1:53">
      <c r="A204" s="35" t="s">
        <v>220</v>
      </c>
      <c r="B204" t="s">
        <v>1184</v>
      </c>
      <c r="C204" t="s">
        <v>1451</v>
      </c>
      <c r="D204" t="s">
        <v>1181</v>
      </c>
      <c r="E204" t="s">
        <v>996</v>
      </c>
      <c r="F204" t="s">
        <v>1193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1141</v>
      </c>
      <c r="Q204" t="s">
        <v>1150</v>
      </c>
      <c r="R204" t="s">
        <v>1392</v>
      </c>
      <c r="S204">
        <v>85.212000000000202</v>
      </c>
      <c r="T204">
        <v>38.178500000000199</v>
      </c>
      <c r="U204" t="s">
        <v>1162</v>
      </c>
      <c r="V204" t="s">
        <v>1454</v>
      </c>
      <c r="W204">
        <v>411</v>
      </c>
      <c r="X204">
        <v>363.9665</v>
      </c>
      <c r="Y204">
        <v>61</v>
      </c>
      <c r="AA204">
        <f>VLOOKUP(A204,Cover!A:R,18,0)</f>
        <v>10.5</v>
      </c>
      <c r="AB204" s="77">
        <f t="shared" si="129"/>
        <v>40.784500000000001</v>
      </c>
      <c r="AC204" s="77">
        <f t="shared" si="130"/>
        <v>32.664000000000001</v>
      </c>
      <c r="AD204" s="77">
        <f t="shared" si="131"/>
        <v>41.482231127565655</v>
      </c>
      <c r="AE204" s="77">
        <f t="shared" si="132"/>
        <v>36.213864020621415</v>
      </c>
      <c r="AF204" s="77">
        <f t="shared" si="133"/>
        <v>27.678500000000199</v>
      </c>
      <c r="AG204" s="77">
        <f t="shared" si="134"/>
        <v>32.48192742806193</v>
      </c>
      <c r="AH204" s="368"/>
      <c r="AI204" s="368"/>
      <c r="AJ204" s="368"/>
      <c r="AK204" s="368"/>
      <c r="AL204" s="368"/>
      <c r="AM204" s="369"/>
      <c r="AN204" t="str">
        <f t="shared" si="172"/>
        <v/>
      </c>
      <c r="AO204" t="s">
        <v>1146</v>
      </c>
      <c r="AP204" t="str">
        <f t="shared" si="128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3"/>
        <v xml:space="preserve">DDm125-33 </v>
      </c>
    </row>
    <row r="205" spans="1:53">
      <c r="A205" s="35" t="s">
        <v>221</v>
      </c>
      <c r="B205" t="s">
        <v>1184</v>
      </c>
      <c r="C205" t="s">
        <v>1451</v>
      </c>
      <c r="D205" t="s">
        <v>1181</v>
      </c>
      <c r="E205" t="s">
        <v>996</v>
      </c>
      <c r="F205" t="s">
        <v>1153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1155</v>
      </c>
      <c r="Q205" t="s">
        <v>1150</v>
      </c>
      <c r="R205" t="s">
        <v>1373</v>
      </c>
      <c r="S205">
        <v>6.1430399999999796</v>
      </c>
      <c r="T205">
        <v>1.61953999999998</v>
      </c>
      <c r="U205" t="s">
        <v>1162</v>
      </c>
      <c r="V205" t="s">
        <v>1454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29"/>
        <v>0.88290000000000002</v>
      </c>
      <c r="AC205" s="77">
        <f t="shared" si="130"/>
        <v>5.45E-2</v>
      </c>
      <c r="AD205" s="77">
        <f t="shared" si="131"/>
        <v>16.330645161290324</v>
      </c>
      <c r="AE205" s="77">
        <f t="shared" si="132"/>
        <v>1.1904761904761905</v>
      </c>
      <c r="AF205" s="77">
        <f t="shared" si="133"/>
        <v>1.61953999999998</v>
      </c>
      <c r="AG205" s="77">
        <f t="shared" si="134"/>
        <v>26.363819867687422</v>
      </c>
      <c r="AH205" s="77">
        <f t="shared" si="135"/>
        <v>411</v>
      </c>
      <c r="AI205" s="77">
        <f t="shared" si="136"/>
        <v>4.5235000000000003</v>
      </c>
      <c r="AJ205" s="77">
        <f t="shared" si="137"/>
        <v>406.47649999999999</v>
      </c>
      <c r="AK205" s="77">
        <f t="shared" si="138"/>
        <v>0</v>
      </c>
      <c r="AL205" s="77">
        <f t="shared" si="139"/>
        <v>406.47649999999999</v>
      </c>
      <c r="AM205" s="77">
        <f t="shared" si="140"/>
        <v>98.899391727493907</v>
      </c>
      <c r="AN205" t="str">
        <f t="shared" si="172"/>
        <v/>
      </c>
      <c r="AO205" t="s">
        <v>1146</v>
      </c>
      <c r="AP205" t="str">
        <f t="shared" si="128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3"/>
        <v xml:space="preserve">12V101F </v>
      </c>
    </row>
    <row r="206" spans="1:53">
      <c r="A206" s="35" t="s">
        <v>222</v>
      </c>
      <c r="B206" t="s">
        <v>1184</v>
      </c>
      <c r="C206" t="s">
        <v>1451</v>
      </c>
      <c r="D206" t="s">
        <v>1181</v>
      </c>
      <c r="E206" t="s">
        <v>1003</v>
      </c>
      <c r="F206" t="s">
        <v>1140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1144</v>
      </c>
      <c r="Q206" t="s">
        <v>1150</v>
      </c>
      <c r="R206" t="s">
        <v>1455</v>
      </c>
      <c r="S206">
        <v>23.025600000000001</v>
      </c>
      <c r="T206">
        <v>14.9596</v>
      </c>
      <c r="U206" t="s">
        <v>1144</v>
      </c>
      <c r="V206" t="s">
        <v>1207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29"/>
        <v>8.8619200000000014</v>
      </c>
      <c r="AC206" s="77">
        <f t="shared" si="130"/>
        <v>6.3789000000000016</v>
      </c>
      <c r="AD206" s="77">
        <f t="shared" si="131"/>
        <v>32.667156199222063</v>
      </c>
      <c r="AE206" s="77">
        <f t="shared" si="132"/>
        <v>25.883245620797819</v>
      </c>
      <c r="AF206" s="77">
        <f t="shared" si="133"/>
        <v>4.7596000000000007</v>
      </c>
      <c r="AG206" s="77">
        <f t="shared" si="134"/>
        <v>20.670905427002989</v>
      </c>
      <c r="AH206" s="77">
        <f t="shared" si="135"/>
        <v>37.5</v>
      </c>
      <c r="AI206" s="77">
        <f t="shared" si="136"/>
        <v>8.0660000000000007</v>
      </c>
      <c r="AJ206" s="77">
        <f t="shared" si="137"/>
        <v>29.433999999999997</v>
      </c>
      <c r="AK206" s="77">
        <f t="shared" si="138"/>
        <v>10.199999999999999</v>
      </c>
      <c r="AL206" s="77">
        <f t="shared" si="139"/>
        <v>19.233999999999998</v>
      </c>
      <c r="AM206" s="77">
        <f t="shared" si="140"/>
        <v>51.29066666666666</v>
      </c>
      <c r="AN206" t="str">
        <f t="shared" si="172"/>
        <v/>
      </c>
      <c r="AO206" t="s">
        <v>1146</v>
      </c>
      <c r="AP206" t="str">
        <f t="shared" si="128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3"/>
        <v>DDm85-21</v>
      </c>
    </row>
    <row r="207" spans="1:53">
      <c r="A207" s="35" t="s">
        <v>223</v>
      </c>
      <c r="B207" t="s">
        <v>1202</v>
      </c>
      <c r="C207" t="s">
        <v>1456</v>
      </c>
      <c r="D207" t="s">
        <v>1138</v>
      </c>
      <c r="E207" t="s">
        <v>888</v>
      </c>
      <c r="F207" t="s">
        <v>1140</v>
      </c>
      <c r="G207">
        <v>36.6</v>
      </c>
      <c r="H207">
        <v>30</v>
      </c>
      <c r="I207">
        <v>365</v>
      </c>
      <c r="J207">
        <v>19.892499999999998</v>
      </c>
      <c r="K207" s="64">
        <v>45415</v>
      </c>
      <c r="L207">
        <v>46.27704</v>
      </c>
      <c r="M207">
        <v>26.384540000000001</v>
      </c>
      <c r="N207">
        <v>36.046300000000002</v>
      </c>
      <c r="O207">
        <v>16.1538</v>
      </c>
      <c r="P207" t="s">
        <v>1144</v>
      </c>
      <c r="Q207" t="s">
        <v>1150</v>
      </c>
      <c r="R207" t="s">
        <v>1161</v>
      </c>
      <c r="S207">
        <v>35.553600000000003</v>
      </c>
      <c r="T207">
        <v>15.661099999999999</v>
      </c>
      <c r="U207" t="s">
        <v>1243</v>
      </c>
      <c r="V207" t="s">
        <v>1347</v>
      </c>
      <c r="W207">
        <v>63</v>
      </c>
      <c r="X207">
        <v>43.107500000000002</v>
      </c>
      <c r="Y207">
        <v>6</v>
      </c>
      <c r="AA207">
        <f>VLOOKUP(A207,Cover!A:R,18,0)</f>
        <v>0.25</v>
      </c>
      <c r="AB207" s="77">
        <f t="shared" si="129"/>
        <v>26.134540000000001</v>
      </c>
      <c r="AC207" s="77">
        <f t="shared" si="130"/>
        <v>15.9038</v>
      </c>
      <c r="AD207" s="77">
        <f t="shared" si="131"/>
        <v>56.474096009597851</v>
      </c>
      <c r="AE207" s="77">
        <f t="shared" si="132"/>
        <v>44.120478384744061</v>
      </c>
      <c r="AF207" s="77">
        <f t="shared" si="133"/>
        <v>15.411099999999999</v>
      </c>
      <c r="AG207" s="77">
        <f t="shared" si="134"/>
        <v>43.346102785653208</v>
      </c>
      <c r="AH207" s="77">
        <f t="shared" si="135"/>
        <v>63</v>
      </c>
      <c r="AI207" s="77">
        <f t="shared" si="136"/>
        <v>19.892499999999998</v>
      </c>
      <c r="AJ207" s="77">
        <f t="shared" si="137"/>
        <v>43.107500000000002</v>
      </c>
      <c r="AK207" s="77">
        <f t="shared" si="138"/>
        <v>0.25</v>
      </c>
      <c r="AL207" s="77">
        <f t="shared" si="139"/>
        <v>42.857500000000002</v>
      </c>
      <c r="AM207" s="77">
        <f t="shared" si="140"/>
        <v>68.027777777777786</v>
      </c>
      <c r="AN207" t="str">
        <f t="shared" si="172"/>
        <v/>
      </c>
      <c r="AO207" t="s">
        <v>1146</v>
      </c>
      <c r="AP207" t="str">
        <f t="shared" si="128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3"/>
        <v>DDm125-33</v>
      </c>
    </row>
    <row r="208" spans="1:53">
      <c r="A208" s="35" t="s">
        <v>224</v>
      </c>
      <c r="B208" t="s">
        <v>1202</v>
      </c>
      <c r="C208" t="s">
        <v>1456</v>
      </c>
      <c r="D208" t="s">
        <v>1138</v>
      </c>
      <c r="E208" t="s">
        <v>1038</v>
      </c>
      <c r="F208" t="s">
        <v>1140</v>
      </c>
      <c r="G208">
        <v>36.6</v>
      </c>
      <c r="H208">
        <v>26</v>
      </c>
      <c r="I208">
        <v>262</v>
      </c>
      <c r="J208">
        <v>14.279</v>
      </c>
      <c r="K208" s="64">
        <v>45415</v>
      </c>
      <c r="L208">
        <v>39.893999999999998</v>
      </c>
      <c r="M208">
        <v>25.614999999999998</v>
      </c>
      <c r="N208">
        <v>28.067499999999999</v>
      </c>
      <c r="O208">
        <v>13.788500000000001</v>
      </c>
      <c r="P208" t="s">
        <v>1144</v>
      </c>
      <c r="Q208" t="s">
        <v>1150</v>
      </c>
      <c r="R208" t="s">
        <v>1161</v>
      </c>
      <c r="S208">
        <v>35.553600000000003</v>
      </c>
      <c r="T208">
        <v>21.2746</v>
      </c>
      <c r="U208" t="s">
        <v>1186</v>
      </c>
      <c r="V208" t="s">
        <v>1179</v>
      </c>
      <c r="W208">
        <v>112.5</v>
      </c>
      <c r="X208">
        <v>98.221000000000004</v>
      </c>
      <c r="Y208">
        <v>21</v>
      </c>
      <c r="AA208">
        <f>VLOOKUP(A208,Cover!A:R,18,0)</f>
        <v>7.2</v>
      </c>
      <c r="AB208" s="77">
        <f t="shared" si="129"/>
        <v>18.414999999999999</v>
      </c>
      <c r="AC208" s="77">
        <f t="shared" si="130"/>
        <v>6.5885000000000007</v>
      </c>
      <c r="AD208" s="77">
        <f t="shared" si="131"/>
        <v>46.159823532360761</v>
      </c>
      <c r="AE208" s="77">
        <f t="shared" si="132"/>
        <v>23.473768593569076</v>
      </c>
      <c r="AF208" s="77">
        <f t="shared" si="133"/>
        <v>14.0746</v>
      </c>
      <c r="AG208" s="77">
        <f t="shared" si="134"/>
        <v>39.586989784438146</v>
      </c>
      <c r="AH208" s="77">
        <f t="shared" si="135"/>
        <v>112.5</v>
      </c>
      <c r="AI208" s="77">
        <f t="shared" si="136"/>
        <v>14.279</v>
      </c>
      <c r="AJ208" s="77">
        <f t="shared" si="137"/>
        <v>98.221000000000004</v>
      </c>
      <c r="AK208" s="77">
        <f t="shared" si="138"/>
        <v>7.2</v>
      </c>
      <c r="AL208" s="77">
        <f t="shared" si="139"/>
        <v>91.021000000000001</v>
      </c>
      <c r="AM208" s="77">
        <f t="shared" si="140"/>
        <v>80.907555555555561</v>
      </c>
      <c r="AN208" t="str">
        <f t="shared" si="172"/>
        <v/>
      </c>
      <c r="AO208" t="s">
        <v>1146</v>
      </c>
      <c r="AP208" t="str">
        <f t="shared" si="128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3"/>
        <v>DDm125-33</v>
      </c>
    </row>
    <row r="209" spans="1:53">
      <c r="A209" s="35" t="s">
        <v>225</v>
      </c>
      <c r="B209" t="s">
        <v>1235</v>
      </c>
      <c r="C209" t="s">
        <v>1457</v>
      </c>
      <c r="D209" t="s">
        <v>1181</v>
      </c>
      <c r="E209" t="s">
        <v>1010</v>
      </c>
      <c r="F209" t="s">
        <v>1140</v>
      </c>
      <c r="G209">
        <v>36.6</v>
      </c>
      <c r="H209">
        <v>37</v>
      </c>
      <c r="I209">
        <v>466</v>
      </c>
      <c r="J209">
        <v>25.396999999999998</v>
      </c>
      <c r="K209" s="64">
        <v>45415</v>
      </c>
      <c r="L209">
        <v>57.447360000000003</v>
      </c>
      <c r="M209">
        <v>32.050359999999998</v>
      </c>
      <c r="N209">
        <v>39.109200000000001</v>
      </c>
      <c r="O209">
        <v>13.712199999999999</v>
      </c>
      <c r="P209" t="s">
        <v>1141</v>
      </c>
      <c r="Q209" t="s">
        <v>1150</v>
      </c>
      <c r="R209" t="s">
        <v>1161</v>
      </c>
      <c r="S209">
        <v>53.330399999999997</v>
      </c>
      <c r="T209">
        <v>27.933399999999999</v>
      </c>
      <c r="U209" t="s">
        <v>1229</v>
      </c>
      <c r="V209" t="s">
        <v>1458</v>
      </c>
      <c r="W209">
        <v>84.375</v>
      </c>
      <c r="X209">
        <v>58.978000000000002</v>
      </c>
      <c r="Y209">
        <v>69</v>
      </c>
      <c r="AA209">
        <f>VLOOKUP(A209,Cover!A:R,18,0)</f>
        <v>3.7</v>
      </c>
      <c r="AB209" s="77">
        <f t="shared" si="129"/>
        <v>28.350359999999998</v>
      </c>
      <c r="AC209" s="77">
        <f t="shared" si="130"/>
        <v>10.0122</v>
      </c>
      <c r="AD209" s="77">
        <f t="shared" si="131"/>
        <v>49.350152905198769</v>
      </c>
      <c r="AE209" s="77">
        <f t="shared" si="132"/>
        <v>25.600625939676597</v>
      </c>
      <c r="AF209" s="77">
        <f t="shared" si="133"/>
        <v>24.2334</v>
      </c>
      <c r="AG209" s="77">
        <f t="shared" si="134"/>
        <v>45.440124206831378</v>
      </c>
      <c r="AH209" s="77">
        <f t="shared" si="135"/>
        <v>84.375</v>
      </c>
      <c r="AI209" s="77">
        <f t="shared" si="136"/>
        <v>25.396999999999998</v>
      </c>
      <c r="AJ209" s="77">
        <f t="shared" si="137"/>
        <v>58.978000000000002</v>
      </c>
      <c r="AK209" s="77">
        <f t="shared" si="138"/>
        <v>3.7</v>
      </c>
      <c r="AL209" s="77">
        <f t="shared" si="139"/>
        <v>55.277999999999999</v>
      </c>
      <c r="AM209" s="77">
        <f t="shared" si="140"/>
        <v>65.51466666666667</v>
      </c>
      <c r="AN209" t="str">
        <f t="shared" si="172"/>
        <v/>
      </c>
      <c r="AO209" t="s">
        <v>1146</v>
      </c>
      <c r="AP209" t="str">
        <f t="shared" ref="AP209:AP254" si="174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3"/>
        <v>DDm125-33</v>
      </c>
    </row>
    <row r="210" spans="1:53">
      <c r="A210" s="35" t="s">
        <v>226</v>
      </c>
      <c r="B210" t="s">
        <v>1176</v>
      </c>
      <c r="C210" t="s">
        <v>1459</v>
      </c>
      <c r="D210" t="s">
        <v>1133</v>
      </c>
      <c r="E210" t="s">
        <v>1028</v>
      </c>
      <c r="F210" t="s">
        <v>1140</v>
      </c>
      <c r="G210">
        <v>36.6</v>
      </c>
      <c r="H210">
        <v>35</v>
      </c>
      <c r="I210">
        <v>518</v>
      </c>
      <c r="J210">
        <v>28.231000000000002</v>
      </c>
      <c r="K210" s="64">
        <v>45415</v>
      </c>
      <c r="L210">
        <v>54.255839999999999</v>
      </c>
      <c r="M210">
        <v>26.024840000000001</v>
      </c>
      <c r="N210">
        <v>35.119799999999998</v>
      </c>
      <c r="O210">
        <v>6.8887999999999998</v>
      </c>
      <c r="P210" t="s">
        <v>1141</v>
      </c>
      <c r="Q210" t="s">
        <v>1150</v>
      </c>
      <c r="R210" t="s">
        <v>1161</v>
      </c>
      <c r="S210">
        <v>53.330399999999997</v>
      </c>
      <c r="T210">
        <v>25.099399999999999</v>
      </c>
      <c r="U210" t="s">
        <v>1243</v>
      </c>
      <c r="V210" t="s">
        <v>1347</v>
      </c>
      <c r="W210">
        <v>63</v>
      </c>
      <c r="X210">
        <v>34.768999999999998</v>
      </c>
      <c r="Y210">
        <v>13</v>
      </c>
      <c r="Z210" t="s">
        <v>1364</v>
      </c>
      <c r="AA210">
        <f>VLOOKUP(A210,Cover!A:R,18,0)</f>
        <v>3.5</v>
      </c>
      <c r="AB210" s="77">
        <f t="shared" si="129"/>
        <v>22.524840000000001</v>
      </c>
      <c r="AC210" s="77">
        <f t="shared" si="130"/>
        <v>3.3887999999999998</v>
      </c>
      <c r="AD210" s="77">
        <f t="shared" si="131"/>
        <v>41.515973211363054</v>
      </c>
      <c r="AE210" s="77">
        <f t="shared" si="132"/>
        <v>9.6492576836997941</v>
      </c>
      <c r="AF210" s="77">
        <f t="shared" si="133"/>
        <v>21.599399999999999</v>
      </c>
      <c r="AG210" s="77">
        <f t="shared" si="134"/>
        <v>40.501102560640831</v>
      </c>
      <c r="AH210" s="77">
        <f t="shared" si="135"/>
        <v>63</v>
      </c>
      <c r="AI210" s="77">
        <f t="shared" si="136"/>
        <v>28.231000000000002</v>
      </c>
      <c r="AJ210" s="77">
        <f t="shared" si="137"/>
        <v>34.768999999999998</v>
      </c>
      <c r="AK210" s="77">
        <f t="shared" si="138"/>
        <v>3.5</v>
      </c>
      <c r="AL210" s="77">
        <f t="shared" si="139"/>
        <v>31.268999999999998</v>
      </c>
      <c r="AM210" s="77">
        <f t="shared" si="140"/>
        <v>49.633333333333333</v>
      </c>
      <c r="AN210" t="str">
        <f t="shared" si="172"/>
        <v>Capped</v>
      </c>
      <c r="AO210" t="s">
        <v>1146</v>
      </c>
      <c r="AP210" t="str">
        <f t="shared" si="174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3"/>
        <v>DDm125-33</v>
      </c>
    </row>
    <row r="211" spans="1:53">
      <c r="A211" s="35" t="s">
        <v>227</v>
      </c>
      <c r="B211" t="s">
        <v>1159</v>
      </c>
      <c r="C211" t="s">
        <v>1159</v>
      </c>
      <c r="D211" t="s">
        <v>1133</v>
      </c>
      <c r="E211" t="s">
        <v>826</v>
      </c>
      <c r="F211" t="s">
        <v>1149</v>
      </c>
      <c r="G211">
        <v>75</v>
      </c>
      <c r="H211">
        <v>18</v>
      </c>
      <c r="I211">
        <v>570</v>
      </c>
      <c r="J211">
        <v>31.065000000000001</v>
      </c>
      <c r="K211" s="64">
        <v>44643.354166666701</v>
      </c>
      <c r="L211">
        <v>55.59</v>
      </c>
      <c r="M211">
        <v>24.524999999999999</v>
      </c>
      <c r="N211">
        <v>48.232500000000002</v>
      </c>
      <c r="O211">
        <v>17.1675</v>
      </c>
      <c r="P211" t="s">
        <v>1141</v>
      </c>
      <c r="Q211" t="s">
        <v>1150</v>
      </c>
      <c r="R211" t="s">
        <v>1157</v>
      </c>
      <c r="S211">
        <v>34.279200000000003</v>
      </c>
      <c r="T211">
        <v>3.2141999999999999</v>
      </c>
      <c r="U211" t="s">
        <v>1141</v>
      </c>
      <c r="V211" t="s">
        <v>1331</v>
      </c>
      <c r="W211">
        <v>105</v>
      </c>
      <c r="X211">
        <v>73.935000000000002</v>
      </c>
      <c r="Y211">
        <v>3</v>
      </c>
      <c r="Z211" t="s">
        <v>8</v>
      </c>
      <c r="AA211">
        <f>VLOOKUP(A211,Cover!A:R,18,0)</f>
        <v>0</v>
      </c>
      <c r="AB211" s="77">
        <f t="shared" si="129"/>
        <v>24.524999999999999</v>
      </c>
      <c r="AC211" s="77">
        <f t="shared" si="130"/>
        <v>17.1675</v>
      </c>
      <c r="AD211" s="77">
        <f t="shared" si="131"/>
        <v>44.117647058823522</v>
      </c>
      <c r="AE211" s="77">
        <f t="shared" si="132"/>
        <v>35.593220338983052</v>
      </c>
      <c r="AF211" s="77">
        <f t="shared" si="133"/>
        <v>3.2141999999999999</v>
      </c>
      <c r="AG211" s="77">
        <f t="shared" si="134"/>
        <v>9.3765315409927865</v>
      </c>
      <c r="AH211" s="77">
        <f t="shared" si="135"/>
        <v>105</v>
      </c>
      <c r="AI211" s="77">
        <f t="shared" si="136"/>
        <v>31.065000000000001</v>
      </c>
      <c r="AJ211" s="77">
        <f t="shared" si="137"/>
        <v>73.935000000000002</v>
      </c>
      <c r="AK211" s="77">
        <f t="shared" si="138"/>
        <v>0</v>
      </c>
      <c r="AL211" s="77">
        <f t="shared" si="139"/>
        <v>73.935000000000002</v>
      </c>
      <c r="AM211" s="77">
        <f t="shared" si="140"/>
        <v>70.414285714285711</v>
      </c>
      <c r="AN211" t="str">
        <f t="shared" si="172"/>
        <v>Capped</v>
      </c>
      <c r="AO211" t="s">
        <v>1146</v>
      </c>
      <c r="AP211" t="str">
        <f t="shared" si="174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3"/>
        <v>DDm100-27</v>
      </c>
    </row>
    <row r="212" spans="1:53">
      <c r="A212" s="35" t="s">
        <v>228</v>
      </c>
      <c r="B212" t="s">
        <v>1202</v>
      </c>
      <c r="C212" t="s">
        <v>1460</v>
      </c>
      <c r="D212" t="s">
        <v>1138</v>
      </c>
      <c r="E212" t="s">
        <v>889</v>
      </c>
      <c r="F212" t="s">
        <v>1416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1144</v>
      </c>
      <c r="Q212" t="s">
        <v>1150</v>
      </c>
      <c r="R212" t="s">
        <v>1206</v>
      </c>
      <c r="S212">
        <v>5.2271999999999998</v>
      </c>
      <c r="T212">
        <v>0.2132</v>
      </c>
      <c r="U212" t="s">
        <v>1141</v>
      </c>
      <c r="V212" t="s">
        <v>1158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29"/>
        <v>8.1532</v>
      </c>
      <c r="AC212" s="77">
        <f t="shared" si="130"/>
        <v>8.1750000000000007</v>
      </c>
      <c r="AD212" s="77">
        <f t="shared" si="131"/>
        <v>61.920529801324513</v>
      </c>
      <c r="AE212" s="77">
        <f t="shared" si="132"/>
        <v>61.983471074380169</v>
      </c>
      <c r="AF212" s="77">
        <f t="shared" si="133"/>
        <v>0.2132</v>
      </c>
      <c r="AG212" s="77">
        <f t="shared" si="134"/>
        <v>4.0786654423018058</v>
      </c>
      <c r="AH212" s="77">
        <f t="shared" si="135"/>
        <v>45</v>
      </c>
      <c r="AI212" s="77">
        <f t="shared" si="136"/>
        <v>5.0140000000000002</v>
      </c>
      <c r="AJ212" s="77">
        <f t="shared" si="137"/>
        <v>39.985999999999997</v>
      </c>
      <c r="AK212" s="77">
        <f t="shared" si="138"/>
        <v>0</v>
      </c>
      <c r="AL212" s="77">
        <f t="shared" si="139"/>
        <v>39.985999999999997</v>
      </c>
      <c r="AM212" s="77">
        <f t="shared" si="140"/>
        <v>88.85777777777777</v>
      </c>
      <c r="AN212" t="str">
        <f t="shared" si="172"/>
        <v/>
      </c>
      <c r="AO212" t="s">
        <v>1146</v>
      </c>
      <c r="AP212" t="str">
        <f t="shared" si="174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3"/>
        <v>2DDm50-13</v>
      </c>
    </row>
    <row r="213" spans="1:53">
      <c r="A213" s="35" t="s">
        <v>229</v>
      </c>
      <c r="B213" t="s">
        <v>1188</v>
      </c>
      <c r="C213" t="s">
        <v>1461</v>
      </c>
      <c r="D213" t="s">
        <v>1138</v>
      </c>
      <c r="E213" t="s">
        <v>868</v>
      </c>
      <c r="F213" t="s">
        <v>1232</v>
      </c>
      <c r="G213">
        <v>55</v>
      </c>
      <c r="H213">
        <v>15</v>
      </c>
      <c r="I213">
        <v>240</v>
      </c>
      <c r="J213">
        <v>13.08</v>
      </c>
      <c r="K213" s="64">
        <v>45415</v>
      </c>
      <c r="L213">
        <v>33.572000000000003</v>
      </c>
      <c r="M213">
        <v>20.492000000000001</v>
      </c>
      <c r="N213">
        <v>20.164999999999999</v>
      </c>
      <c r="O213">
        <v>7.085</v>
      </c>
      <c r="P213" t="s">
        <v>1144</v>
      </c>
      <c r="Q213" t="s">
        <v>1150</v>
      </c>
      <c r="R213" t="s">
        <v>1161</v>
      </c>
      <c r="S213">
        <v>35.553600000000003</v>
      </c>
      <c r="T213">
        <v>22.473600000000001</v>
      </c>
      <c r="U213" t="s">
        <v>1141</v>
      </c>
      <c r="V213" t="s">
        <v>1158</v>
      </c>
      <c r="W213">
        <v>45</v>
      </c>
      <c r="X213">
        <v>31.92</v>
      </c>
      <c r="Y213">
        <v>38</v>
      </c>
      <c r="AA213">
        <f>VLOOKUP(A213,Cover!A:R,18,0)</f>
        <v>2</v>
      </c>
      <c r="AB213" s="77">
        <f t="shared" ref="AB213:AB267" si="175">M213-AA213</f>
        <v>18.492000000000001</v>
      </c>
      <c r="AC213" s="77">
        <f t="shared" ref="AC213:AC267" si="176">O213-AA213</f>
        <v>5.085</v>
      </c>
      <c r="AD213" s="77">
        <f t="shared" ref="AD213:AD267" si="177">AB213/L213%</f>
        <v>55.081615632074346</v>
      </c>
      <c r="AE213" s="77">
        <f t="shared" ref="AE213:AE267" si="178">AC213/N213%</f>
        <v>25.216960079345402</v>
      </c>
      <c r="AF213" s="77">
        <f t="shared" ref="AF213:AF267" si="179">T213-AA213</f>
        <v>20.473600000000001</v>
      </c>
      <c r="AG213" s="77">
        <f t="shared" ref="AG213:AG267" si="180">AF213/S213%</f>
        <v>57.585167184195129</v>
      </c>
      <c r="AH213" s="77">
        <f t="shared" ref="AH213:AH267" si="181">W213</f>
        <v>45</v>
      </c>
      <c r="AI213" s="77">
        <f t="shared" ref="AI213:AI267" si="182">J213</f>
        <v>13.08</v>
      </c>
      <c r="AJ213" s="77">
        <f t="shared" ref="AJ213:AJ267" si="183">AH213-AI213</f>
        <v>31.92</v>
      </c>
      <c r="AK213" s="77">
        <f t="shared" ref="AK213:AK267" si="184">AA213</f>
        <v>2</v>
      </c>
      <c r="AL213" s="77">
        <f t="shared" ref="AL213:AL267" si="185">AJ213-AK213</f>
        <v>29.92</v>
      </c>
      <c r="AM213" s="77">
        <f t="shared" ref="AM213:AM267" si="186">AL213/AH213%</f>
        <v>66.488888888888894</v>
      </c>
      <c r="AN213" t="str">
        <f t="shared" si="172"/>
        <v/>
      </c>
      <c r="AO213" t="s">
        <v>1146</v>
      </c>
      <c r="AP213" t="str">
        <f t="shared" si="174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3"/>
        <v>DDm125-33</v>
      </c>
    </row>
    <row r="214" spans="1:53">
      <c r="A214" s="35" t="s">
        <v>230</v>
      </c>
      <c r="B214" t="s">
        <v>1136</v>
      </c>
      <c r="C214" t="s">
        <v>1462</v>
      </c>
      <c r="D214" t="s">
        <v>1138</v>
      </c>
      <c r="E214" t="s">
        <v>962</v>
      </c>
      <c r="F214" t="s">
        <v>1140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1144</v>
      </c>
      <c r="Q214" t="s">
        <v>1150</v>
      </c>
      <c r="R214" t="s">
        <v>1330</v>
      </c>
      <c r="S214">
        <v>14.428800000000001</v>
      </c>
      <c r="T214">
        <v>7.3437999999999999</v>
      </c>
      <c r="U214" t="s">
        <v>1141</v>
      </c>
      <c r="V214" t="s">
        <v>1318</v>
      </c>
      <c r="W214">
        <v>19.5</v>
      </c>
      <c r="X214">
        <v>12.414999999999999</v>
      </c>
      <c r="Y214">
        <v>30</v>
      </c>
      <c r="AA214">
        <f>VLOOKUP(A214,Cover!A:R,18,0)</f>
        <v>2</v>
      </c>
      <c r="AB214" s="77">
        <f t="shared" si="175"/>
        <v>5.27684</v>
      </c>
      <c r="AC214" s="77">
        <f t="shared" si="176"/>
        <v>-0.39769999999999994</v>
      </c>
      <c r="AD214" s="77">
        <f t="shared" si="177"/>
        <v>36.742088757429407</v>
      </c>
      <c r="AE214" s="77">
        <f t="shared" si="178"/>
        <v>-4.577947118207037</v>
      </c>
      <c r="AF214" s="77">
        <f t="shared" si="179"/>
        <v>5.3437999999999999</v>
      </c>
      <c r="AG214" s="77">
        <f t="shared" si="180"/>
        <v>37.035650920381457</v>
      </c>
      <c r="AH214" s="77">
        <f t="shared" si="181"/>
        <v>19.5</v>
      </c>
      <c r="AI214" s="77">
        <f t="shared" si="182"/>
        <v>7.085</v>
      </c>
      <c r="AJ214" s="77">
        <f t="shared" si="183"/>
        <v>12.414999999999999</v>
      </c>
      <c r="AK214" s="77">
        <f t="shared" si="184"/>
        <v>2</v>
      </c>
      <c r="AL214" s="77">
        <f t="shared" si="185"/>
        <v>10.414999999999999</v>
      </c>
      <c r="AM214" s="77">
        <f t="shared" si="186"/>
        <v>53.410256410256402</v>
      </c>
      <c r="AN214" t="str">
        <f t="shared" si="172"/>
        <v/>
      </c>
      <c r="AO214" t="s">
        <v>1146</v>
      </c>
      <c r="AP214" t="str">
        <f t="shared" si="174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3"/>
        <v>DDm85-21</v>
      </c>
    </row>
    <row r="215" spans="1:53">
      <c r="A215" s="35" t="s">
        <v>231</v>
      </c>
      <c r="B215" t="s">
        <v>1188</v>
      </c>
      <c r="C215" t="s">
        <v>1463</v>
      </c>
      <c r="D215" t="s">
        <v>1138</v>
      </c>
      <c r="E215" t="s">
        <v>870</v>
      </c>
      <c r="F215" t="s">
        <v>1140</v>
      </c>
      <c r="G215">
        <v>36.6</v>
      </c>
      <c r="H215">
        <v>12</v>
      </c>
      <c r="I215">
        <v>215</v>
      </c>
      <c r="J215">
        <v>11.717499999999999</v>
      </c>
      <c r="K215" s="64">
        <v>45415</v>
      </c>
      <c r="L215">
        <v>17.553360000000001</v>
      </c>
      <c r="M215">
        <v>5.8358600000000003</v>
      </c>
      <c r="N215">
        <v>8.8617000000000008</v>
      </c>
      <c r="O215">
        <v>-2.8557999999999999</v>
      </c>
      <c r="P215" t="s">
        <v>1144</v>
      </c>
      <c r="Q215" t="s">
        <v>1150</v>
      </c>
      <c r="R215" t="s">
        <v>1154</v>
      </c>
      <c r="S215">
        <v>21.1248</v>
      </c>
      <c r="T215">
        <v>9.40730000000001</v>
      </c>
      <c r="U215" t="s">
        <v>1160</v>
      </c>
      <c r="V215" t="s">
        <v>1464</v>
      </c>
      <c r="W215">
        <v>18</v>
      </c>
      <c r="X215">
        <v>6.2824999999999998</v>
      </c>
      <c r="Y215">
        <v>22</v>
      </c>
      <c r="AA215">
        <f>VLOOKUP(A215,Cover!A:R,18,0)</f>
        <v>1</v>
      </c>
      <c r="AB215" s="77">
        <f t="shared" si="175"/>
        <v>4.8358600000000003</v>
      </c>
      <c r="AC215" s="77">
        <f t="shared" si="176"/>
        <v>-3.8557999999999999</v>
      </c>
      <c r="AD215" s="77">
        <f t="shared" si="177"/>
        <v>27.549483403747203</v>
      </c>
      <c r="AE215" s="77">
        <f t="shared" si="178"/>
        <v>-43.51083877811255</v>
      </c>
      <c r="AF215" s="77">
        <f t="shared" si="179"/>
        <v>8.40730000000001</v>
      </c>
      <c r="AG215" s="77">
        <f t="shared" si="180"/>
        <v>39.798246610618847</v>
      </c>
      <c r="AH215" s="77">
        <f t="shared" si="181"/>
        <v>18</v>
      </c>
      <c r="AI215" s="77">
        <f t="shared" si="182"/>
        <v>11.717499999999999</v>
      </c>
      <c r="AJ215" s="77">
        <f t="shared" si="183"/>
        <v>6.2825000000000006</v>
      </c>
      <c r="AK215" s="77">
        <f t="shared" si="184"/>
        <v>1</v>
      </c>
      <c r="AL215" s="77">
        <f t="shared" si="185"/>
        <v>5.2825000000000006</v>
      </c>
      <c r="AM215" s="77">
        <f t="shared" si="186"/>
        <v>29.347222222222229</v>
      </c>
      <c r="AN215" t="str">
        <f t="shared" si="172"/>
        <v/>
      </c>
      <c r="AO215" t="s">
        <v>1146</v>
      </c>
      <c r="AP215" t="str">
        <f t="shared" si="174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3"/>
        <v>DDm100-25</v>
      </c>
    </row>
    <row r="216" spans="1:53">
      <c r="A216" s="35" t="s">
        <v>232</v>
      </c>
      <c r="B216" t="s">
        <v>1159</v>
      </c>
      <c r="C216" t="s">
        <v>1159</v>
      </c>
      <c r="D216" t="s">
        <v>1181</v>
      </c>
      <c r="E216" t="s">
        <v>827</v>
      </c>
      <c r="F216" t="s">
        <v>1140</v>
      </c>
      <c r="G216">
        <v>36.6</v>
      </c>
      <c r="H216">
        <v>29</v>
      </c>
      <c r="I216">
        <v>225</v>
      </c>
      <c r="J216">
        <v>12.262499999999999</v>
      </c>
      <c r="K216" s="64">
        <v>45415</v>
      </c>
      <c r="L216">
        <v>44.681280000000001</v>
      </c>
      <c r="M216">
        <v>32.418779999999998</v>
      </c>
      <c r="N216">
        <v>31.326599999999999</v>
      </c>
      <c r="O216">
        <v>19.0641</v>
      </c>
      <c r="P216" t="s">
        <v>1141</v>
      </c>
      <c r="Q216" t="s">
        <v>1150</v>
      </c>
      <c r="R216" t="s">
        <v>1339</v>
      </c>
      <c r="S216">
        <v>39.9816</v>
      </c>
      <c r="T216">
        <v>27.719100000000001</v>
      </c>
      <c r="U216" t="s">
        <v>1186</v>
      </c>
      <c r="V216" t="s">
        <v>1465</v>
      </c>
      <c r="W216">
        <v>187.5</v>
      </c>
      <c r="X216">
        <v>175.23750000000001</v>
      </c>
      <c r="Y216">
        <v>104</v>
      </c>
      <c r="AA216">
        <f>VLOOKUP(A216,Cover!A:R,18,0)</f>
        <v>4</v>
      </c>
      <c r="AB216" s="77">
        <f t="shared" si="175"/>
        <v>28.418779999999998</v>
      </c>
      <c r="AC216" s="77">
        <f t="shared" si="176"/>
        <v>15.0641</v>
      </c>
      <c r="AD216" s="77">
        <f t="shared" si="177"/>
        <v>63.603325598550441</v>
      </c>
      <c r="AE216" s="77">
        <f t="shared" si="178"/>
        <v>48.087248536387605</v>
      </c>
      <c r="AF216" s="77">
        <f t="shared" si="179"/>
        <v>23.719100000000001</v>
      </c>
      <c r="AG216" s="77">
        <f t="shared" si="180"/>
        <v>59.325039518178365</v>
      </c>
      <c r="AH216" s="368">
        <f>AVERAGE(W216:W218)</f>
        <v>187.5</v>
      </c>
      <c r="AI216" s="368">
        <f>SUM(J216:J218)</f>
        <v>98.263499999999993</v>
      </c>
      <c r="AJ216" s="368">
        <f t="shared" si="183"/>
        <v>89.236500000000007</v>
      </c>
      <c r="AK216" s="368">
        <f t="shared" si="184"/>
        <v>4</v>
      </c>
      <c r="AL216" s="368">
        <f t="shared" si="185"/>
        <v>85.236500000000007</v>
      </c>
      <c r="AM216" s="369">
        <f t="shared" si="186"/>
        <v>45.459466666666671</v>
      </c>
      <c r="AN216" t="str">
        <f t="shared" si="172"/>
        <v/>
      </c>
      <c r="AO216" t="s">
        <v>1146</v>
      </c>
      <c r="AP216" t="str">
        <f t="shared" si="174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3"/>
        <v>DDm125-25</v>
      </c>
    </row>
    <row r="217" spans="1:53">
      <c r="A217" s="35" t="s">
        <v>233</v>
      </c>
      <c r="B217" t="s">
        <v>1159</v>
      </c>
      <c r="C217" t="s">
        <v>1159</v>
      </c>
      <c r="D217" t="s">
        <v>1181</v>
      </c>
      <c r="E217" t="s">
        <v>827</v>
      </c>
      <c r="F217" t="s">
        <v>1140</v>
      </c>
      <c r="G217">
        <v>36.6</v>
      </c>
      <c r="H217">
        <v>45</v>
      </c>
      <c r="I217">
        <v>798</v>
      </c>
      <c r="J217">
        <v>43.491</v>
      </c>
      <c r="K217" s="64">
        <v>45415</v>
      </c>
      <c r="L217">
        <v>70.213440000000006</v>
      </c>
      <c r="M217">
        <v>26.722439999999999</v>
      </c>
      <c r="N217">
        <v>52.886800000000001</v>
      </c>
      <c r="O217">
        <v>9.3957999999999995</v>
      </c>
      <c r="P217" t="s">
        <v>1155</v>
      </c>
      <c r="Q217" t="s">
        <v>1150</v>
      </c>
      <c r="R217" t="s">
        <v>1210</v>
      </c>
      <c r="S217">
        <v>56.246400000000101</v>
      </c>
      <c r="T217">
        <v>12.755400000000099</v>
      </c>
      <c r="U217" t="s">
        <v>1186</v>
      </c>
      <c r="V217" t="s">
        <v>1465</v>
      </c>
      <c r="W217">
        <v>187.5</v>
      </c>
      <c r="X217">
        <v>144.00899999999999</v>
      </c>
      <c r="Y217">
        <v>104</v>
      </c>
      <c r="AA217">
        <f>VLOOKUP(A217,Cover!A:R,18,0)</f>
        <v>0</v>
      </c>
      <c r="AB217" s="77">
        <f t="shared" si="175"/>
        <v>26.722439999999999</v>
      </c>
      <c r="AC217" s="77">
        <f t="shared" si="176"/>
        <v>9.3957999999999995</v>
      </c>
      <c r="AD217" s="77">
        <f t="shared" si="177"/>
        <v>38.058867362146046</v>
      </c>
      <c r="AE217" s="77">
        <f t="shared" si="178"/>
        <v>17.765869744435282</v>
      </c>
      <c r="AF217" s="77">
        <f t="shared" si="179"/>
        <v>12.755400000000099</v>
      </c>
      <c r="AG217" s="77">
        <f t="shared" si="180"/>
        <v>22.677718040621404</v>
      </c>
      <c r="AH217" s="368"/>
      <c r="AI217" s="368"/>
      <c r="AJ217" s="368"/>
      <c r="AK217" s="368"/>
      <c r="AL217" s="368"/>
      <c r="AM217" s="369"/>
      <c r="AN217" t="str">
        <f t="shared" si="172"/>
        <v/>
      </c>
      <c r="AO217" t="s">
        <v>1146</v>
      </c>
      <c r="AP217" t="str">
        <f t="shared" si="174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3"/>
        <v>DDm100-33</v>
      </c>
    </row>
    <row r="218" spans="1:53">
      <c r="A218" s="35" t="s">
        <v>234</v>
      </c>
      <c r="B218" t="s">
        <v>1159</v>
      </c>
      <c r="C218" t="s">
        <v>1159</v>
      </c>
      <c r="D218" t="s">
        <v>1181</v>
      </c>
      <c r="E218" t="s">
        <v>827</v>
      </c>
      <c r="F218" t="s">
        <v>1140</v>
      </c>
      <c r="G218">
        <v>36.6</v>
      </c>
      <c r="H218">
        <v>63</v>
      </c>
      <c r="I218">
        <v>780</v>
      </c>
      <c r="J218">
        <v>42.51</v>
      </c>
      <c r="K218" s="64">
        <v>45415</v>
      </c>
      <c r="L218">
        <v>98.937119999999993</v>
      </c>
      <c r="M218">
        <v>56.427120000000002</v>
      </c>
      <c r="N218">
        <v>90.971400000000003</v>
      </c>
      <c r="O218">
        <v>48.461399999999998</v>
      </c>
      <c r="P218" t="s">
        <v>1141</v>
      </c>
      <c r="Q218" t="s">
        <v>1150</v>
      </c>
      <c r="R218" t="s">
        <v>1161</v>
      </c>
      <c r="S218">
        <v>53.330399999999997</v>
      </c>
      <c r="T218">
        <v>10.820399999999999</v>
      </c>
      <c r="U218" t="s">
        <v>1186</v>
      </c>
      <c r="V218" t="s">
        <v>1465</v>
      </c>
      <c r="W218">
        <v>187.5</v>
      </c>
      <c r="X218">
        <v>144.99</v>
      </c>
      <c r="Y218">
        <v>104</v>
      </c>
      <c r="AA218">
        <f>VLOOKUP(A218,Cover!A:R,18,0)</f>
        <v>0</v>
      </c>
      <c r="AB218" s="77">
        <f t="shared" si="175"/>
        <v>56.427120000000002</v>
      </c>
      <c r="AC218" s="77">
        <f t="shared" si="176"/>
        <v>48.461399999999998</v>
      </c>
      <c r="AD218" s="77">
        <f t="shared" si="177"/>
        <v>57.033315705975681</v>
      </c>
      <c r="AE218" s="77">
        <f t="shared" si="178"/>
        <v>53.271028037383175</v>
      </c>
      <c r="AF218" s="77">
        <f t="shared" si="179"/>
        <v>10.820399999999999</v>
      </c>
      <c r="AG218" s="77">
        <f t="shared" si="180"/>
        <v>20.28936591512533</v>
      </c>
      <c r="AH218" s="368"/>
      <c r="AI218" s="368"/>
      <c r="AJ218" s="368"/>
      <c r="AK218" s="368"/>
      <c r="AL218" s="368"/>
      <c r="AM218" s="369"/>
      <c r="AN218" t="str">
        <f t="shared" si="172"/>
        <v/>
      </c>
      <c r="AO218" t="s">
        <v>1146</v>
      </c>
      <c r="AP218" t="str">
        <f t="shared" si="174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3"/>
        <v>DDm125-33</v>
      </c>
    </row>
    <row r="219" spans="1:53">
      <c r="A219" s="35" t="s">
        <v>235</v>
      </c>
      <c r="B219" t="s">
        <v>1159</v>
      </c>
      <c r="C219" t="s">
        <v>1159</v>
      </c>
      <c r="D219" t="s">
        <v>1181</v>
      </c>
      <c r="E219" t="s">
        <v>828</v>
      </c>
      <c r="F219" t="s">
        <v>1140</v>
      </c>
      <c r="G219">
        <v>36.6</v>
      </c>
      <c r="H219">
        <v>63</v>
      </c>
      <c r="I219">
        <v>821</v>
      </c>
      <c r="J219">
        <v>44.744500000000002</v>
      </c>
      <c r="K219" s="64">
        <v>45415</v>
      </c>
      <c r="L219">
        <v>98.937119999999993</v>
      </c>
      <c r="M219">
        <v>54.192619999999998</v>
      </c>
      <c r="N219">
        <v>79.390150000000006</v>
      </c>
      <c r="O219">
        <v>34.645650000000003</v>
      </c>
      <c r="P219" t="s">
        <v>1160</v>
      </c>
      <c r="Q219" t="s">
        <v>1150</v>
      </c>
      <c r="R219" t="s">
        <v>1332</v>
      </c>
      <c r="S219">
        <v>72.144000000000005</v>
      </c>
      <c r="T219">
        <v>27.3995</v>
      </c>
      <c r="U219" t="s">
        <v>1190</v>
      </c>
      <c r="V219" t="s">
        <v>1466</v>
      </c>
      <c r="W219">
        <v>373.5</v>
      </c>
      <c r="X219">
        <v>328.75549999999998</v>
      </c>
      <c r="Y219">
        <v>94</v>
      </c>
      <c r="AA219">
        <f>VLOOKUP(A219,Cover!A:R,18,0)</f>
        <v>17.05</v>
      </c>
      <c r="AB219" s="77">
        <f t="shared" si="175"/>
        <v>37.142619999999994</v>
      </c>
      <c r="AC219" s="77">
        <f t="shared" si="176"/>
        <v>17.595650000000003</v>
      </c>
      <c r="AD219" s="77">
        <f t="shared" si="177"/>
        <v>37.541642610983622</v>
      </c>
      <c r="AE219" s="77">
        <f t="shared" si="178"/>
        <v>22.163517766372784</v>
      </c>
      <c r="AF219" s="77">
        <f t="shared" si="179"/>
        <v>10.349499999999999</v>
      </c>
      <c r="AG219" s="77">
        <f t="shared" si="180"/>
        <v>14.34561432690175</v>
      </c>
      <c r="AH219" s="368">
        <f>AVERAGE(W219:W222)</f>
        <v>373.5</v>
      </c>
      <c r="AI219" s="368">
        <f>SUM(J219:J222)</f>
        <v>187.48</v>
      </c>
      <c r="AJ219" s="368">
        <f t="shared" si="183"/>
        <v>186.02</v>
      </c>
      <c r="AK219" s="368">
        <f>SUM(AA219:AA222)</f>
        <v>45.1</v>
      </c>
      <c r="AL219" s="368">
        <f t="shared" si="185"/>
        <v>140.92000000000002</v>
      </c>
      <c r="AM219" s="369">
        <f t="shared" si="186"/>
        <v>37.729585006693448</v>
      </c>
      <c r="AN219" t="str">
        <f t="shared" si="172"/>
        <v/>
      </c>
      <c r="AO219" s="52" t="s">
        <v>1201</v>
      </c>
      <c r="AP219" t="str">
        <f t="shared" si="174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3"/>
        <v>DDm125-27</v>
      </c>
    </row>
    <row r="220" spans="1:53">
      <c r="A220" s="35" t="s">
        <v>236</v>
      </c>
      <c r="B220" t="s">
        <v>1159</v>
      </c>
      <c r="C220" t="s">
        <v>1159</v>
      </c>
      <c r="D220" t="s">
        <v>1181</v>
      </c>
      <c r="E220" t="s">
        <v>828</v>
      </c>
      <c r="F220" t="s">
        <v>1140</v>
      </c>
      <c r="G220">
        <v>36.6</v>
      </c>
      <c r="H220">
        <v>64</v>
      </c>
      <c r="I220">
        <v>809</v>
      </c>
      <c r="J220">
        <v>44.090499999999999</v>
      </c>
      <c r="K220" s="64">
        <v>45415</v>
      </c>
      <c r="L220">
        <v>100.53288000000001</v>
      </c>
      <c r="M220">
        <v>56.44238</v>
      </c>
      <c r="N220">
        <v>71.1661</v>
      </c>
      <c r="O220">
        <v>27.075600000000001</v>
      </c>
      <c r="P220" t="s">
        <v>1160</v>
      </c>
      <c r="Q220" t="s">
        <v>1150</v>
      </c>
      <c r="R220" t="s">
        <v>1161</v>
      </c>
      <c r="S220">
        <v>88.884000000000199</v>
      </c>
      <c r="T220">
        <v>44.793500000000201</v>
      </c>
      <c r="U220" t="s">
        <v>1190</v>
      </c>
      <c r="V220" t="s">
        <v>1466</v>
      </c>
      <c r="W220">
        <v>373.5</v>
      </c>
      <c r="X220">
        <v>329.40949999999998</v>
      </c>
      <c r="Y220">
        <v>94</v>
      </c>
      <c r="AA220">
        <f>VLOOKUP(A220,Cover!A:R,18,0)</f>
        <v>16.55</v>
      </c>
      <c r="AB220" s="77">
        <f t="shared" si="175"/>
        <v>39.892380000000003</v>
      </c>
      <c r="AC220" s="77">
        <f t="shared" si="176"/>
        <v>10.525600000000001</v>
      </c>
      <c r="AD220" s="77">
        <f t="shared" si="177"/>
        <v>39.680928269437821</v>
      </c>
      <c r="AE220" s="77">
        <f t="shared" si="178"/>
        <v>14.790188024916359</v>
      </c>
      <c r="AF220" s="77">
        <f t="shared" si="179"/>
        <v>28.2435000000002</v>
      </c>
      <c r="AG220" s="77">
        <f t="shared" si="180"/>
        <v>31.775685162684102</v>
      </c>
      <c r="AH220" s="368"/>
      <c r="AI220" s="368"/>
      <c r="AJ220" s="368"/>
      <c r="AK220" s="368"/>
      <c r="AL220" s="368"/>
      <c r="AM220" s="369"/>
      <c r="AN220" t="str">
        <f t="shared" si="172"/>
        <v/>
      </c>
      <c r="AO220" s="52" t="s">
        <v>1201</v>
      </c>
      <c r="AP220" t="str">
        <f t="shared" si="174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3"/>
        <v>DDm125-33</v>
      </c>
    </row>
    <row r="221" spans="1:53">
      <c r="A221" s="35" t="s">
        <v>237</v>
      </c>
      <c r="B221" t="s">
        <v>1159</v>
      </c>
      <c r="C221" t="s">
        <v>1159</v>
      </c>
      <c r="D221" t="s">
        <v>1181</v>
      </c>
      <c r="E221" t="s">
        <v>828</v>
      </c>
      <c r="F221" t="s">
        <v>1140</v>
      </c>
      <c r="G221">
        <v>36.6</v>
      </c>
      <c r="H221">
        <v>72</v>
      </c>
      <c r="I221">
        <v>905</v>
      </c>
      <c r="J221">
        <v>49.322499999999998</v>
      </c>
      <c r="K221" s="64">
        <v>45415</v>
      </c>
      <c r="L221">
        <v>113.29895999999999</v>
      </c>
      <c r="M221">
        <v>63.976460000000003</v>
      </c>
      <c r="N221">
        <v>76.223699999999994</v>
      </c>
      <c r="O221">
        <v>26.901199999999999</v>
      </c>
      <c r="P221" t="s">
        <v>1186</v>
      </c>
      <c r="Q221" t="s">
        <v>1150</v>
      </c>
      <c r="R221" t="s">
        <v>1161</v>
      </c>
      <c r="S221">
        <v>106.66079999999999</v>
      </c>
      <c r="T221">
        <v>57.338300000000103</v>
      </c>
      <c r="U221" t="s">
        <v>1190</v>
      </c>
      <c r="V221" t="s">
        <v>1466</v>
      </c>
      <c r="W221">
        <v>373.5</v>
      </c>
      <c r="X221">
        <v>324.17750000000001</v>
      </c>
      <c r="Y221">
        <v>94</v>
      </c>
      <c r="AA221">
        <f>VLOOKUP(A221,Cover!A:R,18,0)</f>
        <v>5.75</v>
      </c>
      <c r="AB221" s="77">
        <f t="shared" si="175"/>
        <v>58.226460000000003</v>
      </c>
      <c r="AC221" s="77">
        <f t="shared" si="176"/>
        <v>21.151199999999999</v>
      </c>
      <c r="AD221" s="77">
        <f t="shared" si="177"/>
        <v>51.39187508870338</v>
      </c>
      <c r="AE221" s="77">
        <f t="shared" si="178"/>
        <v>27.748849767198394</v>
      </c>
      <c r="AF221" s="77">
        <f t="shared" si="179"/>
        <v>51.588300000000103</v>
      </c>
      <c r="AG221" s="77">
        <f t="shared" si="180"/>
        <v>48.36669141802809</v>
      </c>
      <c r="AH221" s="368">
        <f>AVERAGE(W221:W222)</f>
        <v>373.5</v>
      </c>
      <c r="AI221" s="368">
        <f>SUM(J221:J222)</f>
        <v>98.644999999999996</v>
      </c>
      <c r="AJ221" s="368">
        <f>AH221-AI221</f>
        <v>274.85500000000002</v>
      </c>
      <c r="AK221" s="368">
        <f>SUM(AA221:AA222)</f>
        <v>11.5</v>
      </c>
      <c r="AL221" s="368">
        <f>AJ221-AK221</f>
        <v>263.35500000000002</v>
      </c>
      <c r="AM221" s="369">
        <f t="shared" si="186"/>
        <v>70.510040160642575</v>
      </c>
      <c r="AN221" t="str">
        <f t="shared" si="172"/>
        <v/>
      </c>
      <c r="AO221" t="s">
        <v>1146</v>
      </c>
      <c r="AP221" t="str">
        <f t="shared" si="174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3"/>
        <v>DDm125-33</v>
      </c>
    </row>
    <row r="222" spans="1:53">
      <c r="A222" s="35" t="s">
        <v>238</v>
      </c>
      <c r="B222" t="s">
        <v>1159</v>
      </c>
      <c r="C222" t="s">
        <v>1159</v>
      </c>
      <c r="D222" t="s">
        <v>1181</v>
      </c>
      <c r="E222" t="s">
        <v>828</v>
      </c>
      <c r="F222" t="s">
        <v>1140</v>
      </c>
      <c r="G222">
        <v>36.6</v>
      </c>
      <c r="H222">
        <v>72</v>
      </c>
      <c r="I222">
        <v>905</v>
      </c>
      <c r="J222">
        <v>49.322499999999998</v>
      </c>
      <c r="K222" s="64">
        <v>45415</v>
      </c>
      <c r="L222">
        <v>113.29895999999999</v>
      </c>
      <c r="M222">
        <v>63.976460000000003</v>
      </c>
      <c r="N222">
        <v>76.223699999999994</v>
      </c>
      <c r="O222">
        <v>26.901199999999999</v>
      </c>
      <c r="P222" t="s">
        <v>1186</v>
      </c>
      <c r="Q222" t="s">
        <v>1150</v>
      </c>
      <c r="R222" t="s">
        <v>1161</v>
      </c>
      <c r="S222">
        <v>106.66079999999999</v>
      </c>
      <c r="T222">
        <v>57.338300000000103</v>
      </c>
      <c r="U222" t="s">
        <v>1190</v>
      </c>
      <c r="V222" t="s">
        <v>1466</v>
      </c>
      <c r="W222">
        <v>373.5</v>
      </c>
      <c r="X222">
        <v>324.17750000000001</v>
      </c>
      <c r="Y222">
        <v>94</v>
      </c>
      <c r="AA222">
        <f>VLOOKUP(A222,Cover!A:R,18,0)</f>
        <v>5.75</v>
      </c>
      <c r="AB222" s="77">
        <f t="shared" si="175"/>
        <v>58.226460000000003</v>
      </c>
      <c r="AC222" s="77">
        <f t="shared" si="176"/>
        <v>21.151199999999999</v>
      </c>
      <c r="AD222" s="77">
        <f t="shared" si="177"/>
        <v>51.39187508870338</v>
      </c>
      <c r="AE222" s="77">
        <f t="shared" si="178"/>
        <v>27.748849767198394</v>
      </c>
      <c r="AF222" s="77">
        <f t="shared" si="179"/>
        <v>51.588300000000103</v>
      </c>
      <c r="AG222" s="77">
        <f t="shared" si="180"/>
        <v>48.36669141802809</v>
      </c>
      <c r="AH222" s="368"/>
      <c r="AI222" s="368"/>
      <c r="AJ222" s="368"/>
      <c r="AK222" s="368"/>
      <c r="AL222" s="368"/>
      <c r="AM222" s="369"/>
      <c r="AN222" t="str">
        <f t="shared" si="172"/>
        <v/>
      </c>
      <c r="AO222" t="s">
        <v>1146</v>
      </c>
      <c r="AP222" t="str">
        <f t="shared" si="174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3"/>
        <v>DDm125-33</v>
      </c>
    </row>
    <row r="223" spans="1:53">
      <c r="A223" s="35" t="s">
        <v>239</v>
      </c>
      <c r="B223" t="s">
        <v>1197</v>
      </c>
      <c r="C223" t="s">
        <v>1467</v>
      </c>
      <c r="D223" t="s">
        <v>1133</v>
      </c>
      <c r="E223" t="s">
        <v>925</v>
      </c>
      <c r="F223" t="s">
        <v>1140</v>
      </c>
      <c r="G223">
        <v>36.6</v>
      </c>
      <c r="H223">
        <v>12</v>
      </c>
      <c r="I223">
        <v>109</v>
      </c>
      <c r="J223">
        <v>5.9405000000000001</v>
      </c>
      <c r="K223" s="64">
        <v>45415</v>
      </c>
      <c r="L223">
        <v>17.553360000000001</v>
      </c>
      <c r="M223">
        <v>11.61286</v>
      </c>
      <c r="N223">
        <v>21.1569</v>
      </c>
      <c r="O223">
        <v>15.2164</v>
      </c>
      <c r="P223" t="s">
        <v>1141</v>
      </c>
      <c r="Q223" t="s">
        <v>1168</v>
      </c>
      <c r="R223" t="s">
        <v>1468</v>
      </c>
      <c r="S223">
        <v>12.9276</v>
      </c>
      <c r="T223">
        <v>6.9871000000000203</v>
      </c>
      <c r="U223" t="s">
        <v>1144</v>
      </c>
      <c r="V223" t="s">
        <v>1240</v>
      </c>
      <c r="W223">
        <v>11.25</v>
      </c>
      <c r="X223">
        <v>5.3094999999999999</v>
      </c>
      <c r="Y223">
        <v>1</v>
      </c>
      <c r="Z223" t="s">
        <v>8</v>
      </c>
      <c r="AA223">
        <f>VLOOKUP(A223,Cover!A:R,18,0)</f>
        <v>0</v>
      </c>
      <c r="AB223" s="77">
        <f t="shared" si="175"/>
        <v>11.61286</v>
      </c>
      <c r="AC223" s="77">
        <f t="shared" si="176"/>
        <v>15.2164</v>
      </c>
      <c r="AD223" s="77">
        <f t="shared" si="177"/>
        <v>66.157476403378041</v>
      </c>
      <c r="AE223" s="77">
        <f t="shared" si="178"/>
        <v>71.921689850592472</v>
      </c>
      <c r="AF223" s="77">
        <f t="shared" si="179"/>
        <v>6.9871000000000203</v>
      </c>
      <c r="AG223" s="77">
        <f t="shared" si="180"/>
        <v>54.047928463133296</v>
      </c>
      <c r="AH223" s="77">
        <f t="shared" si="181"/>
        <v>11.25</v>
      </c>
      <c r="AI223" s="77">
        <f t="shared" si="182"/>
        <v>5.9405000000000001</v>
      </c>
      <c r="AJ223" s="77">
        <f t="shared" si="183"/>
        <v>5.3094999999999999</v>
      </c>
      <c r="AK223" s="77">
        <f t="shared" si="184"/>
        <v>0</v>
      </c>
      <c r="AL223" s="77">
        <f t="shared" si="185"/>
        <v>5.3094999999999999</v>
      </c>
      <c r="AM223" s="77">
        <f t="shared" si="186"/>
        <v>47.195555555555551</v>
      </c>
      <c r="AN223" t="str">
        <f t="shared" si="172"/>
        <v>Capped</v>
      </c>
      <c r="AO223" t="s">
        <v>1146</v>
      </c>
      <c r="AP223" t="str">
        <f t="shared" si="174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3"/>
        <v>SBS480 EON</v>
      </c>
    </row>
    <row r="224" spans="1:53">
      <c r="A224" s="35" t="s">
        <v>240</v>
      </c>
      <c r="B224" t="s">
        <v>1147</v>
      </c>
      <c r="C224" t="s">
        <v>1469</v>
      </c>
      <c r="D224" t="s">
        <v>1138</v>
      </c>
      <c r="E224" t="s">
        <v>950</v>
      </c>
      <c r="F224" t="s">
        <v>1149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1144</v>
      </c>
      <c r="Q224" t="s">
        <v>1150</v>
      </c>
      <c r="R224" t="s">
        <v>1178</v>
      </c>
      <c r="S224">
        <v>10.1088</v>
      </c>
      <c r="T224">
        <v>3.29629999999998</v>
      </c>
      <c r="U224" t="s">
        <v>1144</v>
      </c>
      <c r="V224" t="s">
        <v>1183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5"/>
        <v>6.5374999999999996</v>
      </c>
      <c r="AC224" s="77">
        <f t="shared" si="176"/>
        <v>4.1395</v>
      </c>
      <c r="AD224" s="77">
        <f t="shared" si="177"/>
        <v>39.984709480122319</v>
      </c>
      <c r="AE224" s="77">
        <f t="shared" si="178"/>
        <v>29.669581422018346</v>
      </c>
      <c r="AF224" s="77">
        <f t="shared" si="179"/>
        <v>0.29629999999998002</v>
      </c>
      <c r="AG224" s="77">
        <f t="shared" si="180"/>
        <v>2.9311095283315525</v>
      </c>
      <c r="AH224" s="77">
        <f t="shared" si="181"/>
        <v>15</v>
      </c>
      <c r="AI224" s="77">
        <f t="shared" si="182"/>
        <v>6.8125</v>
      </c>
      <c r="AJ224" s="77">
        <f t="shared" si="183"/>
        <v>8.1875</v>
      </c>
      <c r="AK224" s="77">
        <f t="shared" si="184"/>
        <v>3</v>
      </c>
      <c r="AL224" s="77">
        <f t="shared" si="185"/>
        <v>5.1875</v>
      </c>
      <c r="AM224" s="77">
        <f t="shared" si="186"/>
        <v>34.583333333333336</v>
      </c>
      <c r="AN224" t="str">
        <f t="shared" si="172"/>
        <v/>
      </c>
      <c r="AO224" t="s">
        <v>1146</v>
      </c>
      <c r="AP224" t="str">
        <f t="shared" si="174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3"/>
        <v>2DDm85-15</v>
      </c>
    </row>
    <row r="225" spans="1:53">
      <c r="A225" s="35" t="s">
        <v>241</v>
      </c>
      <c r="B225" t="s">
        <v>1273</v>
      </c>
      <c r="C225" t="s">
        <v>1420</v>
      </c>
      <c r="D225" t="s">
        <v>1181</v>
      </c>
      <c r="E225" t="s">
        <v>1031</v>
      </c>
      <c r="F225" t="s">
        <v>1140</v>
      </c>
      <c r="G225">
        <v>36.6</v>
      </c>
      <c r="H225">
        <v>10</v>
      </c>
      <c r="I225">
        <v>182</v>
      </c>
      <c r="J225">
        <v>9.9190000000000005</v>
      </c>
      <c r="K225" s="64">
        <v>45415</v>
      </c>
      <c r="L225">
        <v>14.361840000000001</v>
      </c>
      <c r="M225">
        <v>4.4428400000000003</v>
      </c>
      <c r="N225">
        <v>6.8342999999999998</v>
      </c>
      <c r="O225">
        <v>-3.0847000000000002</v>
      </c>
      <c r="P225" t="s">
        <v>1144</v>
      </c>
      <c r="Q225" t="s">
        <v>1150</v>
      </c>
      <c r="R225" t="s">
        <v>1151</v>
      </c>
      <c r="S225">
        <v>17.409600000000001</v>
      </c>
      <c r="T225">
        <v>7.4905999999999802</v>
      </c>
      <c r="U225" t="s">
        <v>1144</v>
      </c>
      <c r="V225" t="s">
        <v>1290</v>
      </c>
      <c r="W225">
        <v>30</v>
      </c>
      <c r="X225">
        <v>20.081</v>
      </c>
      <c r="Y225">
        <v>5</v>
      </c>
      <c r="AA225">
        <f>VLOOKUP(A225,Cover!A:R,18,0)</f>
        <v>3.4</v>
      </c>
      <c r="AB225" s="77">
        <f t="shared" si="175"/>
        <v>1.0428400000000004</v>
      </c>
      <c r="AC225" s="77">
        <f t="shared" si="176"/>
        <v>-6.4847000000000001</v>
      </c>
      <c r="AD225" s="77">
        <f t="shared" si="177"/>
        <v>7.2611865889050451</v>
      </c>
      <c r="AE225" s="77">
        <f t="shared" si="178"/>
        <v>-94.884626077286626</v>
      </c>
      <c r="AF225" s="77">
        <f t="shared" si="179"/>
        <v>4.0905999999999807</v>
      </c>
      <c r="AG225" s="77">
        <f t="shared" si="180"/>
        <v>23.496231963973788</v>
      </c>
      <c r="AH225" s="77">
        <f t="shared" si="181"/>
        <v>30</v>
      </c>
      <c r="AI225" s="77">
        <f t="shared" si="182"/>
        <v>9.9190000000000005</v>
      </c>
      <c r="AJ225" s="77">
        <f t="shared" si="183"/>
        <v>20.081</v>
      </c>
      <c r="AK225" s="77">
        <f t="shared" si="184"/>
        <v>3.4</v>
      </c>
      <c r="AL225" s="77">
        <f t="shared" si="185"/>
        <v>16.681000000000001</v>
      </c>
      <c r="AM225" s="77">
        <f t="shared" si="186"/>
        <v>55.603333333333339</v>
      </c>
      <c r="AN225" t="str">
        <f t="shared" si="172"/>
        <v/>
      </c>
      <c r="AO225" t="s">
        <v>1146</v>
      </c>
      <c r="AP225" t="str">
        <f t="shared" si="174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3"/>
        <v>DDm85-25</v>
      </c>
    </row>
    <row r="226" spans="1:53">
      <c r="A226" s="35" t="s">
        <v>242</v>
      </c>
      <c r="B226" t="s">
        <v>1188</v>
      </c>
      <c r="C226" t="s">
        <v>1470</v>
      </c>
      <c r="D226" t="s">
        <v>1138</v>
      </c>
      <c r="E226" t="s">
        <v>915</v>
      </c>
      <c r="F226" t="s">
        <v>1140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1144</v>
      </c>
      <c r="Q226" t="s">
        <v>1194</v>
      </c>
      <c r="R226" t="s">
        <v>1471</v>
      </c>
      <c r="S226">
        <v>33.393599999999999</v>
      </c>
      <c r="T226">
        <v>14.809100000000001</v>
      </c>
      <c r="U226" t="s">
        <v>1144</v>
      </c>
      <c r="V226" t="s">
        <v>1472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5"/>
        <v>18.3095</v>
      </c>
      <c r="AC226" s="77">
        <f t="shared" si="176"/>
        <v>12.063800000000001</v>
      </c>
      <c r="AD226" s="77">
        <f t="shared" si="177"/>
        <v>45.895372737755054</v>
      </c>
      <c r="AE226" s="77">
        <f t="shared" si="178"/>
        <v>35.852628513178978</v>
      </c>
      <c r="AF226" s="77">
        <f t="shared" si="179"/>
        <v>11.809100000000001</v>
      </c>
      <c r="AG226" s="77">
        <f t="shared" si="180"/>
        <v>35.36336303962436</v>
      </c>
      <c r="AH226" s="77">
        <f t="shared" si="181"/>
        <v>45.5625</v>
      </c>
      <c r="AI226" s="77">
        <f t="shared" si="182"/>
        <v>18.584499999999998</v>
      </c>
      <c r="AJ226" s="77">
        <f t="shared" si="183"/>
        <v>26.978000000000002</v>
      </c>
      <c r="AK226" s="77">
        <f t="shared" si="184"/>
        <v>3</v>
      </c>
      <c r="AL226" s="77">
        <f t="shared" si="185"/>
        <v>23.978000000000002</v>
      </c>
      <c r="AM226" s="77">
        <f t="shared" si="186"/>
        <v>52.626611796982168</v>
      </c>
      <c r="AN226" t="str">
        <f t="shared" si="172"/>
        <v/>
      </c>
      <c r="AO226" t="s">
        <v>1146</v>
      </c>
      <c r="AP226" t="str">
        <f t="shared" si="174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3"/>
        <v>2SLA2000</v>
      </c>
    </row>
    <row r="227" spans="1:53">
      <c r="A227" s="35" t="s">
        <v>243</v>
      </c>
      <c r="B227" t="s">
        <v>1159</v>
      </c>
      <c r="C227" t="s">
        <v>1159</v>
      </c>
      <c r="D227" t="s">
        <v>1138</v>
      </c>
      <c r="E227" t="s">
        <v>832</v>
      </c>
      <c r="F227" t="s">
        <v>1473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1145</v>
      </c>
      <c r="Q227" t="s">
        <v>1168</v>
      </c>
      <c r="R227" t="s">
        <v>1174</v>
      </c>
      <c r="S227">
        <v>14.04</v>
      </c>
      <c r="T227">
        <v>5.3745000000000198</v>
      </c>
      <c r="U227" t="s">
        <v>1155</v>
      </c>
      <c r="V227" t="s">
        <v>1474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5"/>
        <v>1.1345000000000001</v>
      </c>
      <c r="AC227" s="77">
        <f t="shared" si="176"/>
        <v>-3.1710005450000001</v>
      </c>
      <c r="AD227" s="77">
        <f t="shared" si="177"/>
        <v>10.408256880733946</v>
      </c>
      <c r="AE227" s="77">
        <f t="shared" si="178"/>
        <v>-48.08553805544291</v>
      </c>
      <c r="AF227" s="77">
        <f t="shared" si="179"/>
        <v>4.2745000000000193</v>
      </c>
      <c r="AG227" s="77">
        <f t="shared" si="180"/>
        <v>30.445156695156832</v>
      </c>
      <c r="AH227" s="368">
        <f>AVERAGE(W227:W230)</f>
        <v>25.5</v>
      </c>
      <c r="AI227" s="368">
        <f>SUM(J227:J230)</f>
        <v>19.919750000000001</v>
      </c>
      <c r="AJ227" s="368">
        <f>AH227-AI227</f>
        <v>5.5802499999999995</v>
      </c>
      <c r="AK227" s="368">
        <f>SUM(AA227:AA230)</f>
        <v>1.1000000000000001</v>
      </c>
      <c r="AL227" s="368">
        <f t="shared" si="185"/>
        <v>4.4802499999999998</v>
      </c>
      <c r="AM227" s="369">
        <f t="shared" si="186"/>
        <v>17.569607843137256</v>
      </c>
      <c r="AN227" t="str">
        <f t="shared" si="172"/>
        <v/>
      </c>
      <c r="AO227" t="s">
        <v>1146</v>
      </c>
      <c r="AP227" t="str">
        <f t="shared" si="174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3"/>
        <v>12V155F</v>
      </c>
    </row>
    <row r="228" spans="1:53">
      <c r="A228" s="35" t="s">
        <v>244</v>
      </c>
      <c r="B228" t="s">
        <v>1159</v>
      </c>
      <c r="C228" t="s">
        <v>1159</v>
      </c>
      <c r="D228" t="s">
        <v>1138</v>
      </c>
      <c r="E228" t="s">
        <v>832</v>
      </c>
      <c r="F228" t="s">
        <v>1473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1145</v>
      </c>
      <c r="Q228" t="s">
        <v>1168</v>
      </c>
      <c r="R228" t="s">
        <v>1174</v>
      </c>
      <c r="S228">
        <v>14.04</v>
      </c>
      <c r="T228">
        <v>6.8732500000000201</v>
      </c>
      <c r="U228" t="s">
        <v>1155</v>
      </c>
      <c r="V228" t="s">
        <v>1474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5"/>
        <v>3.73325</v>
      </c>
      <c r="AC228" s="77">
        <f t="shared" si="176"/>
        <v>-0.57225054500000005</v>
      </c>
      <c r="AD228" s="77">
        <f t="shared" si="177"/>
        <v>34.25</v>
      </c>
      <c r="AE228" s="77">
        <f t="shared" si="178"/>
        <v>-8.6776949320409056</v>
      </c>
      <c r="AF228" s="77">
        <f t="shared" si="179"/>
        <v>6.8732500000000201</v>
      </c>
      <c r="AG228" s="77">
        <f t="shared" si="180"/>
        <v>48.954772079772226</v>
      </c>
      <c r="AH228" s="368"/>
      <c r="AI228" s="368"/>
      <c r="AJ228" s="368"/>
      <c r="AK228" s="368"/>
      <c r="AL228" s="368"/>
      <c r="AM228" s="369"/>
      <c r="AN228" t="str">
        <f t="shared" si="172"/>
        <v/>
      </c>
      <c r="AO228" t="s">
        <v>1146</v>
      </c>
      <c r="AP228" t="str">
        <f t="shared" si="174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3"/>
        <v>12V155F</v>
      </c>
    </row>
    <row r="229" spans="1:53">
      <c r="A229" s="35" t="s">
        <v>245</v>
      </c>
      <c r="B229" t="s">
        <v>1159</v>
      </c>
      <c r="C229" t="s">
        <v>1159</v>
      </c>
      <c r="D229" t="s">
        <v>1138</v>
      </c>
      <c r="E229" t="s">
        <v>832</v>
      </c>
      <c r="F229" t="s">
        <v>1443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1229</v>
      </c>
      <c r="Q229" t="s">
        <v>1168</v>
      </c>
      <c r="R229" t="s">
        <v>1174</v>
      </c>
      <c r="S229">
        <v>16.847999999999999</v>
      </c>
      <c r="T229">
        <v>13.9595</v>
      </c>
      <c r="U229" t="s">
        <v>1155</v>
      </c>
      <c r="V229" t="s">
        <v>1474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5"/>
        <v>8.0114999999999998</v>
      </c>
      <c r="AC229" s="77">
        <f t="shared" si="176"/>
        <v>2.2998993460000001</v>
      </c>
      <c r="AD229" s="77">
        <f t="shared" si="177"/>
        <v>73.5</v>
      </c>
      <c r="AE229" s="77">
        <f t="shared" si="178"/>
        <v>44.327724074923204</v>
      </c>
      <c r="AF229" s="77">
        <f t="shared" si="179"/>
        <v>13.9595</v>
      </c>
      <c r="AG229" s="77">
        <f t="shared" si="180"/>
        <v>82.855531813865156</v>
      </c>
      <c r="AH229" s="368"/>
      <c r="AI229" s="368"/>
      <c r="AJ229" s="368"/>
      <c r="AK229" s="368"/>
      <c r="AL229" s="368"/>
      <c r="AM229" s="369"/>
      <c r="AN229" t="str">
        <f t="shared" si="172"/>
        <v/>
      </c>
      <c r="AO229" t="s">
        <v>1146</v>
      </c>
      <c r="AP229" t="str">
        <f t="shared" si="174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3"/>
        <v>12V155F</v>
      </c>
    </row>
    <row r="230" spans="1:53">
      <c r="A230" s="35" t="s">
        <v>246</v>
      </c>
      <c r="B230" t="s">
        <v>1159</v>
      </c>
      <c r="C230" t="s">
        <v>1159</v>
      </c>
      <c r="D230" t="s">
        <v>1138</v>
      </c>
      <c r="E230" t="s">
        <v>832</v>
      </c>
      <c r="F230" t="s">
        <v>1443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1243</v>
      </c>
      <c r="Q230" t="s">
        <v>1168</v>
      </c>
      <c r="R230" t="s">
        <v>1174</v>
      </c>
      <c r="S230">
        <v>11.231999999999999</v>
      </c>
      <c r="T230">
        <v>10.032999999999999</v>
      </c>
      <c r="U230" t="s">
        <v>1155</v>
      </c>
      <c r="V230" t="s">
        <v>1474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5"/>
        <v>5.3410000000000002</v>
      </c>
      <c r="AC230" s="77">
        <f t="shared" si="176"/>
        <v>1.351599564</v>
      </c>
      <c r="AD230" s="77">
        <f t="shared" si="177"/>
        <v>81.666666666666671</v>
      </c>
      <c r="AE230" s="77">
        <f t="shared" si="178"/>
        <v>52.991444955802557</v>
      </c>
      <c r="AF230" s="77">
        <f t="shared" si="179"/>
        <v>10.032999999999999</v>
      </c>
      <c r="AG230" s="77">
        <f t="shared" si="180"/>
        <v>89.325142450142451</v>
      </c>
      <c r="AH230" s="368"/>
      <c r="AI230" s="368"/>
      <c r="AJ230" s="368"/>
      <c r="AK230" s="368"/>
      <c r="AL230" s="368"/>
      <c r="AM230" s="369"/>
      <c r="AN230" t="str">
        <f t="shared" si="172"/>
        <v/>
      </c>
      <c r="AO230" t="s">
        <v>1146</v>
      </c>
      <c r="AP230" t="str">
        <f t="shared" si="174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3"/>
        <v>12V155F</v>
      </c>
    </row>
    <row r="231" spans="1:53">
      <c r="A231" s="35" t="s">
        <v>247</v>
      </c>
      <c r="B231" t="s">
        <v>1159</v>
      </c>
      <c r="C231" t="s">
        <v>1159</v>
      </c>
      <c r="D231" t="s">
        <v>1133</v>
      </c>
      <c r="E231" t="s">
        <v>831</v>
      </c>
      <c r="F231" t="s">
        <v>1286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1243</v>
      </c>
      <c r="Q231" t="s">
        <v>1194</v>
      </c>
      <c r="R231" t="s">
        <v>1475</v>
      </c>
      <c r="S231">
        <v>9.4867200000000107</v>
      </c>
      <c r="T231">
        <v>8.5057200000000108</v>
      </c>
      <c r="U231" t="s">
        <v>1144</v>
      </c>
      <c r="V231" t="s">
        <v>1476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5"/>
        <v>13.734</v>
      </c>
      <c r="AC231" s="77">
        <f t="shared" si="176"/>
        <v>10.43675</v>
      </c>
      <c r="AD231" s="77">
        <f t="shared" si="177"/>
        <v>93.333333333333329</v>
      </c>
      <c r="AE231" s="77">
        <f t="shared" si="178"/>
        <v>91.408114558472548</v>
      </c>
      <c r="AF231" s="77">
        <f t="shared" si="179"/>
        <v>8.5057200000000108</v>
      </c>
      <c r="AG231" s="77">
        <f t="shared" si="180"/>
        <v>89.659228901032193</v>
      </c>
      <c r="AH231" s="77">
        <f t="shared" si="181"/>
        <v>13.5</v>
      </c>
      <c r="AI231" s="77">
        <f t="shared" si="182"/>
        <v>0.98099999999999998</v>
      </c>
      <c r="AJ231" s="77">
        <f t="shared" si="183"/>
        <v>12.519</v>
      </c>
      <c r="AK231" s="77">
        <f t="shared" si="184"/>
        <v>0</v>
      </c>
      <c r="AL231" s="77">
        <f t="shared" si="185"/>
        <v>12.519</v>
      </c>
      <c r="AM231" s="77">
        <f t="shared" si="186"/>
        <v>92.733333333333334</v>
      </c>
      <c r="AN231" t="str">
        <f t="shared" si="172"/>
        <v>Capped</v>
      </c>
      <c r="AO231" t="s">
        <v>1146</v>
      </c>
      <c r="AP231" t="str">
        <f t="shared" si="174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3"/>
        <v>12UMTB160</v>
      </c>
    </row>
    <row r="232" spans="1:53">
      <c r="A232" s="35" t="s">
        <v>248</v>
      </c>
      <c r="B232" t="s">
        <v>1202</v>
      </c>
      <c r="C232" t="s">
        <v>1379</v>
      </c>
      <c r="D232" t="s">
        <v>1133</v>
      </c>
      <c r="E232" t="s">
        <v>890</v>
      </c>
      <c r="F232" t="s">
        <v>1140</v>
      </c>
      <c r="G232">
        <v>36.6</v>
      </c>
      <c r="H232">
        <v>51</v>
      </c>
      <c r="I232">
        <v>534</v>
      </c>
      <c r="J232">
        <v>29.103000000000002</v>
      </c>
      <c r="K232" s="64">
        <v>45415</v>
      </c>
      <c r="L232">
        <v>79.787999999999997</v>
      </c>
      <c r="M232">
        <v>50.685000000000002</v>
      </c>
      <c r="N232">
        <v>67.034999999999997</v>
      </c>
      <c r="O232">
        <v>37.932000000000002</v>
      </c>
      <c r="P232" t="s">
        <v>1141</v>
      </c>
      <c r="Q232" t="s">
        <v>1150</v>
      </c>
      <c r="R232" t="s">
        <v>1161</v>
      </c>
      <c r="S232">
        <v>53.330399999999997</v>
      </c>
      <c r="T232">
        <v>24.227399999999999</v>
      </c>
      <c r="U232" t="s">
        <v>1155</v>
      </c>
      <c r="V232" t="s">
        <v>1477</v>
      </c>
      <c r="W232">
        <v>16.649999999999999</v>
      </c>
      <c r="X232">
        <v>-12.452999999999999</v>
      </c>
      <c r="Y232">
        <v>6</v>
      </c>
      <c r="Z232" t="s">
        <v>1478</v>
      </c>
      <c r="AA232">
        <f>VLOOKUP(A232,Cover!A:R,18,0)</f>
        <v>8.2050000000000001</v>
      </c>
      <c r="AB232" s="77">
        <f t="shared" si="175"/>
        <v>42.480000000000004</v>
      </c>
      <c r="AC232" s="77">
        <f t="shared" si="176"/>
        <v>29.727000000000004</v>
      </c>
      <c r="AD232" s="77">
        <f t="shared" si="177"/>
        <v>53.241088885546709</v>
      </c>
      <c r="AE232" s="77">
        <f t="shared" si="178"/>
        <v>44.345491161333641</v>
      </c>
      <c r="AF232" s="77">
        <f t="shared" si="179"/>
        <v>16.022399999999998</v>
      </c>
      <c r="AG232" s="77">
        <f t="shared" si="180"/>
        <v>30.043652400882046</v>
      </c>
      <c r="AH232" s="368">
        <f>'Multiroom cooling'!F2</f>
        <v>91.350000000000009</v>
      </c>
      <c r="AI232" s="368">
        <f>SUM(J232:J233)</f>
        <v>63.983000000000004</v>
      </c>
      <c r="AJ232" s="368">
        <f t="shared" si="183"/>
        <v>27.367000000000004</v>
      </c>
      <c r="AK232" s="368">
        <f>SUM(AA232:AA233)</f>
        <v>16.41</v>
      </c>
      <c r="AL232" s="368">
        <f t="shared" si="185"/>
        <v>10.957000000000004</v>
      </c>
      <c r="AM232" s="369">
        <f t="shared" si="186"/>
        <v>11.994526546250688</v>
      </c>
      <c r="AN232" t="str">
        <f t="shared" si="172"/>
        <v>Capped</v>
      </c>
      <c r="AO232" t="s">
        <v>1201</v>
      </c>
      <c r="AP232" t="str">
        <f t="shared" si="174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3"/>
        <v>DDm125-33</v>
      </c>
    </row>
    <row r="233" spans="1:53">
      <c r="A233" s="35" t="s">
        <v>249</v>
      </c>
      <c r="B233" t="s">
        <v>1202</v>
      </c>
      <c r="C233" t="s">
        <v>1379</v>
      </c>
      <c r="D233" t="s">
        <v>1133</v>
      </c>
      <c r="E233" t="s">
        <v>890</v>
      </c>
      <c r="F233" t="s">
        <v>1140</v>
      </c>
      <c r="G233">
        <v>36.6</v>
      </c>
      <c r="H233">
        <v>51</v>
      </c>
      <c r="I233">
        <v>640</v>
      </c>
      <c r="J233">
        <v>34.880000000000003</v>
      </c>
      <c r="K233" s="64">
        <v>45415</v>
      </c>
      <c r="L233">
        <v>79.787999999999997</v>
      </c>
      <c r="M233">
        <v>44.908000000000001</v>
      </c>
      <c r="N233">
        <v>67.034999999999997</v>
      </c>
      <c r="O233">
        <v>32.155000000000001</v>
      </c>
      <c r="P233" t="s">
        <v>1141</v>
      </c>
      <c r="Q233" t="s">
        <v>1150</v>
      </c>
      <c r="R233" t="s">
        <v>1161</v>
      </c>
      <c r="S233">
        <v>53.330399999999997</v>
      </c>
      <c r="T233">
        <v>18.450399999999998</v>
      </c>
      <c r="U233" t="s">
        <v>1155</v>
      </c>
      <c r="V233" t="s">
        <v>1477</v>
      </c>
      <c r="W233">
        <v>16.649999999999999</v>
      </c>
      <c r="X233">
        <v>-18.23</v>
      </c>
      <c r="Y233">
        <v>6</v>
      </c>
      <c r="Z233" t="s">
        <v>1478</v>
      </c>
      <c r="AA233">
        <f>VLOOKUP(A233,Cover!A:R,18,0)</f>
        <v>8.2050000000000001</v>
      </c>
      <c r="AB233" s="77">
        <f t="shared" si="175"/>
        <v>36.703000000000003</v>
      </c>
      <c r="AC233" s="77">
        <f t="shared" si="176"/>
        <v>23.950000000000003</v>
      </c>
      <c r="AD233" s="77">
        <f t="shared" si="177"/>
        <v>46.000651727076765</v>
      </c>
      <c r="AE233" s="77">
        <f t="shared" si="178"/>
        <v>35.727604982471846</v>
      </c>
      <c r="AF233" s="77">
        <f t="shared" si="179"/>
        <v>10.245399999999998</v>
      </c>
      <c r="AG233" s="77">
        <f t="shared" si="180"/>
        <v>19.211181614988821</v>
      </c>
      <c r="AH233" s="368"/>
      <c r="AI233" s="368"/>
      <c r="AJ233" s="368"/>
      <c r="AK233" s="368"/>
      <c r="AL233" s="368"/>
      <c r="AM233" s="369"/>
      <c r="AN233" t="str">
        <f t="shared" si="172"/>
        <v>Capped</v>
      </c>
      <c r="AO233" t="s">
        <v>1201</v>
      </c>
      <c r="AP233" t="str">
        <f t="shared" si="174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3"/>
        <v>DDm125-33</v>
      </c>
    </row>
    <row r="234" spans="1:53">
      <c r="A234" s="35" t="s">
        <v>250</v>
      </c>
      <c r="B234" t="s">
        <v>1164</v>
      </c>
      <c r="C234" t="s">
        <v>1479</v>
      </c>
      <c r="D234" t="s">
        <v>1212</v>
      </c>
      <c r="E234" t="s">
        <v>1480</v>
      </c>
      <c r="F234" t="s">
        <v>1323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1141</v>
      </c>
      <c r="Q234" t="s">
        <v>1168</v>
      </c>
      <c r="R234" t="s">
        <v>1247</v>
      </c>
      <c r="S234">
        <v>2.92896</v>
      </c>
      <c r="T234">
        <v>2.4929600000000001</v>
      </c>
      <c r="U234" t="s">
        <v>1144</v>
      </c>
      <c r="V234" t="s">
        <v>1160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7">M234-AA234</f>
        <v>2.8340000000000001</v>
      </c>
      <c r="AC234" s="77">
        <f t="shared" ref="AC234" si="188">O234-AA234</f>
        <v>2.3435000000000001</v>
      </c>
      <c r="AD234" s="77">
        <f t="shared" ref="AD234" si="189">AB234/L234%</f>
        <v>86.666666666666671</v>
      </c>
      <c r="AE234" s="77">
        <f t="shared" ref="AE234" si="190">AC234/N234%</f>
        <v>84.313725490196077</v>
      </c>
      <c r="AF234" s="77">
        <f t="shared" ref="AF234" si="191">T234-AA234</f>
        <v>2.4929600000000001</v>
      </c>
      <c r="AG234" s="77">
        <f t="shared" ref="AG234" si="192">AF234/S234%</f>
        <v>85.114170217415065</v>
      </c>
      <c r="AH234" s="77">
        <f t="shared" ref="AH234" si="193">W234</f>
        <v>3.75</v>
      </c>
      <c r="AI234" s="77">
        <f t="shared" ref="AI234" si="194">J234</f>
        <v>0.436</v>
      </c>
      <c r="AJ234" s="77">
        <f t="shared" ref="AJ234" si="195">AH234-AI234</f>
        <v>3.3140000000000001</v>
      </c>
      <c r="AK234" s="77">
        <f t="shared" ref="AK234" si="196">AA234</f>
        <v>0</v>
      </c>
      <c r="AL234" s="77">
        <f t="shared" ref="AL234" si="197">AJ234-AK234</f>
        <v>3.3140000000000001</v>
      </c>
      <c r="AM234" s="77">
        <f t="shared" ref="AM234" si="198">AL234/AH234%</f>
        <v>88.373333333333335</v>
      </c>
      <c r="AN234" t="str">
        <f t="shared" si="172"/>
        <v/>
      </c>
      <c r="AO234" t="s">
        <v>1146</v>
      </c>
      <c r="AP234" t="str">
        <f t="shared" si="174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3"/>
        <v>12V100F</v>
      </c>
    </row>
    <row r="235" spans="1:53">
      <c r="A235" s="35" t="s">
        <v>251</v>
      </c>
      <c r="B235" t="s">
        <v>1184</v>
      </c>
      <c r="C235" t="s">
        <v>1481</v>
      </c>
      <c r="D235" t="s">
        <v>1138</v>
      </c>
      <c r="E235" t="s">
        <v>1004</v>
      </c>
      <c r="F235" t="s">
        <v>1140</v>
      </c>
      <c r="G235">
        <v>36.6</v>
      </c>
      <c r="H235">
        <v>22</v>
      </c>
      <c r="I235">
        <v>115</v>
      </c>
      <c r="J235">
        <v>6.2675000000000001</v>
      </c>
      <c r="K235" s="64">
        <v>45415</v>
      </c>
      <c r="L235">
        <v>33.510959999999997</v>
      </c>
      <c r="M235">
        <v>27.243459999999999</v>
      </c>
      <c r="N235">
        <v>27.064699999999998</v>
      </c>
      <c r="O235">
        <v>20.7972</v>
      </c>
      <c r="P235" t="s">
        <v>1144</v>
      </c>
      <c r="Q235" t="s">
        <v>1150</v>
      </c>
      <c r="R235" t="s">
        <v>1262</v>
      </c>
      <c r="S235">
        <v>22.982399999999998</v>
      </c>
      <c r="T235">
        <v>16.7149</v>
      </c>
      <c r="U235" t="s">
        <v>1141</v>
      </c>
      <c r="V235" t="s">
        <v>1156</v>
      </c>
      <c r="W235">
        <v>33.75</v>
      </c>
      <c r="X235">
        <v>27.482500000000002</v>
      </c>
      <c r="Y235">
        <v>55</v>
      </c>
      <c r="AA235">
        <f>VLOOKUP(A235,Cover!A:R,18,0)</f>
        <v>7.4</v>
      </c>
      <c r="AB235" s="77">
        <f t="shared" si="175"/>
        <v>19.84346</v>
      </c>
      <c r="AC235" s="77">
        <f t="shared" si="176"/>
        <v>13.3972</v>
      </c>
      <c r="AD235" s="77">
        <f t="shared" si="177"/>
        <v>59.214835982019025</v>
      </c>
      <c r="AE235" s="77">
        <f t="shared" si="178"/>
        <v>49.500641056431448</v>
      </c>
      <c r="AF235" s="77">
        <f t="shared" si="179"/>
        <v>9.3148999999999997</v>
      </c>
      <c r="AG235" s="77">
        <f t="shared" si="180"/>
        <v>40.530579922027293</v>
      </c>
      <c r="AH235" s="77">
        <f t="shared" si="181"/>
        <v>33.75</v>
      </c>
      <c r="AI235" s="77">
        <f t="shared" si="182"/>
        <v>6.2675000000000001</v>
      </c>
      <c r="AJ235" s="77">
        <f t="shared" si="183"/>
        <v>27.482500000000002</v>
      </c>
      <c r="AK235" s="77">
        <f t="shared" si="184"/>
        <v>7.4</v>
      </c>
      <c r="AL235" s="77">
        <f t="shared" si="185"/>
        <v>20.082500000000003</v>
      </c>
      <c r="AM235" s="77">
        <f t="shared" si="186"/>
        <v>59.503703703703707</v>
      </c>
      <c r="AN235" t="str">
        <f t="shared" si="172"/>
        <v/>
      </c>
      <c r="AO235" t="s">
        <v>1201</v>
      </c>
      <c r="AP235" t="str">
        <f t="shared" si="174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3"/>
        <v>DDm85-33</v>
      </c>
    </row>
    <row r="236" spans="1:53">
      <c r="A236" s="35" t="s">
        <v>252</v>
      </c>
      <c r="B236" t="s">
        <v>1184</v>
      </c>
      <c r="C236" t="s">
        <v>1481</v>
      </c>
      <c r="D236" t="s">
        <v>1138</v>
      </c>
      <c r="E236" t="s">
        <v>1004</v>
      </c>
      <c r="F236" t="s">
        <v>1140</v>
      </c>
      <c r="G236">
        <v>36.6</v>
      </c>
      <c r="H236">
        <v>22</v>
      </c>
      <c r="I236">
        <v>76</v>
      </c>
      <c r="J236">
        <v>4.1420000000000003</v>
      </c>
      <c r="K236" s="64">
        <v>45415</v>
      </c>
      <c r="L236">
        <v>33.510959999999997</v>
      </c>
      <c r="M236">
        <v>29.368960000000001</v>
      </c>
      <c r="N236">
        <v>27.064699999999998</v>
      </c>
      <c r="O236">
        <v>22.922699999999999</v>
      </c>
      <c r="P236" t="s">
        <v>1144</v>
      </c>
      <c r="Q236" t="s">
        <v>1150</v>
      </c>
      <c r="R236" t="s">
        <v>1262</v>
      </c>
      <c r="S236">
        <v>22.982399999999998</v>
      </c>
      <c r="T236">
        <v>18.840399999999999</v>
      </c>
      <c r="U236" t="s">
        <v>1141</v>
      </c>
      <c r="V236" t="s">
        <v>1156</v>
      </c>
      <c r="W236">
        <v>33.75</v>
      </c>
      <c r="X236">
        <v>29.608000000000001</v>
      </c>
      <c r="Y236">
        <v>55</v>
      </c>
      <c r="AA236">
        <f>VLOOKUP(A236,Cover!A:R,18,0)</f>
        <v>7.7</v>
      </c>
      <c r="AB236" s="77">
        <f t="shared" ref="AB236" si="199">M236-AA236</f>
        <v>21.668960000000002</v>
      </c>
      <c r="AC236" s="77">
        <f t="shared" ref="AC236" si="200">O236-AA236</f>
        <v>15.2227</v>
      </c>
      <c r="AD236" s="77">
        <f t="shared" ref="AD236" si="201">AB236/L236%</f>
        <v>64.662307495816307</v>
      </c>
      <c r="AE236" s="77">
        <f t="shared" ref="AE236" si="202">AC236/N236%</f>
        <v>56.245589273112216</v>
      </c>
      <c r="AF236" s="77">
        <f t="shared" ref="AF236" si="203">T236-AA236</f>
        <v>11.1404</v>
      </c>
      <c r="AG236" s="77">
        <f t="shared" ref="AG236" si="204">AF236/S236%</f>
        <v>48.473614592035652</v>
      </c>
      <c r="AH236" s="77">
        <f t="shared" ref="AH236" si="205">W236</f>
        <v>33.75</v>
      </c>
      <c r="AI236" s="77">
        <f t="shared" ref="AI236" si="206">J236</f>
        <v>4.1420000000000003</v>
      </c>
      <c r="AJ236" s="77">
        <f t="shared" ref="AJ236" si="207">AH236-AI236</f>
        <v>29.608000000000001</v>
      </c>
      <c r="AK236" s="77">
        <f t="shared" ref="AK236" si="208">AA236</f>
        <v>7.7</v>
      </c>
      <c r="AL236" s="77">
        <f t="shared" ref="AL236" si="209">AJ236-AK236</f>
        <v>21.908000000000001</v>
      </c>
      <c r="AM236" s="77">
        <f t="shared" ref="AM236" si="210">AL236/AH236%</f>
        <v>64.912592592592588</v>
      </c>
      <c r="AN236" t="str">
        <f t="shared" si="172"/>
        <v/>
      </c>
      <c r="AO236" t="s">
        <v>1201</v>
      </c>
      <c r="AP236" t="str">
        <f t="shared" si="174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3"/>
        <v>DDm85-33</v>
      </c>
    </row>
    <row r="237" spans="1:53">
      <c r="A237" s="35" t="s">
        <v>253</v>
      </c>
      <c r="B237" t="s">
        <v>1184</v>
      </c>
      <c r="C237" t="s">
        <v>1482</v>
      </c>
      <c r="D237" t="s">
        <v>1138</v>
      </c>
      <c r="E237" t="s">
        <v>1005</v>
      </c>
      <c r="F237" t="s">
        <v>1140</v>
      </c>
      <c r="G237">
        <v>36.6</v>
      </c>
      <c r="H237">
        <v>6</v>
      </c>
      <c r="I237">
        <v>47</v>
      </c>
      <c r="J237">
        <v>2.5615000000000001</v>
      </c>
      <c r="K237" s="64">
        <v>45415</v>
      </c>
      <c r="L237">
        <v>7.9787999999999997</v>
      </c>
      <c r="M237">
        <v>5.4173</v>
      </c>
      <c r="N237">
        <v>6.867</v>
      </c>
      <c r="O237">
        <v>4.3055000000000003</v>
      </c>
      <c r="P237" t="s">
        <v>1141</v>
      </c>
      <c r="Q237" t="s">
        <v>1168</v>
      </c>
      <c r="R237" t="s">
        <v>1320</v>
      </c>
      <c r="S237">
        <v>5.5922400000000101</v>
      </c>
      <c r="T237">
        <v>3.03074000000001</v>
      </c>
      <c r="U237" t="s">
        <v>1155</v>
      </c>
      <c r="V237" t="s">
        <v>1464</v>
      </c>
      <c r="W237">
        <v>18</v>
      </c>
      <c r="X237">
        <v>15.438499999999999</v>
      </c>
      <c r="Y237">
        <v>65</v>
      </c>
      <c r="AA237">
        <f>VLOOKUP(A237,Cover!A:R,18,0)</f>
        <v>0</v>
      </c>
      <c r="AB237" s="77">
        <f t="shared" si="175"/>
        <v>5.4173</v>
      </c>
      <c r="AC237" s="77">
        <f t="shared" si="176"/>
        <v>4.3055000000000003</v>
      </c>
      <c r="AD237" s="77">
        <f t="shared" si="177"/>
        <v>67.896174863387984</v>
      </c>
      <c r="AE237" s="77">
        <f t="shared" si="178"/>
        <v>62.69841269841271</v>
      </c>
      <c r="AF237" s="77">
        <f t="shared" si="179"/>
        <v>3.03074000000001</v>
      </c>
      <c r="AG237" s="77">
        <f t="shared" si="180"/>
        <v>54.195456561234934</v>
      </c>
      <c r="AH237" s="77">
        <f t="shared" si="181"/>
        <v>18</v>
      </c>
      <c r="AI237" s="77">
        <f t="shared" si="182"/>
        <v>2.5615000000000001</v>
      </c>
      <c r="AJ237" s="77">
        <f t="shared" si="183"/>
        <v>15.438499999999999</v>
      </c>
      <c r="AK237" s="77">
        <f t="shared" si="184"/>
        <v>0</v>
      </c>
      <c r="AL237" s="77">
        <f t="shared" si="185"/>
        <v>15.438499999999999</v>
      </c>
      <c r="AM237" s="77">
        <f t="shared" si="186"/>
        <v>85.769444444444446</v>
      </c>
      <c r="AN237" t="str">
        <f t="shared" si="172"/>
        <v/>
      </c>
      <c r="AO237" t="s">
        <v>1146</v>
      </c>
      <c r="AP237" t="str">
        <f t="shared" si="174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3"/>
        <v>12V190F</v>
      </c>
    </row>
    <row r="238" spans="1:53">
      <c r="A238" s="35" t="s">
        <v>254</v>
      </c>
      <c r="B238" t="s">
        <v>1159</v>
      </c>
      <c r="C238" t="s">
        <v>1483</v>
      </c>
      <c r="D238" t="s">
        <v>1212</v>
      </c>
      <c r="E238" t="s">
        <v>833</v>
      </c>
      <c r="F238" t="s">
        <v>1140</v>
      </c>
      <c r="G238">
        <v>36.6</v>
      </c>
      <c r="H238">
        <v>44</v>
      </c>
      <c r="I238">
        <v>721</v>
      </c>
      <c r="J238">
        <v>39.294499999999999</v>
      </c>
      <c r="K238" s="64">
        <v>44627.604166666701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1155</v>
      </c>
      <c r="Q238" t="s">
        <v>1150</v>
      </c>
      <c r="R238" t="s">
        <v>1161</v>
      </c>
      <c r="S238">
        <v>71.107200000000205</v>
      </c>
      <c r="T238">
        <v>31.812700000000198</v>
      </c>
      <c r="U238" t="s">
        <v>1155</v>
      </c>
      <c r="V238" t="s">
        <v>1234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5"/>
        <v>21.923180000000002</v>
      </c>
      <c r="AC238" s="77">
        <f t="shared" si="176"/>
        <v>-4.5224000000000002</v>
      </c>
      <c r="AD238" s="77">
        <f t="shared" si="177"/>
        <v>31.949754057554852</v>
      </c>
      <c r="AE238" s="77">
        <f t="shared" si="178"/>
        <v>-10.723677502424589</v>
      </c>
      <c r="AF238" s="77">
        <f t="shared" si="179"/>
        <v>24.4127000000002</v>
      </c>
      <c r="AG238" s="77">
        <f t="shared" si="180"/>
        <v>34.332247648620857</v>
      </c>
      <c r="AH238" s="77">
        <f t="shared" si="181"/>
        <v>67.5</v>
      </c>
      <c r="AI238" s="77">
        <f t="shared" si="182"/>
        <v>39.294499999999999</v>
      </c>
      <c r="AJ238" s="77">
        <f t="shared" si="183"/>
        <v>28.205500000000001</v>
      </c>
      <c r="AK238" s="77">
        <f t="shared" si="184"/>
        <v>7.4</v>
      </c>
      <c r="AL238" s="77">
        <f t="shared" si="185"/>
        <v>20.805500000000002</v>
      </c>
      <c r="AM238" s="77">
        <f t="shared" si="186"/>
        <v>30.822962962962965</v>
      </c>
      <c r="AN238" t="str">
        <f t="shared" si="172"/>
        <v/>
      </c>
      <c r="AO238" t="s">
        <v>1146</v>
      </c>
      <c r="AP238" t="str">
        <f t="shared" si="174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3"/>
        <v>DDm125-33</v>
      </c>
    </row>
    <row r="239" spans="1:53">
      <c r="A239" s="35" t="s">
        <v>255</v>
      </c>
      <c r="B239" t="s">
        <v>1159</v>
      </c>
      <c r="C239" t="s">
        <v>1295</v>
      </c>
      <c r="D239" t="s">
        <v>1133</v>
      </c>
      <c r="E239" t="s">
        <v>811</v>
      </c>
      <c r="F239" t="s">
        <v>1140</v>
      </c>
      <c r="G239">
        <v>36.6</v>
      </c>
      <c r="H239">
        <v>90</v>
      </c>
      <c r="I239">
        <v>78</v>
      </c>
      <c r="J239">
        <v>4.2510000000000003</v>
      </c>
      <c r="K239" s="64">
        <v>44692.583333333299</v>
      </c>
      <c r="L239">
        <v>142.02264</v>
      </c>
      <c r="M239">
        <v>137.77163999999999</v>
      </c>
      <c r="N239">
        <v>116.4883</v>
      </c>
      <c r="O239">
        <v>112.2373</v>
      </c>
      <c r="P239" t="s">
        <v>1155</v>
      </c>
      <c r="Q239" t="s">
        <v>1150</v>
      </c>
      <c r="R239" t="s">
        <v>1378</v>
      </c>
      <c r="S239">
        <v>95.610240000000005</v>
      </c>
      <c r="T239">
        <v>91.35924</v>
      </c>
      <c r="U239" t="s">
        <v>1155</v>
      </c>
      <c r="V239" t="s">
        <v>1220</v>
      </c>
      <c r="W239">
        <v>90</v>
      </c>
      <c r="X239">
        <v>85.748999999999995</v>
      </c>
      <c r="Y239">
        <v>8</v>
      </c>
      <c r="Z239" t="s">
        <v>1484</v>
      </c>
      <c r="AA239">
        <f>VLOOKUP(A239,Cover!A:R,18,0)</f>
        <v>0</v>
      </c>
      <c r="AB239" s="77">
        <f t="shared" si="175"/>
        <v>137.77163999999999</v>
      </c>
      <c r="AC239" s="77">
        <f t="shared" si="176"/>
        <v>112.2373</v>
      </c>
      <c r="AD239" s="77">
        <f t="shared" si="177"/>
        <v>97.006815251427511</v>
      </c>
      <c r="AE239" s="77">
        <f t="shared" si="178"/>
        <v>96.35070646579959</v>
      </c>
      <c r="AF239" s="77">
        <f t="shared" si="179"/>
        <v>91.35924</v>
      </c>
      <c r="AG239" s="77">
        <f t="shared" si="180"/>
        <v>95.553823523505429</v>
      </c>
      <c r="AH239" s="77">
        <f t="shared" si="181"/>
        <v>90</v>
      </c>
      <c r="AI239" s="77">
        <f t="shared" si="182"/>
        <v>4.2510000000000003</v>
      </c>
      <c r="AJ239" s="77">
        <f t="shared" si="183"/>
        <v>85.748999999999995</v>
      </c>
      <c r="AK239" s="77">
        <f t="shared" si="184"/>
        <v>0</v>
      </c>
      <c r="AL239" s="77">
        <f t="shared" si="185"/>
        <v>85.748999999999995</v>
      </c>
      <c r="AM239" s="77">
        <f t="shared" si="186"/>
        <v>95.276666666666657</v>
      </c>
      <c r="AN239" t="str">
        <f t="shared" si="172"/>
        <v>Capped</v>
      </c>
      <c r="AO239" t="s">
        <v>1146</v>
      </c>
      <c r="AP239" t="str">
        <f t="shared" si="174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3"/>
        <v>2CP3000</v>
      </c>
    </row>
    <row r="240" spans="1:53">
      <c r="A240" s="35" t="s">
        <v>256</v>
      </c>
      <c r="B240" t="s">
        <v>1159</v>
      </c>
      <c r="C240" t="s">
        <v>1485</v>
      </c>
      <c r="D240" t="s">
        <v>1199</v>
      </c>
      <c r="E240" t="s">
        <v>837</v>
      </c>
      <c r="F240" t="s">
        <v>1140</v>
      </c>
      <c r="G240">
        <v>36.6</v>
      </c>
      <c r="H240">
        <v>67</v>
      </c>
      <c r="I240">
        <v>1025</v>
      </c>
      <c r="J240">
        <v>55.862499999999997</v>
      </c>
      <c r="K240" s="64">
        <v>45415</v>
      </c>
      <c r="L240">
        <v>105.32016</v>
      </c>
      <c r="M240">
        <v>49.457659999999997</v>
      </c>
      <c r="N240">
        <v>77.150199999999998</v>
      </c>
      <c r="O240">
        <v>21.287700000000001</v>
      </c>
      <c r="P240" t="s">
        <v>1160</v>
      </c>
      <c r="Q240" t="s">
        <v>1150</v>
      </c>
      <c r="R240" t="s">
        <v>1161</v>
      </c>
      <c r="S240">
        <v>88.884000000000199</v>
      </c>
      <c r="T240">
        <v>33.021500000000202</v>
      </c>
      <c r="U240" t="s">
        <v>1155</v>
      </c>
      <c r="V240" t="s">
        <v>1179</v>
      </c>
      <c r="W240">
        <v>112.5</v>
      </c>
      <c r="X240">
        <v>56.637500000000003</v>
      </c>
      <c r="Y240">
        <v>9</v>
      </c>
      <c r="Z240" t="s">
        <v>1486</v>
      </c>
      <c r="AA240">
        <f>VLOOKUP(A240,Cover!A:R,18,0)</f>
        <v>10.024999999999999</v>
      </c>
      <c r="AB240" s="77">
        <f t="shared" si="175"/>
        <v>39.432659999999998</v>
      </c>
      <c r="AC240" s="77">
        <f t="shared" si="176"/>
        <v>11.262700000000002</v>
      </c>
      <c r="AD240" s="77">
        <f t="shared" si="177"/>
        <v>37.440752083931507</v>
      </c>
      <c r="AE240" s="77">
        <f t="shared" si="178"/>
        <v>14.598406744246939</v>
      </c>
      <c r="AF240" s="77">
        <f t="shared" si="179"/>
        <v>22.996500000000204</v>
      </c>
      <c r="AG240" s="77">
        <f t="shared" si="180"/>
        <v>25.87248548670194</v>
      </c>
      <c r="AH240" s="368">
        <f>AVERAGE(W240:W241)</f>
        <v>112.5</v>
      </c>
      <c r="AI240" s="368">
        <f>SUM(J240:J241)</f>
        <v>104.5855</v>
      </c>
      <c r="AJ240" s="368">
        <f t="shared" si="183"/>
        <v>7.9145000000000039</v>
      </c>
      <c r="AK240" s="368">
        <f>SUM(AA240:AA241)</f>
        <v>21.049999999999997</v>
      </c>
      <c r="AL240" s="368">
        <f t="shared" si="185"/>
        <v>-13.135499999999993</v>
      </c>
      <c r="AM240" s="369">
        <f t="shared" si="186"/>
        <v>-11.675999999999995</v>
      </c>
      <c r="AN240" t="str">
        <f t="shared" si="172"/>
        <v>Capped</v>
      </c>
      <c r="AO240" t="s">
        <v>1201</v>
      </c>
      <c r="AP240" t="str">
        <f t="shared" si="174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3"/>
        <v>DDm125-33</v>
      </c>
    </row>
    <row r="241" spans="1:53">
      <c r="A241" s="35" t="s">
        <v>257</v>
      </c>
      <c r="B241" t="s">
        <v>1159</v>
      </c>
      <c r="C241" t="s">
        <v>1485</v>
      </c>
      <c r="D241" t="s">
        <v>1199</v>
      </c>
      <c r="E241" t="s">
        <v>837</v>
      </c>
      <c r="F241" t="s">
        <v>1140</v>
      </c>
      <c r="G241">
        <v>36.6</v>
      </c>
      <c r="H241">
        <v>67</v>
      </c>
      <c r="I241">
        <v>894</v>
      </c>
      <c r="J241">
        <v>48.722999999999999</v>
      </c>
      <c r="K241" s="64">
        <v>45415</v>
      </c>
      <c r="L241">
        <v>105.32016</v>
      </c>
      <c r="M241">
        <v>56.597160000000002</v>
      </c>
      <c r="N241">
        <v>77.150199999999998</v>
      </c>
      <c r="O241">
        <v>28.427199999999999</v>
      </c>
      <c r="P241" t="s">
        <v>1160</v>
      </c>
      <c r="Q241" t="s">
        <v>1150</v>
      </c>
      <c r="R241" t="s">
        <v>1161</v>
      </c>
      <c r="S241">
        <v>88.884000000000199</v>
      </c>
      <c r="T241">
        <v>40.1610000000002</v>
      </c>
      <c r="U241" t="s">
        <v>1155</v>
      </c>
      <c r="V241" t="s">
        <v>1179</v>
      </c>
      <c r="W241">
        <v>112.5</v>
      </c>
      <c r="X241">
        <v>63.777000000000001</v>
      </c>
      <c r="Y241">
        <v>9</v>
      </c>
      <c r="Z241" t="s">
        <v>1486</v>
      </c>
      <c r="AA241">
        <f>VLOOKUP(A241,Cover!A:R,18,0)</f>
        <v>11.024999999999999</v>
      </c>
      <c r="AB241" s="77">
        <f t="shared" ref="AB241" si="211">M241-AA241</f>
        <v>45.572160000000004</v>
      </c>
      <c r="AC241" s="77">
        <f t="shared" ref="AC241" si="212">O241-AA241</f>
        <v>17.402200000000001</v>
      </c>
      <c r="AD241" s="77">
        <f t="shared" ref="AD241" si="213">AB241/L241%</f>
        <v>43.270120364420265</v>
      </c>
      <c r="AE241" s="77">
        <f t="shared" ref="AE241" si="214">AC241/N241%</f>
        <v>22.556260385585521</v>
      </c>
      <c r="AF241" s="77">
        <f t="shared" ref="AF241" si="215">T241-AA241</f>
        <v>29.136000000000202</v>
      </c>
      <c r="AG241" s="77">
        <f t="shared" ref="AG241" si="216">AF241/S241%</f>
        <v>32.779802889159058</v>
      </c>
      <c r="AH241" s="368"/>
      <c r="AI241" s="368"/>
      <c r="AJ241" s="368"/>
      <c r="AK241" s="368"/>
      <c r="AL241" s="368"/>
      <c r="AM241" s="369"/>
      <c r="AN241" t="str">
        <f t="shared" si="172"/>
        <v>Capped</v>
      </c>
      <c r="AO241" t="s">
        <v>1201</v>
      </c>
      <c r="AP241" t="str">
        <f t="shared" si="174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3"/>
        <v>DDm125-33</v>
      </c>
    </row>
    <row r="242" spans="1:53">
      <c r="A242" s="35" t="s">
        <v>258</v>
      </c>
      <c r="B242" t="s">
        <v>1159</v>
      </c>
      <c r="C242" t="s">
        <v>1485</v>
      </c>
      <c r="D242" t="s">
        <v>1181</v>
      </c>
      <c r="E242" t="s">
        <v>835</v>
      </c>
      <c r="F242" t="s">
        <v>1140</v>
      </c>
      <c r="G242">
        <v>36.6</v>
      </c>
      <c r="H242">
        <v>60</v>
      </c>
      <c r="I242">
        <v>355</v>
      </c>
      <c r="J242">
        <v>19.3475</v>
      </c>
      <c r="K242" s="64">
        <v>45415</v>
      </c>
      <c r="L242">
        <v>94.149839999999998</v>
      </c>
      <c r="M242">
        <v>74.802340000000001</v>
      </c>
      <c r="N242">
        <v>96.432299999999998</v>
      </c>
      <c r="O242">
        <v>77.084800000000001</v>
      </c>
      <c r="P242" t="s">
        <v>1141</v>
      </c>
      <c r="Q242" t="s">
        <v>1150</v>
      </c>
      <c r="R242" t="s">
        <v>1157</v>
      </c>
      <c r="S242">
        <v>34.279200000000003</v>
      </c>
      <c r="T242">
        <v>14.931699999999999</v>
      </c>
      <c r="U242" t="s">
        <v>1160</v>
      </c>
      <c r="V242" t="s">
        <v>1220</v>
      </c>
      <c r="W242">
        <v>90</v>
      </c>
      <c r="X242">
        <v>70.652500000000003</v>
      </c>
      <c r="Y242">
        <v>64</v>
      </c>
      <c r="AA242">
        <f>VLOOKUP(A242,Cover!A:R,18,0)</f>
        <v>11.83</v>
      </c>
      <c r="AB242" s="77">
        <f t="shared" si="175"/>
        <v>62.972340000000003</v>
      </c>
      <c r="AC242" s="77">
        <f t="shared" si="176"/>
        <v>65.254800000000003</v>
      </c>
      <c r="AD242" s="77">
        <f t="shared" si="177"/>
        <v>66.885233155999003</v>
      </c>
      <c r="AE242" s="77">
        <f t="shared" si="178"/>
        <v>67.669027908698652</v>
      </c>
      <c r="AF242" s="77">
        <f t="shared" si="179"/>
        <v>3.1016999999999992</v>
      </c>
      <c r="AG242" s="77">
        <f t="shared" si="180"/>
        <v>9.0483441853952211</v>
      </c>
      <c r="AH242" s="368">
        <f>AVERAGE(W242:W243)</f>
        <v>90</v>
      </c>
      <c r="AI242" s="368">
        <f>SUM(J242:J243)</f>
        <v>38.477000000000004</v>
      </c>
      <c r="AJ242" s="368">
        <f t="shared" si="183"/>
        <v>51.522999999999996</v>
      </c>
      <c r="AK242" s="368">
        <f>SUM(AA242:AA243)</f>
        <v>23.66</v>
      </c>
      <c r="AL242" s="368">
        <f t="shared" si="185"/>
        <v>27.862999999999996</v>
      </c>
      <c r="AM242" s="369">
        <f t="shared" si="186"/>
        <v>30.958888888888882</v>
      </c>
      <c r="AN242" t="str">
        <f t="shared" si="172"/>
        <v/>
      </c>
      <c r="AO242" t="s">
        <v>1201</v>
      </c>
      <c r="AP242" t="str">
        <f t="shared" si="174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3"/>
        <v>DDm100-27</v>
      </c>
    </row>
    <row r="243" spans="1:53">
      <c r="A243" s="35" t="s">
        <v>259</v>
      </c>
      <c r="B243" t="s">
        <v>1159</v>
      </c>
      <c r="C243" t="s">
        <v>1485</v>
      </c>
      <c r="D243" t="s">
        <v>1181</v>
      </c>
      <c r="E243" t="s">
        <v>835</v>
      </c>
      <c r="F243" t="s">
        <v>1140</v>
      </c>
      <c r="G243">
        <v>36.6</v>
      </c>
      <c r="H243">
        <v>60</v>
      </c>
      <c r="I243">
        <v>351</v>
      </c>
      <c r="J243">
        <v>19.1295</v>
      </c>
      <c r="K243" s="64">
        <v>45415</v>
      </c>
      <c r="L243">
        <v>94.149839999999998</v>
      </c>
      <c r="M243">
        <v>75.020340000000004</v>
      </c>
      <c r="N243">
        <v>96.432299999999998</v>
      </c>
      <c r="O243">
        <v>77.302800000000005</v>
      </c>
      <c r="P243" t="s">
        <v>1141</v>
      </c>
      <c r="Q243" t="s">
        <v>1150</v>
      </c>
      <c r="R243" t="s">
        <v>1157</v>
      </c>
      <c r="S243">
        <v>34.279200000000003</v>
      </c>
      <c r="T243">
        <v>15.149699999999999</v>
      </c>
      <c r="U243" t="s">
        <v>1160</v>
      </c>
      <c r="V243" t="s">
        <v>1220</v>
      </c>
      <c r="W243">
        <v>90</v>
      </c>
      <c r="X243">
        <v>70.870500000000007</v>
      </c>
      <c r="Y243">
        <v>64</v>
      </c>
      <c r="AA243">
        <f>VLOOKUP(A243,Cover!A:R,18,0)</f>
        <v>11.83</v>
      </c>
      <c r="AB243" s="77">
        <f t="shared" si="175"/>
        <v>63.190340000000006</v>
      </c>
      <c r="AC243" s="77">
        <f t="shared" si="176"/>
        <v>65.472800000000007</v>
      </c>
      <c r="AD243" s="77">
        <f t="shared" si="177"/>
        <v>67.116778955758193</v>
      </c>
      <c r="AE243" s="77">
        <f t="shared" si="178"/>
        <v>67.895093241579858</v>
      </c>
      <c r="AF243" s="77">
        <f t="shared" si="179"/>
        <v>3.3196999999999992</v>
      </c>
      <c r="AG243" s="77">
        <f t="shared" si="180"/>
        <v>9.6842983500198336</v>
      </c>
      <c r="AH243" s="368"/>
      <c r="AI243" s="368"/>
      <c r="AJ243" s="368"/>
      <c r="AK243" s="368"/>
      <c r="AL243" s="368"/>
      <c r="AM243" s="369"/>
      <c r="AN243" t="str">
        <f t="shared" si="172"/>
        <v/>
      </c>
      <c r="AO243" t="s">
        <v>1201</v>
      </c>
      <c r="AP243" t="str">
        <f t="shared" si="174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3"/>
        <v>DDm100-27</v>
      </c>
    </row>
    <row r="244" spans="1:53">
      <c r="A244" s="35" t="s">
        <v>260</v>
      </c>
      <c r="B244" t="s">
        <v>1159</v>
      </c>
      <c r="C244" t="s">
        <v>1485</v>
      </c>
      <c r="D244" t="s">
        <v>1138</v>
      </c>
      <c r="E244" t="s">
        <v>840</v>
      </c>
      <c r="F244" t="s">
        <v>1193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1144</v>
      </c>
      <c r="Q244" t="s">
        <v>1168</v>
      </c>
      <c r="R244" t="s">
        <v>1487</v>
      </c>
      <c r="S244">
        <v>2.2507199999999998</v>
      </c>
      <c r="T244">
        <v>-1.07378</v>
      </c>
      <c r="U244" t="s">
        <v>1155</v>
      </c>
      <c r="V244" t="s">
        <v>1179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5"/>
        <v>13.461499999999999</v>
      </c>
      <c r="AC244" s="77">
        <f t="shared" si="176"/>
        <v>16.568000000000001</v>
      </c>
      <c r="AD244" s="77">
        <f t="shared" si="177"/>
        <v>80.194805194805184</v>
      </c>
      <c r="AE244" s="77">
        <f t="shared" si="178"/>
        <v>83.287671232876718</v>
      </c>
      <c r="AF244" s="77">
        <f t="shared" si="179"/>
        <v>-1.07378</v>
      </c>
      <c r="AG244" s="77">
        <f t="shared" si="180"/>
        <v>-47.708288903106563</v>
      </c>
      <c r="AH244" s="77">
        <f t="shared" si="181"/>
        <v>112.5</v>
      </c>
      <c r="AI244" s="77">
        <f t="shared" si="182"/>
        <v>3.3245</v>
      </c>
      <c r="AJ244" s="77">
        <f t="shared" si="183"/>
        <v>109.1755</v>
      </c>
      <c r="AK244" s="77">
        <f t="shared" si="184"/>
        <v>0</v>
      </c>
      <c r="AL244" s="77">
        <f t="shared" si="185"/>
        <v>109.1755</v>
      </c>
      <c r="AM244" s="77">
        <f t="shared" si="186"/>
        <v>97.044888888888892</v>
      </c>
      <c r="AN244" t="str">
        <f t="shared" si="172"/>
        <v/>
      </c>
      <c r="AO244" t="s">
        <v>1146</v>
      </c>
      <c r="AP244" t="str">
        <f t="shared" si="174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3"/>
        <v>12V125F</v>
      </c>
    </row>
    <row r="245" spans="1:53">
      <c r="A245" s="35" t="s">
        <v>261</v>
      </c>
      <c r="B245" t="s">
        <v>1164</v>
      </c>
      <c r="C245" t="s">
        <v>1488</v>
      </c>
      <c r="D245" t="s">
        <v>1138</v>
      </c>
      <c r="E245" t="s">
        <v>1489</v>
      </c>
      <c r="F245" t="s">
        <v>1140</v>
      </c>
      <c r="G245">
        <v>36.6</v>
      </c>
      <c r="H245">
        <v>4</v>
      </c>
      <c r="I245">
        <v>40</v>
      </c>
      <c r="J245">
        <v>2.1800000000000002</v>
      </c>
      <c r="K245" s="64">
        <v>45415</v>
      </c>
      <c r="L245">
        <v>4.78728</v>
      </c>
      <c r="M245">
        <v>2.6072799999999998</v>
      </c>
      <c r="N245">
        <v>3.8749498364999999</v>
      </c>
      <c r="O245">
        <v>1.6949498365</v>
      </c>
      <c r="P245" t="s">
        <v>1141</v>
      </c>
      <c r="Q245" t="s">
        <v>1168</v>
      </c>
      <c r="R245" t="s">
        <v>1174</v>
      </c>
      <c r="S245">
        <v>4.2119999999999997</v>
      </c>
      <c r="T245">
        <v>2.032</v>
      </c>
      <c r="U245" t="s">
        <v>1144</v>
      </c>
      <c r="V245" t="s">
        <v>1170</v>
      </c>
      <c r="W245">
        <v>5.0250000000000004</v>
      </c>
      <c r="X245">
        <v>2.8450000000000002</v>
      </c>
      <c r="Y245">
        <v>5</v>
      </c>
      <c r="AA245">
        <f>VLOOKUP(A245,Cover!A:R,18,0)</f>
        <v>1.5</v>
      </c>
      <c r="AB245" s="77">
        <f t="shared" si="175"/>
        <v>1.1072799999999998</v>
      </c>
      <c r="AC245" s="77">
        <f t="shared" si="176"/>
        <v>0.19494983649999997</v>
      </c>
      <c r="AD245" s="77">
        <f t="shared" si="177"/>
        <v>23.129626844471179</v>
      </c>
      <c r="AE245" s="77">
        <f t="shared" si="178"/>
        <v>5.0310286513563227</v>
      </c>
      <c r="AF245" s="77">
        <f t="shared" si="179"/>
        <v>0.53200000000000003</v>
      </c>
      <c r="AG245" s="77">
        <f t="shared" si="180"/>
        <v>12.630579297245966</v>
      </c>
      <c r="AH245" s="77">
        <f t="shared" si="181"/>
        <v>5.0250000000000004</v>
      </c>
      <c r="AI245" s="77">
        <f t="shared" si="182"/>
        <v>2.1800000000000002</v>
      </c>
      <c r="AJ245" s="77">
        <f t="shared" si="183"/>
        <v>2.8450000000000002</v>
      </c>
      <c r="AK245" s="77">
        <f t="shared" si="184"/>
        <v>1.5</v>
      </c>
      <c r="AL245" s="77">
        <f t="shared" si="185"/>
        <v>1.3450000000000002</v>
      </c>
      <c r="AM245" s="77">
        <f t="shared" si="186"/>
        <v>26.766169154228859</v>
      </c>
      <c r="AN245" t="str">
        <f t="shared" si="172"/>
        <v/>
      </c>
      <c r="AO245" t="s">
        <v>1146</v>
      </c>
      <c r="AP245" t="str">
        <f t="shared" si="174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3"/>
        <v>12V155F</v>
      </c>
    </row>
    <row r="246" spans="1:53">
      <c r="A246" s="35" t="s">
        <v>262</v>
      </c>
      <c r="B246" t="s">
        <v>1208</v>
      </c>
      <c r="C246" t="s">
        <v>1490</v>
      </c>
      <c r="D246" t="s">
        <v>1427</v>
      </c>
      <c r="E246" t="s">
        <v>1491</v>
      </c>
      <c r="F246" t="s">
        <v>1492</v>
      </c>
      <c r="G246">
        <v>20</v>
      </c>
      <c r="H246">
        <v>3</v>
      </c>
      <c r="I246">
        <v>9</v>
      </c>
      <c r="J246">
        <v>0.49049999999999999</v>
      </c>
      <c r="K246" s="64">
        <v>44720.583333333299</v>
      </c>
      <c r="L246">
        <v>1.744</v>
      </c>
      <c r="M246">
        <v>1.2535000000000001</v>
      </c>
      <c r="N246">
        <v>0.54500000000000004</v>
      </c>
      <c r="O246">
        <v>5.45E-2</v>
      </c>
      <c r="P246" t="s">
        <v>1141</v>
      </c>
      <c r="Q246" t="s">
        <v>1150</v>
      </c>
      <c r="R246" t="s">
        <v>1242</v>
      </c>
      <c r="S246">
        <v>2.6892</v>
      </c>
      <c r="T246">
        <v>2.1987000000000001</v>
      </c>
      <c r="U246" t="s">
        <v>1144</v>
      </c>
      <c r="V246" t="s">
        <v>1243</v>
      </c>
      <c r="W246">
        <v>6</v>
      </c>
      <c r="X246">
        <v>5.5095000000000001</v>
      </c>
      <c r="Y246">
        <v>1</v>
      </c>
      <c r="Z246" t="s">
        <v>1493</v>
      </c>
      <c r="AA246">
        <f>VLOOKUP(A246,Cover!A:R,18,0)</f>
        <v>0</v>
      </c>
      <c r="AB246" s="77">
        <f t="shared" si="175"/>
        <v>1.2535000000000001</v>
      </c>
      <c r="AC246" s="77">
        <f t="shared" si="176"/>
        <v>5.45E-2</v>
      </c>
      <c r="AD246" s="77">
        <f t="shared" si="177"/>
        <v>71.875</v>
      </c>
      <c r="AE246" s="77">
        <f t="shared" si="178"/>
        <v>10</v>
      </c>
      <c r="AF246" s="77">
        <f t="shared" si="179"/>
        <v>2.1987000000000001</v>
      </c>
      <c r="AG246" s="77">
        <f t="shared" si="180"/>
        <v>81.760374832663999</v>
      </c>
      <c r="AH246" s="77">
        <f t="shared" si="181"/>
        <v>6</v>
      </c>
      <c r="AI246" s="77">
        <f t="shared" si="182"/>
        <v>0.49049999999999999</v>
      </c>
      <c r="AJ246" s="77">
        <f t="shared" si="183"/>
        <v>5.5095000000000001</v>
      </c>
      <c r="AK246" s="77">
        <f t="shared" si="184"/>
        <v>0</v>
      </c>
      <c r="AL246" s="77">
        <f t="shared" si="185"/>
        <v>5.5095000000000001</v>
      </c>
      <c r="AM246" s="77">
        <f t="shared" si="186"/>
        <v>91.825000000000003</v>
      </c>
      <c r="AN246" t="str">
        <f t="shared" si="172"/>
        <v>Capped</v>
      </c>
      <c r="AO246" t="s">
        <v>1146</v>
      </c>
      <c r="AP246" t="str">
        <f t="shared" si="174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3"/>
        <v xml:space="preserve">12V101F </v>
      </c>
    </row>
    <row r="247" spans="1:53">
      <c r="A247" s="35" t="s">
        <v>263</v>
      </c>
      <c r="B247" t="s">
        <v>1176</v>
      </c>
      <c r="C247" t="s">
        <v>1494</v>
      </c>
      <c r="D247" t="s">
        <v>1138</v>
      </c>
      <c r="E247" t="s">
        <v>1029</v>
      </c>
      <c r="F247" t="s">
        <v>1153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1144</v>
      </c>
      <c r="Q247" t="s">
        <v>1150</v>
      </c>
      <c r="R247" t="s">
        <v>1369</v>
      </c>
      <c r="S247">
        <v>32.832000000000001</v>
      </c>
      <c r="T247">
        <v>8.9610000000000198</v>
      </c>
      <c r="U247" t="s">
        <v>1173</v>
      </c>
      <c r="V247" t="s">
        <v>1280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5"/>
        <v>6.2157999999999998</v>
      </c>
      <c r="AC247" s="77">
        <f t="shared" si="176"/>
        <v>-6.3955000000000002</v>
      </c>
      <c r="AD247" s="77">
        <f t="shared" si="177"/>
        <v>19.994981792915322</v>
      </c>
      <c r="AE247" s="77">
        <f t="shared" si="178"/>
        <v>-34.616113231035698</v>
      </c>
      <c r="AF247" s="77">
        <f t="shared" si="179"/>
        <v>7.9610000000000198</v>
      </c>
      <c r="AG247" s="77">
        <f t="shared" si="180"/>
        <v>24.247685185185247</v>
      </c>
      <c r="AH247" s="77">
        <f t="shared" si="181"/>
        <v>180</v>
      </c>
      <c r="AI247" s="77">
        <f t="shared" si="182"/>
        <v>23.870999999999999</v>
      </c>
      <c r="AJ247" s="77">
        <f t="shared" si="183"/>
        <v>156.12899999999999</v>
      </c>
      <c r="AK247" s="77">
        <f t="shared" si="184"/>
        <v>1</v>
      </c>
      <c r="AL247" s="77">
        <f t="shared" si="185"/>
        <v>155.12899999999999</v>
      </c>
      <c r="AM247" s="77">
        <f t="shared" si="186"/>
        <v>86.182777777777773</v>
      </c>
      <c r="AN247" t="str">
        <f t="shared" si="172"/>
        <v/>
      </c>
      <c r="AO247" t="s">
        <v>1146</v>
      </c>
      <c r="AP247" t="str">
        <f t="shared" si="174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3"/>
        <v>SBS EON 1800</v>
      </c>
    </row>
    <row r="248" spans="1:53">
      <c r="A248" s="35" t="s">
        <v>264</v>
      </c>
      <c r="B248" t="s">
        <v>1235</v>
      </c>
      <c r="C248" t="s">
        <v>1495</v>
      </c>
      <c r="D248" t="s">
        <v>1181</v>
      </c>
      <c r="E248" t="s">
        <v>1011</v>
      </c>
      <c r="F248" t="s">
        <v>1140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35.119799999999998</v>
      </c>
      <c r="O248">
        <v>27.7623</v>
      </c>
      <c r="P248" t="s">
        <v>1141</v>
      </c>
      <c r="Q248" t="s">
        <v>1150</v>
      </c>
      <c r="R248" t="s">
        <v>1161</v>
      </c>
      <c r="S248">
        <v>53.330399999999997</v>
      </c>
      <c r="T248">
        <v>45.972900000000003</v>
      </c>
      <c r="U248" t="s">
        <v>1160</v>
      </c>
      <c r="V248" t="s">
        <v>1496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5"/>
        <v>44.498339999999999</v>
      </c>
      <c r="AC248" s="77">
        <f t="shared" si="176"/>
        <v>25.362300000000001</v>
      </c>
      <c r="AD248" s="77">
        <f t="shared" si="177"/>
        <v>82.015760883989628</v>
      </c>
      <c r="AE248" s="77">
        <f t="shared" si="178"/>
        <v>72.216527428971702</v>
      </c>
      <c r="AF248" s="77">
        <f t="shared" si="179"/>
        <v>43.572900000000004</v>
      </c>
      <c r="AG248" s="77">
        <f t="shared" si="180"/>
        <v>81.703681202466143</v>
      </c>
      <c r="AH248" s="77">
        <f t="shared" si="181"/>
        <v>66</v>
      </c>
      <c r="AI248" s="77">
        <f t="shared" si="182"/>
        <v>7.3574999999999999</v>
      </c>
      <c r="AJ248" s="77">
        <f t="shared" si="183"/>
        <v>58.642499999999998</v>
      </c>
      <c r="AK248" s="77">
        <f t="shared" si="184"/>
        <v>2.4</v>
      </c>
      <c r="AL248" s="77">
        <f t="shared" si="185"/>
        <v>56.2425</v>
      </c>
      <c r="AM248" s="77">
        <f t="shared" si="186"/>
        <v>85.215909090909093</v>
      </c>
      <c r="AN248" t="str">
        <f t="shared" si="172"/>
        <v/>
      </c>
      <c r="AO248" t="s">
        <v>1146</v>
      </c>
      <c r="AP248" t="str">
        <f t="shared" si="174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3"/>
        <v>DDm125-33</v>
      </c>
    </row>
    <row r="249" spans="1:53">
      <c r="A249" s="35" t="s">
        <v>265</v>
      </c>
      <c r="B249" t="s">
        <v>1222</v>
      </c>
      <c r="C249" t="s">
        <v>1497</v>
      </c>
      <c r="D249" t="s">
        <v>1133</v>
      </c>
      <c r="E249" t="s">
        <v>1498</v>
      </c>
      <c r="F249" t="s">
        <v>1286</v>
      </c>
      <c r="G249">
        <v>37.5</v>
      </c>
      <c r="H249">
        <v>6</v>
      </c>
      <c r="I249">
        <v>0</v>
      </c>
      <c r="J249">
        <v>0</v>
      </c>
      <c r="K249" s="64">
        <v>45356</v>
      </c>
      <c r="L249">
        <v>8.1750000000000007</v>
      </c>
      <c r="M249">
        <v>8.1750000000000007</v>
      </c>
      <c r="N249">
        <v>8.1095998364999993</v>
      </c>
      <c r="O249">
        <v>8.1095998364999993</v>
      </c>
      <c r="P249" t="s">
        <v>1141</v>
      </c>
      <c r="Q249" t="s">
        <v>1168</v>
      </c>
      <c r="R249" t="s">
        <v>1174</v>
      </c>
      <c r="S249">
        <v>4.2119999999999997</v>
      </c>
      <c r="T249">
        <v>4.2119999999999997</v>
      </c>
      <c r="U249" t="s">
        <v>1224</v>
      </c>
      <c r="V249" t="s">
        <v>1243</v>
      </c>
      <c r="W249">
        <v>6</v>
      </c>
      <c r="X249">
        <v>6</v>
      </c>
      <c r="Y249">
        <v>1</v>
      </c>
      <c r="Z249" t="s">
        <v>1225</v>
      </c>
      <c r="AA249">
        <f>VLOOKUP(A249,Cover!A:R,18,0)</f>
        <v>0.9</v>
      </c>
      <c r="AB249" s="77">
        <f t="shared" si="175"/>
        <v>7.2750000000000004</v>
      </c>
      <c r="AC249" s="77">
        <f t="shared" si="176"/>
        <v>7.2095998364999989</v>
      </c>
      <c r="AD249" s="77">
        <f t="shared" si="177"/>
        <v>88.9908256880734</v>
      </c>
      <c r="AE249" s="77">
        <f t="shared" si="178"/>
        <v>88.902041800518376</v>
      </c>
      <c r="AF249" s="77">
        <f t="shared" si="179"/>
        <v>3.3119999999999998</v>
      </c>
      <c r="AG249" s="77">
        <f t="shared" si="180"/>
        <v>78.632478632478637</v>
      </c>
      <c r="AH249" s="77">
        <f t="shared" si="181"/>
        <v>6</v>
      </c>
      <c r="AI249" s="77">
        <f t="shared" si="182"/>
        <v>0</v>
      </c>
      <c r="AJ249" s="77">
        <f t="shared" si="183"/>
        <v>6</v>
      </c>
      <c r="AK249" s="77">
        <f t="shared" si="184"/>
        <v>0.9</v>
      </c>
      <c r="AL249" s="77">
        <f t="shared" si="185"/>
        <v>5.0999999999999996</v>
      </c>
      <c r="AM249" s="77">
        <f t="shared" si="186"/>
        <v>85</v>
      </c>
      <c r="AN249" t="str">
        <f t="shared" si="172"/>
        <v>Capped</v>
      </c>
      <c r="AO249" t="s">
        <v>1146</v>
      </c>
      <c r="AP249" t="str">
        <f t="shared" si="174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3"/>
        <v>12V155F</v>
      </c>
    </row>
    <row r="250" spans="1:53">
      <c r="A250" s="35" t="s">
        <v>266</v>
      </c>
      <c r="B250" t="s">
        <v>1222</v>
      </c>
      <c r="C250" t="s">
        <v>1499</v>
      </c>
      <c r="D250" t="s">
        <v>1138</v>
      </c>
      <c r="E250" t="s">
        <v>916</v>
      </c>
      <c r="F250" t="s">
        <v>1193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1141</v>
      </c>
      <c r="Q250" t="s">
        <v>1150</v>
      </c>
      <c r="R250" t="s">
        <v>1161</v>
      </c>
      <c r="S250">
        <v>53.330399999999997</v>
      </c>
      <c r="T250">
        <v>15.6709</v>
      </c>
      <c r="U250" t="s">
        <v>1186</v>
      </c>
      <c r="V250" t="s">
        <v>1500</v>
      </c>
      <c r="W250">
        <v>70.5</v>
      </c>
      <c r="X250">
        <v>32.840499999999999</v>
      </c>
      <c r="Y250">
        <v>34</v>
      </c>
      <c r="AA250">
        <f>VLOOKUP(A250,Cover!A:R,18,0)</f>
        <v>2.7</v>
      </c>
      <c r="AB250" s="77">
        <f t="shared" si="175"/>
        <v>19.590500000000002</v>
      </c>
      <c r="AC250" s="77">
        <f t="shared" si="176"/>
        <v>1.8780000000000001</v>
      </c>
      <c r="AD250" s="77">
        <f t="shared" si="177"/>
        <v>32.678065054211842</v>
      </c>
      <c r="AE250" s="77">
        <f t="shared" si="178"/>
        <v>4.4462858833974561</v>
      </c>
      <c r="AF250" s="77">
        <f t="shared" si="179"/>
        <v>12.9709</v>
      </c>
      <c r="AG250" s="77">
        <f t="shared" si="180"/>
        <v>24.321775197635869</v>
      </c>
      <c r="AH250" s="77">
        <f t="shared" si="181"/>
        <v>70.5</v>
      </c>
      <c r="AI250" s="77">
        <f t="shared" si="182"/>
        <v>37.659500000000001</v>
      </c>
      <c r="AJ250" s="77">
        <f t="shared" si="183"/>
        <v>32.840499999999999</v>
      </c>
      <c r="AK250" s="77">
        <f t="shared" si="184"/>
        <v>2.7</v>
      </c>
      <c r="AL250" s="77">
        <f t="shared" si="185"/>
        <v>30.140499999999999</v>
      </c>
      <c r="AM250" s="77">
        <f t="shared" si="186"/>
        <v>42.752482269503545</v>
      </c>
      <c r="AN250" t="str">
        <f t="shared" si="172"/>
        <v/>
      </c>
      <c r="AO250" t="s">
        <v>1146</v>
      </c>
      <c r="AP250" t="str">
        <f t="shared" si="174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3"/>
        <v>DDm125-33</v>
      </c>
    </row>
    <row r="251" spans="1:53">
      <c r="A251" s="35" t="s">
        <v>267</v>
      </c>
      <c r="B251" t="s">
        <v>1136</v>
      </c>
      <c r="C251" t="s">
        <v>1501</v>
      </c>
      <c r="D251" t="s">
        <v>1138</v>
      </c>
      <c r="E251" t="s">
        <v>799</v>
      </c>
      <c r="F251" t="s">
        <v>1140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1144</v>
      </c>
      <c r="Q251" t="s">
        <v>1150</v>
      </c>
      <c r="R251" t="s">
        <v>1154</v>
      </c>
      <c r="S251">
        <v>21.1248</v>
      </c>
      <c r="T251">
        <v>13.658300000000001</v>
      </c>
      <c r="U251" t="s">
        <v>1160</v>
      </c>
      <c r="V251" t="s">
        <v>1502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5"/>
        <v>13.874140000000001</v>
      </c>
      <c r="AC251" s="77">
        <f t="shared" si="176"/>
        <v>6.3792999999999997</v>
      </c>
      <c r="AD251" s="77">
        <f t="shared" si="177"/>
        <v>62.102697147440722</v>
      </c>
      <c r="AE251" s="77">
        <f t="shared" si="178"/>
        <v>42.970402403373342</v>
      </c>
      <c r="AF251" s="77">
        <f t="shared" si="179"/>
        <v>12.658300000000001</v>
      </c>
      <c r="AG251" s="77">
        <f t="shared" si="180"/>
        <v>59.921514049837164</v>
      </c>
      <c r="AH251" s="77">
        <f t="shared" si="181"/>
        <v>28.35</v>
      </c>
      <c r="AI251" s="77">
        <f t="shared" si="182"/>
        <v>7.4664999999999999</v>
      </c>
      <c r="AJ251" s="77">
        <f t="shared" si="183"/>
        <v>20.883500000000002</v>
      </c>
      <c r="AK251" s="77">
        <f t="shared" si="184"/>
        <v>1</v>
      </c>
      <c r="AL251" s="77">
        <f t="shared" si="185"/>
        <v>19.883500000000002</v>
      </c>
      <c r="AM251" s="77">
        <f t="shared" si="186"/>
        <v>70.135802469135797</v>
      </c>
      <c r="AN251" t="str">
        <f t="shared" si="172"/>
        <v/>
      </c>
      <c r="AO251" t="s">
        <v>1146</v>
      </c>
      <c r="AP251" t="str">
        <f t="shared" si="174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3"/>
        <v>DDm100-25</v>
      </c>
    </row>
    <row r="252" spans="1:53">
      <c r="A252" s="35" t="s">
        <v>268</v>
      </c>
      <c r="B252" t="s">
        <v>1188</v>
      </c>
      <c r="C252" t="s">
        <v>1503</v>
      </c>
      <c r="D252" t="s">
        <v>1181</v>
      </c>
      <c r="E252" t="s">
        <v>871</v>
      </c>
      <c r="F252" t="s">
        <v>1140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1141</v>
      </c>
      <c r="Q252" t="s">
        <v>1150</v>
      </c>
      <c r="R252" t="s">
        <v>1151</v>
      </c>
      <c r="S252">
        <v>26.1144</v>
      </c>
      <c r="T252">
        <v>16.413399999999999</v>
      </c>
      <c r="U252" t="s">
        <v>1141</v>
      </c>
      <c r="V252" t="s">
        <v>1504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5"/>
        <v>10.23964</v>
      </c>
      <c r="AC252" s="77">
        <f t="shared" si="176"/>
        <v>-0.85219999999999985</v>
      </c>
      <c r="AD252" s="77">
        <f t="shared" si="177"/>
        <v>45.834139039884263</v>
      </c>
      <c r="AE252" s="77">
        <f t="shared" si="178"/>
        <v>-7.5759192091600873</v>
      </c>
      <c r="AF252" s="77">
        <f t="shared" si="179"/>
        <v>14.013399999999999</v>
      </c>
      <c r="AG252" s="77">
        <f t="shared" si="180"/>
        <v>53.661581349753391</v>
      </c>
      <c r="AH252" s="77">
        <f t="shared" si="181"/>
        <v>11.1</v>
      </c>
      <c r="AI252" s="77">
        <f t="shared" si="182"/>
        <v>9.7010000000000005</v>
      </c>
      <c r="AJ252" s="77">
        <f t="shared" si="183"/>
        <v>1.3989999999999991</v>
      </c>
      <c r="AK252" s="77">
        <f t="shared" si="184"/>
        <v>2.4</v>
      </c>
      <c r="AL252" s="77">
        <f t="shared" si="185"/>
        <v>-1.0010000000000008</v>
      </c>
      <c r="AM252" s="77">
        <f t="shared" si="186"/>
        <v>-9.0180180180180241</v>
      </c>
      <c r="AN252" t="str">
        <f t="shared" si="172"/>
        <v/>
      </c>
      <c r="AO252" t="s">
        <v>1146</v>
      </c>
      <c r="AP252" t="str">
        <f t="shared" si="174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3"/>
        <v>DDm85-25</v>
      </c>
    </row>
    <row r="253" spans="1:53">
      <c r="A253" t="s">
        <v>269</v>
      </c>
      <c r="B253" t="s">
        <v>1202</v>
      </c>
      <c r="C253" t="s">
        <v>1505</v>
      </c>
      <c r="D253" t="s">
        <v>1138</v>
      </c>
      <c r="E253" t="s">
        <v>891</v>
      </c>
      <c r="F253" t="s">
        <v>1149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1144</v>
      </c>
      <c r="Q253" t="s">
        <v>1150</v>
      </c>
      <c r="R253" t="s">
        <v>1154</v>
      </c>
      <c r="S253">
        <v>21.1248</v>
      </c>
      <c r="T253">
        <v>8.0448000000000093</v>
      </c>
      <c r="U253" t="s">
        <v>1141</v>
      </c>
      <c r="V253" t="s">
        <v>1251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5"/>
        <v>12.08</v>
      </c>
      <c r="AC253" s="77">
        <f t="shared" si="176"/>
        <v>5.54</v>
      </c>
      <c r="AD253" s="77">
        <f t="shared" si="177"/>
        <v>46.177370030581038</v>
      </c>
      <c r="AE253" s="77">
        <f t="shared" si="178"/>
        <v>28.236493374108051</v>
      </c>
      <c r="AF253" s="77">
        <f t="shared" si="179"/>
        <v>7.0448000000000093</v>
      </c>
      <c r="AG253" s="77">
        <f t="shared" si="180"/>
        <v>33.348481405741168</v>
      </c>
      <c r="AH253" s="77">
        <f t="shared" si="181"/>
        <v>33</v>
      </c>
      <c r="AI253" s="77">
        <f t="shared" si="182"/>
        <v>13.08</v>
      </c>
      <c r="AJ253" s="77">
        <f t="shared" si="183"/>
        <v>19.920000000000002</v>
      </c>
      <c r="AK253" s="77">
        <f t="shared" si="184"/>
        <v>1</v>
      </c>
      <c r="AL253" s="77">
        <f t="shared" si="185"/>
        <v>18.920000000000002</v>
      </c>
      <c r="AM253" s="77">
        <f t="shared" si="186"/>
        <v>57.333333333333336</v>
      </c>
      <c r="AN253" t="str">
        <f t="shared" si="172"/>
        <v/>
      </c>
      <c r="AO253" t="s">
        <v>1146</v>
      </c>
      <c r="AP253" t="str">
        <f t="shared" si="174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3"/>
        <v>DDm100-25</v>
      </c>
    </row>
    <row r="254" spans="1:53">
      <c r="A254" t="s">
        <v>270</v>
      </c>
      <c r="B254" t="s">
        <v>1202</v>
      </c>
      <c r="C254" t="s">
        <v>1505</v>
      </c>
      <c r="D254" t="s">
        <v>1138</v>
      </c>
      <c r="E254" t="s">
        <v>892</v>
      </c>
      <c r="F254" t="s">
        <v>1205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1144</v>
      </c>
      <c r="Q254" t="s">
        <v>1150</v>
      </c>
      <c r="R254" t="s">
        <v>1178</v>
      </c>
      <c r="S254">
        <v>10.1088</v>
      </c>
      <c r="T254">
        <v>5.6506999999999801</v>
      </c>
      <c r="U254" t="s">
        <v>1144</v>
      </c>
      <c r="V254" t="s">
        <v>1152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5"/>
        <v>4.2618999999999998</v>
      </c>
      <c r="AC254" s="77">
        <f t="shared" si="176"/>
        <v>-4.3599999999999799E-2</v>
      </c>
      <c r="AD254" s="77">
        <f t="shared" si="177"/>
        <v>48.875</v>
      </c>
      <c r="AE254" s="77">
        <f t="shared" si="178"/>
        <v>-0.98765432098764971</v>
      </c>
      <c r="AF254" s="77">
        <f t="shared" si="179"/>
        <v>5.6506999999999801</v>
      </c>
      <c r="AG254" s="77">
        <f t="shared" si="180"/>
        <v>55.898820829376184</v>
      </c>
      <c r="AH254" s="77">
        <f t="shared" si="181"/>
        <v>22.5</v>
      </c>
      <c r="AI254" s="77">
        <f t="shared" si="182"/>
        <v>4.4581</v>
      </c>
      <c r="AJ254" s="77">
        <f t="shared" si="183"/>
        <v>18.041899999999998</v>
      </c>
      <c r="AK254" s="77">
        <f t="shared" si="184"/>
        <v>0</v>
      </c>
      <c r="AL254" s="77">
        <f t="shared" si="185"/>
        <v>18.041899999999998</v>
      </c>
      <c r="AM254" s="77">
        <f t="shared" si="186"/>
        <v>80.186222222222213</v>
      </c>
      <c r="AN254" t="str">
        <f t="shared" si="172"/>
        <v/>
      </c>
      <c r="AO254" t="s">
        <v>1146</v>
      </c>
      <c r="AP254" t="str">
        <f t="shared" si="174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3"/>
        <v>2DDm85-15</v>
      </c>
    </row>
    <row r="255" spans="1:53">
      <c r="A255" s="35"/>
      <c r="B255" s="35" t="s">
        <v>1159</v>
      </c>
      <c r="C255" s="35" t="s">
        <v>1295</v>
      </c>
      <c r="D255" s="35" t="s">
        <v>1138</v>
      </c>
      <c r="E255" s="35" t="s">
        <v>810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1144</v>
      </c>
      <c r="V255" s="35" t="s">
        <v>1152</v>
      </c>
      <c r="W255" s="102">
        <v>22.5</v>
      </c>
      <c r="X255" s="102">
        <v>18.041899999999998</v>
      </c>
      <c r="Y255" s="102">
        <v>42</v>
      </c>
      <c r="AA255" t="e">
        <f>VLOOKUP(A255,Cover!A:R,18,0)</f>
        <v>#N/A</v>
      </c>
      <c r="AB255" s="77" t="e">
        <f t="shared" si="175"/>
        <v>#N/A</v>
      </c>
      <c r="AC255" s="77" t="e">
        <f t="shared" si="176"/>
        <v>#N/A</v>
      </c>
      <c r="AD255" s="77" t="e">
        <f t="shared" si="177"/>
        <v>#N/A</v>
      </c>
      <c r="AE255" s="77" t="e">
        <f t="shared" si="178"/>
        <v>#N/A</v>
      </c>
      <c r="AF255" s="77" t="e">
        <f t="shared" si="179"/>
        <v>#N/A</v>
      </c>
      <c r="AG255" s="77" t="e">
        <f t="shared" si="180"/>
        <v>#N/A</v>
      </c>
      <c r="AH255" s="77">
        <f t="shared" si="181"/>
        <v>22.5</v>
      </c>
      <c r="AI255" s="77">
        <f t="shared" si="182"/>
        <v>0</v>
      </c>
      <c r="AJ255" s="77">
        <f t="shared" si="183"/>
        <v>22.5</v>
      </c>
      <c r="AK255" s="77" t="e">
        <f t="shared" si="184"/>
        <v>#N/A</v>
      </c>
      <c r="AL255" s="77" t="e">
        <f t="shared" si="185"/>
        <v>#N/A</v>
      </c>
      <c r="AM255" s="77" t="e">
        <f t="shared" si="186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1159</v>
      </c>
      <c r="C256" s="35" t="s">
        <v>1483</v>
      </c>
      <c r="D256" s="35" t="s">
        <v>1138</v>
      </c>
      <c r="E256" s="35" t="s">
        <v>1506</v>
      </c>
      <c r="F256" s="35" t="s">
        <v>1507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1141</v>
      </c>
      <c r="V256" s="35" t="s">
        <v>1508</v>
      </c>
      <c r="W256" s="102">
        <v>174</v>
      </c>
      <c r="X256" s="102">
        <v>174</v>
      </c>
      <c r="Y256" s="102">
        <v>5</v>
      </c>
      <c r="AA256" t="e">
        <f>VLOOKUP(A256,Cover!A:R,18,0)</f>
        <v>#N/A</v>
      </c>
      <c r="AB256" s="77" t="e">
        <f t="shared" si="175"/>
        <v>#N/A</v>
      </c>
      <c r="AC256" s="77" t="e">
        <f t="shared" si="176"/>
        <v>#N/A</v>
      </c>
      <c r="AD256" s="77" t="e">
        <f t="shared" si="177"/>
        <v>#N/A</v>
      </c>
      <c r="AE256" s="77" t="e">
        <f t="shared" si="178"/>
        <v>#N/A</v>
      </c>
      <c r="AF256" s="77" t="e">
        <f t="shared" si="179"/>
        <v>#N/A</v>
      </c>
      <c r="AG256" s="77" t="e">
        <f t="shared" si="180"/>
        <v>#N/A</v>
      </c>
      <c r="AH256" s="77">
        <f t="shared" si="181"/>
        <v>174</v>
      </c>
      <c r="AI256" s="77">
        <f t="shared" si="182"/>
        <v>0</v>
      </c>
      <c r="AJ256" s="77">
        <f t="shared" si="183"/>
        <v>174</v>
      </c>
      <c r="AK256" s="77" t="e">
        <f t="shared" si="184"/>
        <v>#N/A</v>
      </c>
      <c r="AL256" s="77" t="e">
        <f t="shared" si="185"/>
        <v>#N/A</v>
      </c>
      <c r="AM256" s="77" t="e">
        <f t="shared" si="186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1188</v>
      </c>
      <c r="C257" s="35" t="s">
        <v>1214</v>
      </c>
      <c r="D257" s="35" t="s">
        <v>1138</v>
      </c>
      <c r="E257" s="35" t="s">
        <v>865</v>
      </c>
      <c r="F257" s="35" t="s">
        <v>1507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1144</v>
      </c>
      <c r="V257" s="35" t="s">
        <v>1152</v>
      </c>
      <c r="W257" s="102">
        <v>22.5</v>
      </c>
      <c r="X257" s="102">
        <v>22.5</v>
      </c>
      <c r="Y257" s="102">
        <v>16</v>
      </c>
      <c r="AA257" t="e">
        <f>VLOOKUP(A257,Cover!A:R,18,0)</f>
        <v>#N/A</v>
      </c>
      <c r="AB257" s="77" t="e">
        <f t="shared" si="175"/>
        <v>#N/A</v>
      </c>
      <c r="AC257" s="77" t="e">
        <f t="shared" si="176"/>
        <v>#N/A</v>
      </c>
      <c r="AD257" s="77" t="e">
        <f t="shared" si="177"/>
        <v>#N/A</v>
      </c>
      <c r="AE257" s="77" t="e">
        <f t="shared" si="178"/>
        <v>#N/A</v>
      </c>
      <c r="AF257" s="77" t="e">
        <f t="shared" si="179"/>
        <v>#N/A</v>
      </c>
      <c r="AG257" s="77" t="e">
        <f t="shared" si="180"/>
        <v>#N/A</v>
      </c>
      <c r="AH257" s="77">
        <f t="shared" si="181"/>
        <v>22.5</v>
      </c>
      <c r="AI257" s="77">
        <f t="shared" si="182"/>
        <v>0</v>
      </c>
      <c r="AJ257" s="77">
        <f t="shared" si="183"/>
        <v>22.5</v>
      </c>
      <c r="AK257" s="77" t="e">
        <f t="shared" si="184"/>
        <v>#N/A</v>
      </c>
      <c r="AL257" s="77" t="e">
        <f t="shared" si="185"/>
        <v>#N/A</v>
      </c>
      <c r="AM257" s="77" t="e">
        <f t="shared" si="186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1188</v>
      </c>
      <c r="C258" s="35" t="s">
        <v>1377</v>
      </c>
      <c r="D258" s="35" t="s">
        <v>1138</v>
      </c>
      <c r="E258" s="35" t="s">
        <v>1509</v>
      </c>
      <c r="F258" s="35" t="s">
        <v>1507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1144</v>
      </c>
      <c r="V258" s="35" t="s">
        <v>1510</v>
      </c>
      <c r="W258" s="102">
        <v>7.6875</v>
      </c>
      <c r="X258" s="102">
        <v>7.6875</v>
      </c>
      <c r="Y258" s="102">
        <v>1</v>
      </c>
      <c r="AA258" t="e">
        <f>VLOOKUP(A258,Cover!A:R,18,0)</f>
        <v>#N/A</v>
      </c>
      <c r="AB258" s="77" t="e">
        <f t="shared" si="175"/>
        <v>#N/A</v>
      </c>
      <c r="AC258" s="77" t="e">
        <f t="shared" si="176"/>
        <v>#N/A</v>
      </c>
      <c r="AD258" s="77" t="e">
        <f t="shared" si="177"/>
        <v>#N/A</v>
      </c>
      <c r="AE258" s="77" t="e">
        <f t="shared" si="178"/>
        <v>#N/A</v>
      </c>
      <c r="AF258" s="77" t="e">
        <f t="shared" si="179"/>
        <v>#N/A</v>
      </c>
      <c r="AG258" s="77" t="e">
        <f t="shared" si="180"/>
        <v>#N/A</v>
      </c>
      <c r="AH258" s="77">
        <f t="shared" si="181"/>
        <v>7.6875</v>
      </c>
      <c r="AI258" s="77">
        <f t="shared" si="182"/>
        <v>0</v>
      </c>
      <c r="AJ258" s="77">
        <f t="shared" si="183"/>
        <v>7.6875</v>
      </c>
      <c r="AK258" s="77" t="e">
        <f t="shared" si="184"/>
        <v>#N/A</v>
      </c>
      <c r="AL258" s="77" t="e">
        <f t="shared" si="185"/>
        <v>#N/A</v>
      </c>
      <c r="AM258" s="77" t="e">
        <f t="shared" si="186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1202</v>
      </c>
      <c r="C259" s="35" t="s">
        <v>1379</v>
      </c>
      <c r="D259" s="35" t="s">
        <v>1133</v>
      </c>
      <c r="E259" s="35" t="s">
        <v>1511</v>
      </c>
      <c r="F259" s="35" t="s">
        <v>1507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1186</v>
      </c>
      <c r="V259" s="35" t="s">
        <v>1512</v>
      </c>
      <c r="W259" s="102">
        <v>41.25</v>
      </c>
      <c r="X259" s="102">
        <v>41.25</v>
      </c>
      <c r="Y259" s="102">
        <v>0</v>
      </c>
      <c r="AA259" t="e">
        <f>VLOOKUP(A259,Cover!A:R,18,0)</f>
        <v>#N/A</v>
      </c>
      <c r="AB259" s="77" t="e">
        <f t="shared" si="175"/>
        <v>#N/A</v>
      </c>
      <c r="AC259" s="77" t="e">
        <f t="shared" si="176"/>
        <v>#N/A</v>
      </c>
      <c r="AD259" s="77" t="e">
        <f t="shared" si="177"/>
        <v>#N/A</v>
      </c>
      <c r="AE259" s="77" t="e">
        <f t="shared" si="178"/>
        <v>#N/A</v>
      </c>
      <c r="AF259" s="77" t="e">
        <f t="shared" si="179"/>
        <v>#N/A</v>
      </c>
      <c r="AG259" s="77" t="e">
        <f t="shared" si="180"/>
        <v>#N/A</v>
      </c>
      <c r="AH259" s="77">
        <f t="shared" si="181"/>
        <v>41.25</v>
      </c>
      <c r="AI259" s="77">
        <f t="shared" si="182"/>
        <v>0</v>
      </c>
      <c r="AJ259" s="77">
        <f t="shared" si="183"/>
        <v>41.25</v>
      </c>
      <c r="AK259" s="77" t="e">
        <f t="shared" si="184"/>
        <v>#N/A</v>
      </c>
      <c r="AL259" s="77" t="e">
        <f t="shared" si="185"/>
        <v>#N/A</v>
      </c>
      <c r="AM259" s="77" t="e">
        <f t="shared" si="186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1202</v>
      </c>
      <c r="C260" s="35" t="s">
        <v>1379</v>
      </c>
      <c r="D260" s="35" t="s">
        <v>1133</v>
      </c>
      <c r="E260" s="35" t="s">
        <v>1511</v>
      </c>
      <c r="F260" s="35" t="s">
        <v>1507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1141</v>
      </c>
      <c r="V260" s="35" t="s">
        <v>1240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5"/>
        <v>#N/A</v>
      </c>
      <c r="AC260" s="77" t="e">
        <f t="shared" si="176"/>
        <v>#N/A</v>
      </c>
      <c r="AD260" s="77" t="e">
        <f t="shared" si="177"/>
        <v>#N/A</v>
      </c>
      <c r="AE260" s="77" t="e">
        <f t="shared" si="178"/>
        <v>#N/A</v>
      </c>
      <c r="AF260" s="77" t="e">
        <f t="shared" si="179"/>
        <v>#N/A</v>
      </c>
      <c r="AG260" s="77" t="e">
        <f t="shared" si="180"/>
        <v>#N/A</v>
      </c>
      <c r="AH260" s="77">
        <f t="shared" si="181"/>
        <v>11.25</v>
      </c>
      <c r="AI260" s="77">
        <f t="shared" si="182"/>
        <v>0</v>
      </c>
      <c r="AJ260" s="77">
        <f t="shared" si="183"/>
        <v>11.25</v>
      </c>
      <c r="AK260" s="77" t="e">
        <f t="shared" si="184"/>
        <v>#N/A</v>
      </c>
      <c r="AL260" s="77" t="e">
        <f t="shared" si="185"/>
        <v>#N/A</v>
      </c>
      <c r="AM260" s="77" t="e">
        <f t="shared" si="186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1202</v>
      </c>
      <c r="C261" s="35" t="s">
        <v>1379</v>
      </c>
      <c r="D261" s="35" t="s">
        <v>1133</v>
      </c>
      <c r="E261" s="35" t="s">
        <v>1513</v>
      </c>
      <c r="F261" s="35" t="s">
        <v>1507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1141</v>
      </c>
      <c r="V261" s="35" t="s">
        <v>1514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5"/>
        <v>#N/A</v>
      </c>
      <c r="AC261" s="77" t="e">
        <f t="shared" si="176"/>
        <v>#N/A</v>
      </c>
      <c r="AD261" s="77" t="e">
        <f t="shared" si="177"/>
        <v>#N/A</v>
      </c>
      <c r="AE261" s="77" t="e">
        <f t="shared" si="178"/>
        <v>#N/A</v>
      </c>
      <c r="AF261" s="77" t="e">
        <f t="shared" si="179"/>
        <v>#N/A</v>
      </c>
      <c r="AG261" s="77" t="e">
        <f t="shared" si="180"/>
        <v>#N/A</v>
      </c>
      <c r="AH261" s="77">
        <f t="shared" si="181"/>
        <v>48</v>
      </c>
      <c r="AI261" s="77">
        <f t="shared" si="182"/>
        <v>0</v>
      </c>
      <c r="AJ261" s="77">
        <f t="shared" si="183"/>
        <v>48</v>
      </c>
      <c r="AK261" s="77" t="e">
        <f t="shared" si="184"/>
        <v>#N/A</v>
      </c>
      <c r="AL261" s="77" t="e">
        <f t="shared" si="185"/>
        <v>#N/A</v>
      </c>
      <c r="AM261" s="77" t="e">
        <f t="shared" si="186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1202</v>
      </c>
      <c r="C262" s="35" t="s">
        <v>1379</v>
      </c>
      <c r="D262" s="35" t="s">
        <v>1138</v>
      </c>
      <c r="E262" s="35" t="s">
        <v>1515</v>
      </c>
      <c r="F262" s="35" t="s">
        <v>1507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1155</v>
      </c>
      <c r="V262" s="35" t="s">
        <v>1173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5"/>
        <v>#N/A</v>
      </c>
      <c r="AC262" s="77" t="e">
        <f t="shared" si="176"/>
        <v>#N/A</v>
      </c>
      <c r="AD262" s="77" t="e">
        <f t="shared" si="177"/>
        <v>#N/A</v>
      </c>
      <c r="AE262" s="77" t="e">
        <f t="shared" si="178"/>
        <v>#N/A</v>
      </c>
      <c r="AF262" s="77" t="e">
        <f t="shared" si="179"/>
        <v>#N/A</v>
      </c>
      <c r="AG262" s="77" t="e">
        <f t="shared" si="180"/>
        <v>#N/A</v>
      </c>
      <c r="AH262" s="77">
        <f t="shared" si="181"/>
        <v>6.75</v>
      </c>
      <c r="AI262" s="77">
        <f t="shared" si="182"/>
        <v>0</v>
      </c>
      <c r="AJ262" s="77">
        <f t="shared" si="183"/>
        <v>6.75</v>
      </c>
      <c r="AK262" s="77" t="e">
        <f t="shared" si="184"/>
        <v>#N/A</v>
      </c>
      <c r="AL262" s="77" t="e">
        <f t="shared" si="185"/>
        <v>#N/A</v>
      </c>
      <c r="AM262" s="77" t="e">
        <f t="shared" si="186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1208</v>
      </c>
      <c r="C263" s="35" t="s">
        <v>1267</v>
      </c>
      <c r="D263" s="35" t="s">
        <v>1138</v>
      </c>
      <c r="E263" s="35" t="s">
        <v>1516</v>
      </c>
      <c r="F263" s="35" t="s">
        <v>1507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1324</v>
      </c>
      <c r="V263" s="35" t="s">
        <v>1324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5"/>
        <v>#N/A</v>
      </c>
      <c r="AC263" s="77" t="e">
        <f t="shared" si="176"/>
        <v>#N/A</v>
      </c>
      <c r="AD263" s="77" t="e">
        <f t="shared" si="177"/>
        <v>#N/A</v>
      </c>
      <c r="AE263" s="77" t="e">
        <f t="shared" si="178"/>
        <v>#N/A</v>
      </c>
      <c r="AF263" s="77" t="e">
        <f t="shared" si="179"/>
        <v>#N/A</v>
      </c>
      <c r="AG263" s="77" t="e">
        <f t="shared" si="180"/>
        <v>#N/A</v>
      </c>
      <c r="AH263" s="77">
        <f t="shared" si="181"/>
        <v>0</v>
      </c>
      <c r="AI263" s="77">
        <f t="shared" si="182"/>
        <v>0</v>
      </c>
      <c r="AJ263" s="77">
        <f t="shared" si="183"/>
        <v>0</v>
      </c>
      <c r="AK263" s="77" t="e">
        <f t="shared" si="184"/>
        <v>#N/A</v>
      </c>
      <c r="AL263" s="77" t="e">
        <f t="shared" si="185"/>
        <v>#N/A</v>
      </c>
      <c r="AM263" s="77" t="e">
        <f t="shared" si="186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1147</v>
      </c>
      <c r="C264" s="35" t="s">
        <v>1148</v>
      </c>
      <c r="D264" s="35" t="s">
        <v>1138</v>
      </c>
      <c r="E264" s="35" t="s">
        <v>1324</v>
      </c>
      <c r="F264" s="35" t="s">
        <v>1507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1324</v>
      </c>
      <c r="V264" s="35" t="s">
        <v>1324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5"/>
        <v>#N/A</v>
      </c>
      <c r="AC264" s="77" t="e">
        <f t="shared" si="176"/>
        <v>#N/A</v>
      </c>
      <c r="AD264" s="77" t="e">
        <f t="shared" si="177"/>
        <v>#N/A</v>
      </c>
      <c r="AE264" s="77" t="e">
        <f t="shared" si="178"/>
        <v>#N/A</v>
      </c>
      <c r="AF264" s="77" t="e">
        <f t="shared" si="179"/>
        <v>#N/A</v>
      </c>
      <c r="AG264" s="77" t="e">
        <f t="shared" si="180"/>
        <v>#N/A</v>
      </c>
      <c r="AH264" s="77">
        <f t="shared" si="181"/>
        <v>0</v>
      </c>
      <c r="AI264" s="77">
        <f t="shared" si="182"/>
        <v>0</v>
      </c>
      <c r="AJ264" s="77">
        <f t="shared" si="183"/>
        <v>0</v>
      </c>
      <c r="AK264" s="77" t="e">
        <f t="shared" si="184"/>
        <v>#N/A</v>
      </c>
      <c r="AL264" s="77" t="e">
        <f t="shared" si="185"/>
        <v>#N/A</v>
      </c>
      <c r="AM264" s="77" t="e">
        <f t="shared" si="186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1147</v>
      </c>
      <c r="C265" s="35" t="s">
        <v>1517</v>
      </c>
      <c r="D265" s="35" t="s">
        <v>1138</v>
      </c>
      <c r="E265" s="35" t="s">
        <v>1518</v>
      </c>
      <c r="F265" s="35" t="s">
        <v>1507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1144</v>
      </c>
      <c r="V265" s="35" t="s">
        <v>1145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5"/>
        <v>#N/A</v>
      </c>
      <c r="AC265" s="77" t="e">
        <f t="shared" si="176"/>
        <v>#N/A</v>
      </c>
      <c r="AD265" s="77" t="e">
        <f t="shared" si="177"/>
        <v>#N/A</v>
      </c>
      <c r="AE265" s="77" t="e">
        <f t="shared" si="178"/>
        <v>#N/A</v>
      </c>
      <c r="AF265" s="77" t="e">
        <f t="shared" si="179"/>
        <v>#N/A</v>
      </c>
      <c r="AG265" s="77" t="e">
        <f t="shared" si="180"/>
        <v>#N/A</v>
      </c>
      <c r="AH265" s="77">
        <f t="shared" si="181"/>
        <v>7.5</v>
      </c>
      <c r="AI265" s="77">
        <f t="shared" si="182"/>
        <v>0</v>
      </c>
      <c r="AJ265" s="77">
        <f t="shared" si="183"/>
        <v>7.5</v>
      </c>
      <c r="AK265" s="77" t="e">
        <f t="shared" si="184"/>
        <v>#N/A</v>
      </c>
      <c r="AL265" s="77" t="e">
        <f t="shared" si="185"/>
        <v>#N/A</v>
      </c>
      <c r="AM265" s="77" t="e">
        <f t="shared" si="186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1147</v>
      </c>
      <c r="C266" s="35" t="s">
        <v>1328</v>
      </c>
      <c r="D266" s="35" t="s">
        <v>1138</v>
      </c>
      <c r="E266" s="35" t="s">
        <v>1519</v>
      </c>
      <c r="F266" s="35" t="s">
        <v>1507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1324</v>
      </c>
      <c r="V266" s="35" t="s">
        <v>1324</v>
      </c>
      <c r="W266" s="102"/>
      <c r="X266" s="102"/>
      <c r="Y266" s="102">
        <v>210</v>
      </c>
      <c r="Z266" s="35" t="s">
        <v>1520</v>
      </c>
      <c r="AA266" t="e">
        <f>VLOOKUP(A266,Cover!A:R,18,0)</f>
        <v>#N/A</v>
      </c>
      <c r="AB266" s="77" t="e">
        <f t="shared" si="175"/>
        <v>#N/A</v>
      </c>
      <c r="AC266" s="77" t="e">
        <f t="shared" si="176"/>
        <v>#N/A</v>
      </c>
      <c r="AD266" s="77" t="e">
        <f t="shared" si="177"/>
        <v>#N/A</v>
      </c>
      <c r="AE266" s="77" t="e">
        <f t="shared" si="178"/>
        <v>#N/A</v>
      </c>
      <c r="AF266" s="77" t="e">
        <f t="shared" si="179"/>
        <v>#N/A</v>
      </c>
      <c r="AG266" s="77" t="e">
        <f t="shared" si="180"/>
        <v>#N/A</v>
      </c>
      <c r="AH266" s="77">
        <f t="shared" si="181"/>
        <v>0</v>
      </c>
      <c r="AI266" s="77">
        <f t="shared" si="182"/>
        <v>0</v>
      </c>
      <c r="AJ266" s="77">
        <f t="shared" si="183"/>
        <v>0</v>
      </c>
      <c r="AK266" s="77" t="e">
        <f t="shared" si="184"/>
        <v>#N/A</v>
      </c>
      <c r="AL266" s="77" t="e">
        <f t="shared" si="185"/>
        <v>#N/A</v>
      </c>
      <c r="AM266" s="77" t="e">
        <f t="shared" si="186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1147</v>
      </c>
      <c r="C267" s="35" t="s">
        <v>1521</v>
      </c>
      <c r="D267" s="35" t="s">
        <v>1138</v>
      </c>
      <c r="E267" s="35" t="s">
        <v>1522</v>
      </c>
      <c r="F267" s="35" t="s">
        <v>1507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1145</v>
      </c>
      <c r="V267" s="35" t="s">
        <v>1234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5"/>
        <v>#N/A</v>
      </c>
      <c r="AC267" s="77" t="e">
        <f t="shared" si="176"/>
        <v>#N/A</v>
      </c>
      <c r="AD267" s="77" t="e">
        <f t="shared" si="177"/>
        <v>#N/A</v>
      </c>
      <c r="AE267" s="77" t="e">
        <f t="shared" si="178"/>
        <v>#N/A</v>
      </c>
      <c r="AF267" s="77" t="e">
        <f t="shared" si="179"/>
        <v>#N/A</v>
      </c>
      <c r="AG267" s="77" t="e">
        <f t="shared" si="180"/>
        <v>#N/A</v>
      </c>
      <c r="AH267" s="77">
        <f t="shared" si="181"/>
        <v>67.5</v>
      </c>
      <c r="AI267" s="77">
        <f t="shared" si="182"/>
        <v>0</v>
      </c>
      <c r="AJ267" s="77">
        <f t="shared" si="183"/>
        <v>67.5</v>
      </c>
      <c r="AK267" s="77" t="e">
        <f t="shared" si="184"/>
        <v>#N/A</v>
      </c>
      <c r="AL267" s="77" t="e">
        <f t="shared" si="185"/>
        <v>#N/A</v>
      </c>
      <c r="AM267" s="77" t="e">
        <f t="shared" si="186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1184</v>
      </c>
      <c r="C268" s="35" t="s">
        <v>1185</v>
      </c>
      <c r="D268" s="35" t="s">
        <v>1133</v>
      </c>
      <c r="E268" s="35" t="s">
        <v>964</v>
      </c>
      <c r="F268" s="35" t="s">
        <v>1507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1229</v>
      </c>
      <c r="V268" s="35" t="s">
        <v>1523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7">M268-AA268</f>
        <v>#N/A</v>
      </c>
      <c r="AC268" s="77" t="e">
        <f t="shared" ref="AC268" si="218">O268-AA268</f>
        <v>#N/A</v>
      </c>
      <c r="AD268" s="77" t="e">
        <f t="shared" ref="AD268" si="219">AB268/L268%</f>
        <v>#N/A</v>
      </c>
      <c r="AE268" s="77" t="e">
        <f t="shared" ref="AE268" si="220">AC268/N268%</f>
        <v>#N/A</v>
      </c>
      <c r="AF268" s="77" t="e">
        <f t="shared" ref="AF268" si="221">T268-AA268</f>
        <v>#N/A</v>
      </c>
      <c r="AG268" s="77" t="e">
        <f t="shared" ref="AG268" si="222">AF268/S268%</f>
        <v>#N/A</v>
      </c>
      <c r="AH268" s="77">
        <f t="shared" ref="AH268" si="223">W268</f>
        <v>445.5</v>
      </c>
      <c r="AI268" s="77">
        <f t="shared" ref="AI268" si="224">J268</f>
        <v>0</v>
      </c>
      <c r="AJ268" s="77">
        <f t="shared" ref="AJ268" si="225">AH268-AI268</f>
        <v>445.5</v>
      </c>
      <c r="AK268" s="77" t="e">
        <f t="shared" ref="AK268" si="226">AA268</f>
        <v>#N/A</v>
      </c>
      <c r="AL268" s="77" t="e">
        <f t="shared" ref="AL268" si="227">AJ268-AK268</f>
        <v>#N/A</v>
      </c>
      <c r="AM268" s="77" t="e">
        <f t="shared" ref="AM268" si="228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1184</v>
      </c>
      <c r="C269" s="35" t="s">
        <v>1451</v>
      </c>
      <c r="D269" s="35" t="s">
        <v>1133</v>
      </c>
      <c r="E269" s="35" t="s">
        <v>1002</v>
      </c>
      <c r="F269" s="259" t="s">
        <v>1507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1229</v>
      </c>
      <c r="V269" s="259" t="s">
        <v>1523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zUB+Zq7WGweANogTIWaYksZzGySV3jdgihTzyfiZv5dO8SOIYcted29uoEpgM4L/BGeF3XM/5mNt7S8DI1LI1Q==" saltValue="vyt3jmEHqlcCIx53KZBzfg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90" priority="11" operator="greaterThanOrEqual">
      <formula>25</formula>
    </cfRule>
    <cfRule type="cellIs" dxfId="89" priority="12" operator="between">
      <formula>10</formula>
      <formula>24.9999999999</formula>
    </cfRule>
    <cfRule type="cellIs" dxfId="88" priority="13" operator="between">
      <formula>0</formula>
      <formula>9.99999999</formula>
    </cfRule>
    <cfRule type="cellIs" dxfId="87" priority="14" operator="lessThan">
      <formula>0</formula>
    </cfRule>
  </conditionalFormatting>
  <conditionalFormatting sqref="AG8:AG268">
    <cfRule type="cellIs" dxfId="86" priority="7" operator="greaterThanOrEqual">
      <formula>25</formula>
    </cfRule>
    <cfRule type="cellIs" dxfId="85" priority="8" operator="between">
      <formula>10</formula>
      <formula>24.99999999</formula>
    </cfRule>
    <cfRule type="cellIs" dxfId="84" priority="9" operator="between">
      <formula>0</formula>
      <formula>9.999999999</formula>
    </cfRule>
    <cfRule type="cellIs" dxfId="83" priority="10" operator="lessThan">
      <formula>0</formula>
    </cfRule>
  </conditionalFormatting>
  <conditionalFormatting sqref="AM8:AM12 AM14:AM22 AM24:AM36 AM40:AM41 AM43:AM51 AM53:AM70 AM72 AM74:AM76 AM78:AM80 AM82:AM104 AM106:AM109 AM111:AM114 AM116:AM117 AM119 AM121:AM141 AM143 AM145:AM154 AM157 AM159 AM161:AM172 AM174:AM176 AM178 AM180 AM184:AM187 AM189:AM195 AM197:AM203 AM205:AM216 AM219 AM221 AM223:AM227 AM231:AM232 AM234:AM240 AM242 AM244:AM268">
    <cfRule type="cellIs" dxfId="82" priority="15" operator="greaterThanOrEqual">
      <formula>25</formula>
    </cfRule>
    <cfRule type="cellIs" dxfId="81" priority="16" operator="between">
      <formula>10</formula>
      <formula>24.9999999</formula>
    </cfRule>
    <cfRule type="cellIs" dxfId="80" priority="17" operator="between">
      <formula>0</formula>
      <formula>9.99999999</formula>
    </cfRule>
    <cfRule type="cellIs" dxfId="79" priority="18" operator="lessThan">
      <formula>0</formula>
    </cfRule>
  </conditionalFormatting>
  <conditionalFormatting sqref="AQ8:AU268">
    <cfRule type="cellIs" dxfId="78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R37"/>
  <sheetViews>
    <sheetView showGridLines="0" tabSelected="1" zoomScale="60" zoomScaleNormal="60" workbookViewId="0">
      <selection activeCell="D5" sqref="D5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71" t="s">
        <v>1524</v>
      </c>
      <c r="D3" s="372"/>
      <c r="E3" s="372"/>
      <c r="F3" s="372"/>
      <c r="G3" s="373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1525</v>
      </c>
      <c r="D5" s="129" t="s">
        <v>270</v>
      </c>
      <c r="E5" s="370" t="s">
        <v>1526</v>
      </c>
      <c r="F5" s="370"/>
      <c r="G5" s="370"/>
      <c r="H5" s="219"/>
    </row>
    <row r="6" spans="2:9" ht="18.75" customHeight="1">
      <c r="B6" s="218"/>
      <c r="C6" s="243" t="s">
        <v>1056</v>
      </c>
      <c r="D6" s="186" t="str">
        <f>VLOOKUP(D5,All!A8:H268,6,FALSE)</f>
        <v>Power One PMP 25.48 V3.0</v>
      </c>
      <c r="E6" s="370" t="s">
        <v>1526</v>
      </c>
      <c r="F6" s="370"/>
      <c r="G6" s="370"/>
      <c r="H6" s="219"/>
    </row>
    <row r="7" spans="2:9" ht="18.75" customHeight="1">
      <c r="B7" s="218"/>
      <c r="C7" s="243" t="s">
        <v>1057</v>
      </c>
      <c r="D7" s="186">
        <f>VLOOKUP(D5,All!A8:H268,8,FALSE)</f>
        <v>5</v>
      </c>
      <c r="E7" s="370" t="s">
        <v>1527</v>
      </c>
      <c r="F7" s="370"/>
      <c r="G7" s="370"/>
      <c r="H7" s="219"/>
    </row>
    <row r="8" spans="2:9" ht="18.75" customHeight="1">
      <c r="B8" s="218"/>
      <c r="C8" s="243" t="s">
        <v>1528</v>
      </c>
      <c r="D8" s="187">
        <f>VLOOKUP(D5,All!A8:I268,9,FALSE)</f>
        <v>81.8</v>
      </c>
      <c r="E8" s="374" t="s">
        <v>1529</v>
      </c>
      <c r="F8" s="375"/>
      <c r="G8" s="376"/>
      <c r="H8" s="223"/>
    </row>
    <row r="9" spans="2:9" ht="18.75" customHeight="1">
      <c r="B9" s="218"/>
      <c r="C9" s="243" t="s">
        <v>1530</v>
      </c>
      <c r="D9" s="187">
        <f>VLOOKUP(D5,'SYS Allocations'!A8:H269,8,FALSE)</f>
        <v>0</v>
      </c>
      <c r="E9" s="374" t="s">
        <v>1531</v>
      </c>
      <c r="F9" s="375"/>
      <c r="G9" s="376"/>
      <c r="H9" s="219"/>
    </row>
    <row r="10" spans="2:9" ht="18.75" customHeight="1">
      <c r="B10" s="218"/>
      <c r="C10" s="243" t="s">
        <v>1532</v>
      </c>
      <c r="D10" s="241"/>
      <c r="E10" s="377" t="s">
        <v>1533</v>
      </c>
      <c r="F10" s="378"/>
      <c r="G10" s="379"/>
      <c r="H10" s="219"/>
    </row>
    <row r="11" spans="2:9" s="117" customFormat="1" ht="18.75" customHeight="1">
      <c r="B11" s="121"/>
      <c r="C11" s="242" t="s">
        <v>1534</v>
      </c>
      <c r="D11" s="187">
        <f>SUM(D8:D10)</f>
        <v>81.8</v>
      </c>
      <c r="E11" s="370" t="s">
        <v>1044</v>
      </c>
      <c r="F11" s="370"/>
      <c r="G11" s="370"/>
      <c r="H11" s="224"/>
    </row>
    <row r="12" spans="2:9" s="117" customFormat="1" ht="18.75" customHeight="1">
      <c r="B12" s="121"/>
      <c r="C12" s="242" t="s">
        <v>1535</v>
      </c>
      <c r="D12" s="189">
        <f>(D11*54.5)/1000</f>
        <v>4.4580999999999991</v>
      </c>
      <c r="E12" s="370" t="s">
        <v>1044</v>
      </c>
      <c r="F12" s="370"/>
      <c r="G12" s="370"/>
      <c r="H12" s="224"/>
    </row>
    <row r="13" spans="2:9" s="117" customFormat="1" ht="18.75" customHeight="1">
      <c r="B13" s="121"/>
      <c r="C13" s="243" t="s">
        <v>1062</v>
      </c>
      <c r="D13" s="190" t="str">
        <f>VLOOKUP(D5,All!A8:R283,16,FALSE)</f>
        <v>2</v>
      </c>
      <c r="E13" s="370" t="s">
        <v>1063</v>
      </c>
      <c r="F13" s="370"/>
      <c r="G13" s="370"/>
      <c r="H13" s="224"/>
    </row>
    <row r="14" spans="2:9" s="117" customFormat="1" ht="18.75" customHeight="1">
      <c r="B14" s="121"/>
      <c r="C14" s="243" t="s">
        <v>1064</v>
      </c>
      <c r="D14" s="190" t="str">
        <f>VLOOKUP(D5,All!A8:AP283,42,FALSE)</f>
        <v>2DDm85-15</v>
      </c>
      <c r="E14" s="370" t="s">
        <v>1065</v>
      </c>
      <c r="F14" s="370"/>
      <c r="G14" s="370"/>
      <c r="H14" s="224"/>
    </row>
    <row r="15" spans="2:9" ht="18.75" customHeight="1">
      <c r="B15" s="218"/>
      <c r="C15" s="244" t="s">
        <v>1066</v>
      </c>
      <c r="D15" s="245">
        <f>(VLOOKUP(D14,Table7[],15,FALSE)*D13)</f>
        <v>119</v>
      </c>
      <c r="E15" s="370" t="s">
        <v>1044</v>
      </c>
      <c r="F15" s="370"/>
      <c r="G15" s="370"/>
      <c r="H15" s="219"/>
    </row>
    <row r="16" spans="2:9" s="117" customFormat="1" ht="18.75" customHeight="1">
      <c r="B16" s="121"/>
      <c r="C16" s="243" t="s">
        <v>1536</v>
      </c>
      <c r="D16" s="192">
        <f>D11+D15</f>
        <v>200.8</v>
      </c>
      <c r="E16" s="370" t="s">
        <v>1044</v>
      </c>
      <c r="F16" s="370"/>
      <c r="G16" s="370"/>
      <c r="H16" s="224"/>
      <c r="I16" s="225"/>
    </row>
    <row r="17" spans="2:1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18" s="117" customFormat="1" ht="28.5" customHeight="1">
      <c r="B18" s="121"/>
      <c r="C18" s="195"/>
      <c r="D18" s="246" t="s">
        <v>1537</v>
      </c>
      <c r="E18" s="196" t="s">
        <v>1538</v>
      </c>
      <c r="F18" s="205" t="s">
        <v>1070</v>
      </c>
      <c r="G18" s="196" t="s">
        <v>1539</v>
      </c>
      <c r="H18" s="224"/>
    </row>
    <row r="19" spans="2:18" s="117" customFormat="1" ht="18.75" customHeight="1">
      <c r="B19" s="121"/>
      <c r="C19" s="197" t="s">
        <v>1071</v>
      </c>
      <c r="D19" s="198">
        <f>((VLOOKUP(D6,Table83[],2,FALSE))*(D7-1))-(VLOOKUP(D14,Table7[],15,FALSE)*D13)</f>
        <v>81</v>
      </c>
      <c r="E19" s="247">
        <f>((VLOOKUP(D6,Table83[],2,FALSE))*(D7-1))*0.8</f>
        <v>160</v>
      </c>
      <c r="F19" s="381">
        <f>ROUNDUP((((VLOOKUP(D6,Rectifier_Lookup!A2:B37,2,FALSE))*(D7-1))-D16)/(VLOOKUP(D6,Rectifier_Lookup!A2:C37,2,FALSE)),0)</f>
        <v>-1</v>
      </c>
      <c r="G19" s="381">
        <f>ROUNDUP((D11-E19)/(VLOOKUP(D6,'[3]Rectifier Lookup'!A2:C37,3,FALSE)),0)</f>
        <v>-2</v>
      </c>
      <c r="H19" s="224"/>
    </row>
    <row r="20" spans="2:18" ht="15.75" customHeight="1">
      <c r="B20" s="218"/>
      <c r="C20" s="197" t="s">
        <v>1072</v>
      </c>
      <c r="D20" s="200">
        <f>(D19*54.5)/1000</f>
        <v>4.4145000000000003</v>
      </c>
      <c r="E20" s="200">
        <f>(E19*54.5)/1000</f>
        <v>8.7200000000000006</v>
      </c>
      <c r="F20" s="382"/>
      <c r="G20" s="382"/>
      <c r="H20" s="219"/>
    </row>
    <row r="21" spans="2:18" ht="15.75" customHeight="1">
      <c r="B21" s="218"/>
      <c r="C21" s="222"/>
      <c r="D21" s="222"/>
      <c r="E21" s="222"/>
      <c r="F21" s="222"/>
      <c r="G21" s="222"/>
      <c r="H21" s="219"/>
    </row>
    <row r="22" spans="2:18" ht="15.75" customHeight="1">
      <c r="B22" s="218"/>
      <c r="C22" s="202"/>
      <c r="D22" s="203" t="s">
        <v>1540</v>
      </c>
      <c r="E22" s="203" t="s">
        <v>1541</v>
      </c>
      <c r="F22" s="202"/>
      <c r="G22" s="202"/>
      <c r="H22" s="219"/>
      <c r="R22" s="214" t="s">
        <v>1542</v>
      </c>
    </row>
    <row r="23" spans="2:18" ht="15.75" customHeight="1">
      <c r="B23" s="218"/>
      <c r="C23" s="204" t="s">
        <v>1076</v>
      </c>
      <c r="D23" s="383">
        <f>D24/D19</f>
        <v>-9.8765432098765083E-3</v>
      </c>
      <c r="E23" s="384"/>
      <c r="F23" s="365" t="s">
        <v>1543</v>
      </c>
      <c r="G23" s="366"/>
      <c r="H23" s="219"/>
    </row>
    <row r="24" spans="2:18" ht="15.75" customHeight="1">
      <c r="B24" s="218"/>
      <c r="C24" s="197" t="s">
        <v>1071</v>
      </c>
      <c r="D24" s="198">
        <f>D19-D11</f>
        <v>-0.79999999999999716</v>
      </c>
      <c r="E24" s="247">
        <f>E19-D11</f>
        <v>78.2</v>
      </c>
      <c r="F24" s="202"/>
      <c r="G24" s="202"/>
      <c r="H24" s="219"/>
    </row>
    <row r="25" spans="2:18" ht="15.75" customHeight="1">
      <c r="B25" s="218"/>
      <c r="C25" s="197" t="s">
        <v>1072</v>
      </c>
      <c r="D25" s="200">
        <f>(D24*54.5)/1000</f>
        <v>-4.3599999999999847E-2</v>
      </c>
      <c r="E25" s="200">
        <f>(E24*54.5)/1000</f>
        <v>4.2619000000000007</v>
      </c>
      <c r="F25" s="202"/>
      <c r="G25" s="202"/>
      <c r="H25" s="219"/>
    </row>
    <row r="26" spans="2:18" ht="15.75" customHeight="1">
      <c r="B26" s="218"/>
      <c r="C26" s="222"/>
      <c r="D26" s="222"/>
      <c r="E26" s="222"/>
      <c r="F26" s="222"/>
      <c r="G26" s="222"/>
      <c r="H26" s="219"/>
    </row>
    <row r="27" spans="2:18" ht="15.75" customHeight="1">
      <c r="B27" s="218"/>
      <c r="C27" s="385" t="s">
        <v>1544</v>
      </c>
      <c r="D27" s="385"/>
      <c r="E27" s="385"/>
      <c r="F27" s="385"/>
      <c r="G27" s="385"/>
      <c r="H27" s="219"/>
    </row>
    <row r="28" spans="2:18" ht="15.75" customHeight="1">
      <c r="B28" s="218"/>
      <c r="C28" s="197" t="s">
        <v>1079</v>
      </c>
      <c r="D28" s="205" t="s">
        <v>1080</v>
      </c>
      <c r="E28" s="205" t="s">
        <v>1081</v>
      </c>
      <c r="F28" s="205" t="s">
        <v>1082</v>
      </c>
      <c r="G28" s="205" t="s">
        <v>1083</v>
      </c>
      <c r="H28" s="219"/>
    </row>
    <row r="29" spans="2:18" ht="15.75" customHeight="1">
      <c r="B29" s="218"/>
      <c r="C29" s="197" t="s">
        <v>1071</v>
      </c>
      <c r="D29" s="248">
        <f>VLOOKUP(D14,Table7[],6,FALSE)*D13</f>
        <v>450.23119266055051</v>
      </c>
      <c r="E29" s="248">
        <f>VLOOKUP(D14,Table7[],7,FALSE)*D13</f>
        <v>302.00366972477065</v>
      </c>
      <c r="F29" s="248">
        <f>VLOOKUP(D14,Table7[],8,FALSE)*D13</f>
        <v>229.87155963302752</v>
      </c>
      <c r="G29" s="248">
        <f>VLOOKUP(D14,Table7[],9,FALSE)*D13</f>
        <v>188.65321100917433</v>
      </c>
      <c r="H29" s="219"/>
    </row>
    <row r="30" spans="2:18" ht="15.75" customHeight="1">
      <c r="B30" s="218"/>
      <c r="C30" s="197" t="s">
        <v>1072</v>
      </c>
      <c r="D30" s="248">
        <f>VLOOKUP(D14,Table7[],10,FALSE)*D13</f>
        <v>24.537600000000001</v>
      </c>
      <c r="E30" s="248">
        <f>VLOOKUP(D14,Table7[],11,FALSE)*D13</f>
        <v>16.459199999999999</v>
      </c>
      <c r="F30" s="248">
        <f>VLOOKUP(D14,Table7[],12,FALSE)*D13</f>
        <v>12.528</v>
      </c>
      <c r="G30" s="248">
        <f>VLOOKUP(D14,Table7[],13,FALSE)*D13</f>
        <v>10.281600000000001</v>
      </c>
      <c r="H30" s="219"/>
    </row>
    <row r="31" spans="2:18" ht="21" customHeight="1" thickBot="1">
      <c r="B31" s="226"/>
      <c r="C31" s="249"/>
      <c r="D31" s="249"/>
      <c r="E31" s="249"/>
      <c r="F31" s="249"/>
      <c r="G31" s="249"/>
      <c r="H31" s="227"/>
    </row>
    <row r="32" spans="2:1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80" t="s">
        <v>1545</v>
      </c>
      <c r="D33" s="380"/>
      <c r="E33" s="380"/>
      <c r="F33" s="380"/>
      <c r="G33" s="380"/>
      <c r="H33" s="231"/>
    </row>
    <row r="34" spans="2:8" ht="15.75" customHeight="1">
      <c r="B34" s="230"/>
      <c r="C34" s="209" t="s">
        <v>1079</v>
      </c>
      <c r="D34" s="210" t="s">
        <v>1080</v>
      </c>
      <c r="E34" s="210" t="s">
        <v>1081</v>
      </c>
      <c r="F34" s="210" t="s">
        <v>1082</v>
      </c>
      <c r="G34" s="210" t="s">
        <v>1083</v>
      </c>
      <c r="H34" s="231"/>
    </row>
    <row r="35" spans="2:8" ht="15.75" customHeight="1">
      <c r="B35" s="230"/>
      <c r="C35" s="209" t="s">
        <v>1071</v>
      </c>
      <c r="D35" s="248">
        <f>VLOOKUP(D14,Table72[],6,FALSE)*D13</f>
        <v>400.20550458715599</v>
      </c>
      <c r="E35" s="248">
        <f>VLOOKUP(D14,Table72[],7,FALSE)*D13</f>
        <v>268.44770642201837</v>
      </c>
      <c r="F35" s="248">
        <f>VLOOKUP(D14,Table72[],8,FALSE)*D13</f>
        <v>204.3302752293578</v>
      </c>
      <c r="G35" s="248">
        <f>VLOOKUP(D14,Table72[],9,FALSE)*D13</f>
        <v>167.69174311926608</v>
      </c>
      <c r="H35" s="231"/>
    </row>
    <row r="36" spans="2:8" ht="15.75" customHeight="1">
      <c r="B36" s="230"/>
      <c r="C36" s="209" t="s">
        <v>1072</v>
      </c>
      <c r="D36" s="248">
        <f>VLOOKUP(D14,Table72[],10,FALSE)*D13</f>
        <v>21.811199999999999</v>
      </c>
      <c r="E36" s="248">
        <f>VLOOKUP(D14,Table72[],11,FALSE)*D13</f>
        <v>14.630400000000002</v>
      </c>
      <c r="F36" s="248">
        <f>VLOOKUP(D14,Table72[],12,FALSE)*D13</f>
        <v>11.135999999999999</v>
      </c>
      <c r="G36" s="248">
        <f>VLOOKUP(D14,Table72[],13,FALSE)*D13</f>
        <v>9.1392000000000007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Data!$I$2:$I$181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1546</v>
      </c>
      <c r="D1" s="52" t="s">
        <v>1547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1548</v>
      </c>
      <c r="C1" s="236" t="s">
        <v>1549</v>
      </c>
      <c r="D1" s="237" t="s">
        <v>1550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D18" workbookViewId="0">
      <selection activeCell="D18" sqref="D18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1551</v>
      </c>
      <c r="D1" s="52" t="s">
        <v>1552</v>
      </c>
      <c r="E1" s="52" t="s">
        <v>1553</v>
      </c>
      <c r="I1" s="52" t="s">
        <v>1554</v>
      </c>
    </row>
    <row r="2" spans="1:9">
      <c r="A2" t="str" cm="1">
        <f t="array" ref="A2:A207">_xlfn.UNIQUE(All!E8:E267)</f>
        <v>ABH</v>
      </c>
      <c r="C2" s="52" t="s">
        <v>802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917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275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848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845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1013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847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809</v>
      </c>
      <c r="D9" s="52" t="s">
        <v>88</v>
      </c>
      <c r="E9" s="52" t="s">
        <v>89</v>
      </c>
      <c r="I9" t="s">
        <v>33</v>
      </c>
    </row>
    <row r="10" spans="1:9">
      <c r="A10" t="str">
        <v>AYRN01</v>
      </c>
      <c r="C10" s="52" t="s">
        <v>981</v>
      </c>
      <c r="D10" s="52" t="s">
        <v>90</v>
      </c>
      <c r="E10" s="52" t="s">
        <v>91</v>
      </c>
      <c r="I10" t="s">
        <v>34</v>
      </c>
    </row>
    <row r="11" spans="1:9">
      <c r="A11" t="str">
        <v>AZTCD1</v>
      </c>
      <c r="C11" s="52" t="s">
        <v>853</v>
      </c>
      <c r="D11" s="52" t="s">
        <v>92</v>
      </c>
      <c r="E11" s="52" t="s">
        <v>93</v>
      </c>
      <c r="I11" t="s">
        <v>35</v>
      </c>
    </row>
    <row r="12" spans="1:9">
      <c r="A12" t="str">
        <v>BCT</v>
      </c>
      <c r="C12" s="52" t="s">
        <v>1555</v>
      </c>
      <c r="D12" s="52" t="s">
        <v>96</v>
      </c>
      <c r="E12" s="52" t="s">
        <v>97</v>
      </c>
      <c r="I12" t="s">
        <v>36</v>
      </c>
    </row>
    <row r="13" spans="1:9">
      <c r="A13" t="str">
        <v>BDEN02</v>
      </c>
      <c r="C13" s="52" t="s">
        <v>936</v>
      </c>
      <c r="D13" t="s">
        <v>118</v>
      </c>
      <c r="E13" s="52" t="s">
        <v>119</v>
      </c>
      <c r="I13" t="s">
        <v>37</v>
      </c>
    </row>
    <row r="14" spans="1:9">
      <c r="A14" t="str">
        <v>BDEN06</v>
      </c>
      <c r="C14" s="52" t="s">
        <v>939</v>
      </c>
      <c r="D14" s="52" t="s">
        <v>120</v>
      </c>
      <c r="E14" s="52" t="s">
        <v>121</v>
      </c>
      <c r="I14" t="s">
        <v>40</v>
      </c>
    </row>
    <row r="15" spans="1:9">
      <c r="A15" t="str">
        <v>BDFN02</v>
      </c>
      <c r="C15" s="52" t="s">
        <v>984</v>
      </c>
      <c r="D15" s="52" t="s">
        <v>1556</v>
      </c>
      <c r="E15" s="52" t="s">
        <v>1557</v>
      </c>
      <c r="I15" t="s">
        <v>41</v>
      </c>
    </row>
    <row r="16" spans="1:9">
      <c r="A16" t="str">
        <v>BFDTB1</v>
      </c>
      <c r="C16" s="52" t="s">
        <v>985</v>
      </c>
      <c r="D16" s="52" t="s">
        <v>130</v>
      </c>
      <c r="E16" s="52" t="s">
        <v>131</v>
      </c>
      <c r="I16" t="s">
        <v>42</v>
      </c>
    </row>
    <row r="17" spans="1:9">
      <c r="A17" t="str">
        <v>BFEC01</v>
      </c>
      <c r="C17" s="52" t="s">
        <v>1008</v>
      </c>
      <c r="D17" s="52" t="s">
        <v>133</v>
      </c>
      <c r="E17" s="52" t="s">
        <v>134</v>
      </c>
      <c r="I17" t="s">
        <v>43</v>
      </c>
    </row>
    <row r="18" spans="1:9">
      <c r="A18" t="str">
        <v>BFTN03</v>
      </c>
      <c r="C18" s="52" t="s">
        <v>941</v>
      </c>
      <c r="D18" s="52" t="s">
        <v>135</v>
      </c>
      <c r="E18" s="52" t="s">
        <v>136</v>
      </c>
      <c r="I18" t="s">
        <v>50</v>
      </c>
    </row>
    <row r="19" spans="1:9">
      <c r="A19" t="str">
        <v>BHMN07</v>
      </c>
      <c r="C19" s="52" t="s">
        <v>874</v>
      </c>
      <c r="D19" s="52" t="s">
        <v>157</v>
      </c>
      <c r="E19" s="52" t="s">
        <v>158</v>
      </c>
      <c r="I19" t="s">
        <v>51</v>
      </c>
    </row>
    <row r="20" spans="1:9">
      <c r="A20" t="str">
        <v>BHMN05</v>
      </c>
      <c r="C20" s="52" t="s">
        <v>876</v>
      </c>
      <c r="D20" s="52" t="s">
        <v>159</v>
      </c>
      <c r="E20" s="52" t="s">
        <v>160</v>
      </c>
      <c r="I20" t="s">
        <v>52</v>
      </c>
    </row>
    <row r="21" spans="1:9">
      <c r="A21" t="str">
        <v>BHMN08</v>
      </c>
      <c r="C21" s="52" t="s">
        <v>908</v>
      </c>
      <c r="D21" s="52" t="s">
        <v>173</v>
      </c>
      <c r="E21" s="52" t="s">
        <v>174</v>
      </c>
      <c r="I21" t="s">
        <v>53</v>
      </c>
    </row>
    <row r="22" spans="1:9">
      <c r="A22" t="str">
        <v>BHMTF1</v>
      </c>
      <c r="C22" s="52" t="s">
        <v>909</v>
      </c>
      <c r="D22" s="52" t="s">
        <v>175</v>
      </c>
      <c r="E22" s="52" t="s">
        <v>176</v>
      </c>
      <c r="I22" t="s">
        <v>54</v>
      </c>
    </row>
    <row r="23" spans="1:9">
      <c r="A23" t="str">
        <v>BHWCN1</v>
      </c>
      <c r="C23" s="52" t="s">
        <v>885</v>
      </c>
      <c r="D23" t="s">
        <v>188</v>
      </c>
      <c r="E23" t="s">
        <v>189</v>
      </c>
      <c r="I23" t="s">
        <v>59</v>
      </c>
    </row>
    <row r="24" spans="1:9">
      <c r="A24" t="str">
        <v>BIFTS1</v>
      </c>
      <c r="C24" s="52" t="s">
        <v>987</v>
      </c>
      <c r="D24" s="52" t="s">
        <v>194</v>
      </c>
      <c r="E24" s="52" t="s">
        <v>195</v>
      </c>
      <c r="I24" t="s">
        <v>60</v>
      </c>
    </row>
    <row r="25" spans="1:9">
      <c r="A25" t="str">
        <v>BKBN41</v>
      </c>
      <c r="C25" s="52" t="s">
        <v>1558</v>
      </c>
      <c r="D25" s="52" t="s">
        <v>196</v>
      </c>
      <c r="E25" s="52" t="s">
        <v>198</v>
      </c>
      <c r="I25" t="s">
        <v>61</v>
      </c>
    </row>
    <row r="26" spans="1:9">
      <c r="A26" t="str">
        <v>BKLN05</v>
      </c>
      <c r="C26" s="52" t="s">
        <v>1559</v>
      </c>
      <c r="D26" s="52" t="s">
        <v>197</v>
      </c>
      <c r="E26" s="52" t="s">
        <v>199</v>
      </c>
      <c r="I26" t="s">
        <v>1560</v>
      </c>
    </row>
    <row r="27" spans="1:9">
      <c r="A27" t="str">
        <v>BKLN05 Ext</v>
      </c>
      <c r="C27" s="52" t="s">
        <v>989</v>
      </c>
      <c r="D27" s="52" t="s">
        <v>200</v>
      </c>
      <c r="E27" s="52" t="s">
        <v>201</v>
      </c>
      <c r="I27" t="s">
        <v>62</v>
      </c>
    </row>
    <row r="28" spans="1:9">
      <c r="A28" t="str">
        <v>BMGV03</v>
      </c>
      <c r="C28" s="52" t="s">
        <v>1022</v>
      </c>
      <c r="D28" s="52" t="s">
        <v>203</v>
      </c>
      <c r="E28" s="52" t="s">
        <v>204</v>
      </c>
      <c r="I28" t="s">
        <v>63</v>
      </c>
    </row>
    <row r="29" spans="1:9">
      <c r="A29" t="str">
        <v>BMTDN1</v>
      </c>
      <c r="C29" s="52" t="s">
        <v>1442</v>
      </c>
      <c r="D29" s="52" t="s">
        <v>211</v>
      </c>
      <c r="E29" s="52" t="s">
        <v>212</v>
      </c>
      <c r="I29" t="s">
        <v>64</v>
      </c>
    </row>
    <row r="30" spans="1:9">
      <c r="A30" t="str">
        <v>BPL</v>
      </c>
      <c r="C30" s="52" t="s">
        <v>1561</v>
      </c>
      <c r="D30" s="52" t="s">
        <v>1562</v>
      </c>
      <c r="E30" s="52" t="s">
        <v>1563</v>
      </c>
      <c r="I30" t="s">
        <v>65</v>
      </c>
    </row>
    <row r="31" spans="1:9">
      <c r="A31" t="str">
        <v>BRETS1</v>
      </c>
      <c r="C31" s="52" t="s">
        <v>1564</v>
      </c>
      <c r="D31" t="s">
        <v>237</v>
      </c>
      <c r="E31" t="s">
        <v>238</v>
      </c>
      <c r="I31" t="s">
        <v>66</v>
      </c>
    </row>
    <row r="32" spans="1:9">
      <c r="A32" t="str">
        <v>BRRTS1</v>
      </c>
      <c r="C32" s="52" t="s">
        <v>1511</v>
      </c>
      <c r="D32" t="s">
        <v>248</v>
      </c>
      <c r="E32" s="52" t="s">
        <v>249</v>
      </c>
      <c r="I32" t="s">
        <v>67</v>
      </c>
    </row>
    <row r="33" spans="1:9">
      <c r="A33" t="str">
        <v>BSG</v>
      </c>
      <c r="C33" s="52" t="s">
        <v>1004</v>
      </c>
      <c r="D33" s="52" t="s">
        <v>251</v>
      </c>
      <c r="E33" s="52" t="s">
        <v>252</v>
      </c>
      <c r="I33" t="s">
        <v>68</v>
      </c>
    </row>
    <row r="34" spans="1:9">
      <c r="A34" t="str">
        <v>BSHN07</v>
      </c>
      <c r="C34" s="52" t="s">
        <v>837</v>
      </c>
      <c r="D34" s="52" t="s">
        <v>256</v>
      </c>
      <c r="E34" s="52" t="s">
        <v>257</v>
      </c>
      <c r="I34" t="s">
        <v>69</v>
      </c>
    </row>
    <row r="35" spans="1:9">
      <c r="A35" t="str">
        <v>BSHN03</v>
      </c>
      <c r="C35" s="52" t="s">
        <v>835</v>
      </c>
      <c r="D35" s="52" t="s">
        <v>258</v>
      </c>
      <c r="E35" s="52" t="s">
        <v>259</v>
      </c>
      <c r="I35" t="s">
        <v>70</v>
      </c>
    </row>
    <row r="36" spans="1:9">
      <c r="A36" t="str">
        <v>BTFTB1</v>
      </c>
      <c r="C36" s="52"/>
      <c r="I36" t="s">
        <v>71</v>
      </c>
    </row>
    <row r="37" spans="1:9">
      <c r="A37" t="str">
        <v>BTLCD1</v>
      </c>
      <c r="C37" s="52"/>
      <c r="I37" t="s">
        <v>72</v>
      </c>
    </row>
    <row r="38" spans="1:9">
      <c r="A38" t="str">
        <v>BTLN08</v>
      </c>
      <c r="I38" t="s">
        <v>73</v>
      </c>
    </row>
    <row r="39" spans="1:9">
      <c r="A39" t="str">
        <v>BTLN09</v>
      </c>
      <c r="I39" t="s">
        <v>74</v>
      </c>
    </row>
    <row r="40" spans="1:9">
      <c r="A40" t="str">
        <v>BTN</v>
      </c>
      <c r="I40" t="s">
        <v>75</v>
      </c>
    </row>
    <row r="41" spans="1:9">
      <c r="A41" t="str">
        <v>BTNW01</v>
      </c>
      <c r="I41" t="s">
        <v>76</v>
      </c>
    </row>
    <row r="42" spans="1:9">
      <c r="A42" t="str">
        <v>BTRTP1</v>
      </c>
      <c r="I42" t="s">
        <v>77</v>
      </c>
    </row>
    <row r="43" spans="1:9">
      <c r="A43" t="str">
        <v>BYR</v>
      </c>
      <c r="I43" t="s">
        <v>78</v>
      </c>
    </row>
    <row r="44" spans="1:9">
      <c r="A44" t="str">
        <v>CAMN02</v>
      </c>
      <c r="I44" t="s">
        <v>79</v>
      </c>
    </row>
    <row r="45" spans="1:9">
      <c r="A45" t="str">
        <v>CAMN41</v>
      </c>
      <c r="I45" t="s">
        <v>80</v>
      </c>
    </row>
    <row r="46" spans="1:9">
      <c r="A46" t="str">
        <v>CBY</v>
      </c>
      <c r="I46" t="s">
        <v>81</v>
      </c>
    </row>
    <row r="47" spans="1:9">
      <c r="A47" t="str">
        <v>CDFN02</v>
      </c>
      <c r="I47" t="s">
        <v>82</v>
      </c>
    </row>
    <row r="48" spans="1:9">
      <c r="A48" t="str">
        <v>CELL01</v>
      </c>
      <c r="I48" t="s">
        <v>83</v>
      </c>
    </row>
    <row r="49" spans="1:9">
      <c r="A49" t="str">
        <v>CFDTN1</v>
      </c>
      <c r="I49" t="s">
        <v>84</v>
      </c>
    </row>
    <row r="50" spans="1:9">
      <c r="A50" t="str">
        <v>CHDCD1</v>
      </c>
      <c r="I50" t="s">
        <v>85</v>
      </c>
    </row>
    <row r="51" spans="1:9">
      <c r="A51" t="str">
        <v>CHMN21</v>
      </c>
      <c r="I51" t="s">
        <v>86</v>
      </c>
    </row>
    <row r="52" spans="1:9">
      <c r="A52" t="str">
        <v>CHTN07</v>
      </c>
      <c r="I52" t="s">
        <v>87</v>
      </c>
    </row>
    <row r="53" spans="1:9">
      <c r="A53" t="str">
        <v>CHTTN3</v>
      </c>
      <c r="I53" t="s">
        <v>94</v>
      </c>
    </row>
    <row r="54" spans="1:9">
      <c r="A54" t="str">
        <v>CKNN03</v>
      </c>
      <c r="I54" t="s">
        <v>95</v>
      </c>
    </row>
    <row r="55" spans="1:9">
      <c r="A55" t="str">
        <v>COV</v>
      </c>
      <c r="I55" t="s">
        <v>98</v>
      </c>
    </row>
    <row r="56" spans="1:9">
      <c r="A56" t="str">
        <v>COWL02</v>
      </c>
      <c r="I56" t="s">
        <v>99</v>
      </c>
    </row>
    <row r="57" spans="1:9">
      <c r="A57" t="str">
        <v>CSLN13</v>
      </c>
      <c r="I57" t="s">
        <v>100</v>
      </c>
    </row>
    <row r="58" spans="1:9">
      <c r="A58" t="str">
        <v>CTNN01</v>
      </c>
      <c r="I58" t="s">
        <v>101</v>
      </c>
    </row>
    <row r="59" spans="1:9">
      <c r="A59" t="str">
        <v>CTRTK1</v>
      </c>
      <c r="I59" t="s">
        <v>102</v>
      </c>
    </row>
    <row r="60" spans="1:9">
      <c r="A60" t="str">
        <v>CTRTS1</v>
      </c>
      <c r="I60" t="s">
        <v>103</v>
      </c>
    </row>
    <row r="61" spans="1:9">
      <c r="A61" t="str">
        <v>CYNTN2(EXT'N)</v>
      </c>
      <c r="I61" t="s">
        <v>104</v>
      </c>
    </row>
    <row r="62" spans="1:9">
      <c r="A62" t="str">
        <v>DBY</v>
      </c>
      <c r="I62" t="s">
        <v>105</v>
      </c>
    </row>
    <row r="63" spans="1:9">
      <c r="A63" t="str">
        <v>DCT</v>
      </c>
      <c r="I63" t="s">
        <v>106</v>
      </c>
    </row>
    <row r="64" spans="1:9">
      <c r="A64" t="str">
        <v>DFSN01</v>
      </c>
      <c r="I64" t="s">
        <v>107</v>
      </c>
    </row>
    <row r="65" spans="1:9">
      <c r="A65" t="str">
        <v>DFSNC1</v>
      </c>
      <c r="I65" t="s">
        <v>108</v>
      </c>
    </row>
    <row r="66" spans="1:9">
      <c r="A66" t="str">
        <v>DGS</v>
      </c>
      <c r="I66" t="s">
        <v>109</v>
      </c>
    </row>
    <row r="67" spans="1:9">
      <c r="A67" t="str">
        <v>DHMNU1</v>
      </c>
      <c r="I67" t="s">
        <v>110</v>
      </c>
    </row>
    <row r="68" spans="1:9">
      <c r="A68" t="str">
        <v>DKTN08</v>
      </c>
      <c r="I68" t="s">
        <v>111</v>
      </c>
    </row>
    <row r="69" spans="1:9">
      <c r="A69" t="str">
        <v>DLD</v>
      </c>
      <c r="I69" t="s">
        <v>112</v>
      </c>
    </row>
    <row r="70" spans="1:9">
      <c r="A70" t="str">
        <v>DLNTC1</v>
      </c>
      <c r="I70" t="s">
        <v>113</v>
      </c>
    </row>
    <row r="71" spans="1:9">
      <c r="A71" t="str">
        <v>DNDN71</v>
      </c>
      <c r="I71" t="s">
        <v>114</v>
      </c>
    </row>
    <row r="72" spans="1:9">
      <c r="A72" t="str">
        <v>DNDTC1</v>
      </c>
      <c r="I72" t="s">
        <v>115</v>
      </c>
    </row>
    <row r="73" spans="1:9">
      <c r="A73" t="str">
        <v>DNFNP1</v>
      </c>
      <c r="I73" t="s">
        <v>116</v>
      </c>
    </row>
    <row r="74" spans="1:9">
      <c r="A74" t="str">
        <v>DONTN1</v>
      </c>
      <c r="I74" t="s">
        <v>117</v>
      </c>
    </row>
    <row r="75" spans="1:9">
      <c r="A75" t="str">
        <v>DVSTB1</v>
      </c>
      <c r="I75" t="s">
        <v>122</v>
      </c>
    </row>
    <row r="76" spans="1:9">
      <c r="A76" t="str">
        <v>DWLTM1</v>
      </c>
      <c r="I76" t="s">
        <v>123</v>
      </c>
    </row>
    <row r="77" spans="1:9">
      <c r="A77" t="str">
        <v>EBCTC1</v>
      </c>
      <c r="I77" t="s">
        <v>124</v>
      </c>
    </row>
    <row r="78" spans="1:9">
      <c r="A78" t="str">
        <v>EDBN07</v>
      </c>
      <c r="I78" t="s">
        <v>127</v>
      </c>
    </row>
    <row r="79" spans="1:9">
      <c r="A79" t="str">
        <v>EDBTG1</v>
      </c>
      <c r="I79" t="s">
        <v>128</v>
      </c>
    </row>
    <row r="80" spans="1:9">
      <c r="A80" t="str">
        <v>EDBTN1</v>
      </c>
      <c r="I80" t="s">
        <v>129</v>
      </c>
    </row>
    <row r="81" spans="1:9">
      <c r="A81" t="str">
        <v>EGNTM1</v>
      </c>
      <c r="I81" t="s">
        <v>132</v>
      </c>
    </row>
    <row r="82" spans="1:9">
      <c r="A82" t="str">
        <v>EVMN01</v>
      </c>
      <c r="I82" t="s">
        <v>137</v>
      </c>
    </row>
    <row r="83" spans="1:9">
      <c r="A83" t="str">
        <v>EXR</v>
      </c>
      <c r="I83" t="s">
        <v>138</v>
      </c>
    </row>
    <row r="84" spans="1:9">
      <c r="A84" t="str">
        <v>FKE</v>
      </c>
      <c r="I84" t="s">
        <v>139</v>
      </c>
    </row>
    <row r="85" spans="1:9">
      <c r="A85" t="str">
        <v>FLNTT1</v>
      </c>
      <c r="I85" t="s">
        <v>140</v>
      </c>
    </row>
    <row r="86" spans="1:9">
      <c r="A86" t="str">
        <v>FMYN31</v>
      </c>
      <c r="I86" t="s">
        <v>141</v>
      </c>
    </row>
    <row r="87" spans="1:9">
      <c r="A87" t="str">
        <v>FRNN03</v>
      </c>
      <c r="I87" t="s">
        <v>142</v>
      </c>
    </row>
    <row r="88" spans="1:9">
      <c r="A88" t="str">
        <v>GCRTB1</v>
      </c>
      <c r="I88" t="s">
        <v>143</v>
      </c>
    </row>
    <row r="89" spans="1:9">
      <c r="A89" t="str">
        <v>GFDCD1</v>
      </c>
      <c r="I89" t="s">
        <v>144</v>
      </c>
    </row>
    <row r="90" spans="1:9">
      <c r="A90" t="str">
        <v>GLWN07</v>
      </c>
      <c r="I90" t="s">
        <v>145</v>
      </c>
    </row>
    <row r="91" spans="1:9">
      <c r="A91" t="str">
        <v>GLWTO1</v>
      </c>
      <c r="I91" t="s">
        <v>146</v>
      </c>
    </row>
    <row r="92" spans="1:9">
      <c r="A92" t="str">
        <v>GLWTW1</v>
      </c>
      <c r="I92" t="s">
        <v>147</v>
      </c>
    </row>
    <row r="93" spans="1:9">
      <c r="A93" t="str">
        <v>GRSTB1</v>
      </c>
      <c r="I93" t="s">
        <v>148</v>
      </c>
    </row>
    <row r="94" spans="1:9">
      <c r="A94" t="str">
        <v>GWK</v>
      </c>
      <c r="I94" t="s">
        <v>149</v>
      </c>
    </row>
    <row r="95" spans="1:9">
      <c r="A95" t="str">
        <v>HHD</v>
      </c>
      <c r="I95" t="s">
        <v>150</v>
      </c>
    </row>
    <row r="96" spans="1:9">
      <c r="A96" t="str">
        <v>HLDA11</v>
      </c>
      <c r="I96" t="s">
        <v>151</v>
      </c>
    </row>
    <row r="97" spans="1:9">
      <c r="A97" t="str">
        <v>HLDA12</v>
      </c>
      <c r="I97" t="s">
        <v>152</v>
      </c>
    </row>
    <row r="98" spans="1:9">
      <c r="A98" t="str">
        <v>HLWN02</v>
      </c>
      <c r="I98" t="s">
        <v>153</v>
      </c>
    </row>
    <row r="99" spans="1:9">
      <c r="A99" t="str">
        <v>HRWN02</v>
      </c>
      <c r="I99" t="s">
        <v>154</v>
      </c>
    </row>
    <row r="100" spans="1:9">
      <c r="A100" t="str">
        <v>HTE</v>
      </c>
      <c r="I100" t="s">
        <v>155</v>
      </c>
    </row>
    <row r="101" spans="1:9">
      <c r="A101" t="str">
        <v>IGNN01</v>
      </c>
      <c r="I101" t="s">
        <v>156</v>
      </c>
    </row>
    <row r="102" spans="1:9">
      <c r="A102" t="str">
        <v>INVN41</v>
      </c>
      <c r="I102" t="s">
        <v>161</v>
      </c>
    </row>
    <row r="103" spans="1:9">
      <c r="A103" t="str">
        <v>INVTL1</v>
      </c>
      <c r="I103" t="s">
        <v>162</v>
      </c>
    </row>
    <row r="104" spans="1:9">
      <c r="A104" t="str">
        <v>IODN01</v>
      </c>
      <c r="I104" t="s">
        <v>163</v>
      </c>
    </row>
    <row r="105" spans="1:9">
      <c r="A105" t="str">
        <v>IODTA1</v>
      </c>
      <c r="I105" t="s">
        <v>164</v>
      </c>
    </row>
    <row r="106" spans="1:9">
      <c r="A106" t="str">
        <v>IPWTN1</v>
      </c>
      <c r="I106" t="s">
        <v>165</v>
      </c>
    </row>
    <row r="107" spans="1:9">
      <c r="A107" t="str">
        <v>IVER02</v>
      </c>
      <c r="I107" t="s">
        <v>166</v>
      </c>
    </row>
    <row r="108" spans="1:9">
      <c r="A108" t="str">
        <v>KLNN01</v>
      </c>
      <c r="I108" t="s">
        <v>167</v>
      </c>
    </row>
    <row r="109" spans="1:9">
      <c r="A109" t="str">
        <v>KNLTS1</v>
      </c>
      <c r="I109" t="s">
        <v>168</v>
      </c>
    </row>
    <row r="110" spans="1:9">
      <c r="A110" t="str">
        <v>LCT</v>
      </c>
      <c r="I110" t="s">
        <v>169</v>
      </c>
    </row>
    <row r="111" spans="1:9">
      <c r="A111" t="str">
        <v>LDMS13</v>
      </c>
      <c r="I111" t="s">
        <v>170</v>
      </c>
    </row>
    <row r="112" spans="1:9">
      <c r="A112" t="str">
        <v>LDSCD2</v>
      </c>
      <c r="I112" t="s">
        <v>171</v>
      </c>
    </row>
    <row r="113" spans="1:9">
      <c r="A113" t="str">
        <v>LDSN14</v>
      </c>
      <c r="I113" t="s">
        <v>1565</v>
      </c>
    </row>
    <row r="114" spans="1:9">
      <c r="A114" t="str">
        <v>LDSTS1</v>
      </c>
      <c r="I114" t="s">
        <v>177</v>
      </c>
    </row>
    <row r="115" spans="1:9">
      <c r="A115" t="str">
        <v>LIVN01</v>
      </c>
      <c r="I115" t="s">
        <v>178</v>
      </c>
    </row>
    <row r="116" spans="1:9">
      <c r="A116" t="str">
        <v>LLDTE1</v>
      </c>
      <c r="I116" t="s">
        <v>179</v>
      </c>
    </row>
    <row r="117" spans="1:9">
      <c r="A117" t="str">
        <v>LMSCN2</v>
      </c>
      <c r="I117" t="s">
        <v>180</v>
      </c>
    </row>
    <row r="118" spans="1:9">
      <c r="A118" t="str">
        <v>LPLTB1</v>
      </c>
      <c r="I118" t="s">
        <v>181</v>
      </c>
    </row>
    <row r="119" spans="1:9">
      <c r="A119" t="str">
        <v>LPLTK1</v>
      </c>
      <c r="I119" t="s">
        <v>182</v>
      </c>
    </row>
    <row r="120" spans="1:9">
      <c r="A120" t="str">
        <v>LSWN01</v>
      </c>
      <c r="I120" t="s">
        <v>183</v>
      </c>
    </row>
    <row r="121" spans="1:9">
      <c r="A121" t="str">
        <v>LTNDN1</v>
      </c>
      <c r="I121" t="s">
        <v>184</v>
      </c>
    </row>
    <row r="122" spans="1:9">
      <c r="A122" t="str">
        <v>MCRCD2</v>
      </c>
      <c r="I122" t="s">
        <v>185</v>
      </c>
    </row>
    <row r="123" spans="1:9">
      <c r="A123" t="str">
        <v>MCRN11</v>
      </c>
      <c r="I123" t="s">
        <v>186</v>
      </c>
    </row>
    <row r="124" spans="1:9">
      <c r="A124" t="str">
        <v>MCRN12</v>
      </c>
      <c r="I124" t="s">
        <v>187</v>
      </c>
    </row>
    <row r="125" spans="1:9">
      <c r="A125" t="str">
        <v>MDBTD1</v>
      </c>
      <c r="I125" t="s">
        <v>190</v>
      </c>
    </row>
    <row r="126" spans="1:9">
      <c r="A126" t="str">
        <v>MDE</v>
      </c>
      <c r="I126" t="s">
        <v>191</v>
      </c>
    </row>
    <row r="127" spans="1:9">
      <c r="A127" t="str">
        <v>MDFTB1</v>
      </c>
      <c r="I127" t="s">
        <v>192</v>
      </c>
    </row>
    <row r="128" spans="1:9">
      <c r="A128" t="str">
        <v>MKSTN1</v>
      </c>
      <c r="I128" t="s">
        <v>193</v>
      </c>
    </row>
    <row r="129" spans="1:9">
      <c r="A129" t="str">
        <v>NBYCD1</v>
      </c>
      <c r="I129" t="s">
        <v>202</v>
      </c>
    </row>
    <row r="130" spans="1:9">
      <c r="A130" t="str">
        <v>NECCD1</v>
      </c>
      <c r="I130" t="s">
        <v>205</v>
      </c>
    </row>
    <row r="131" spans="1:9">
      <c r="A131" t="str">
        <v>NGM</v>
      </c>
      <c r="I131" t="s">
        <v>206</v>
      </c>
    </row>
    <row r="132" spans="1:9">
      <c r="A132" t="str">
        <v>NGMTL1</v>
      </c>
      <c r="I132" t="s">
        <v>207</v>
      </c>
    </row>
    <row r="133" spans="1:9">
      <c r="A133" t="str">
        <v>NRWN51</v>
      </c>
      <c r="I133" t="s">
        <v>208</v>
      </c>
    </row>
    <row r="134" spans="1:9">
      <c r="A134" t="str">
        <v>NRWTN1</v>
      </c>
      <c r="I134" t="s">
        <v>209</v>
      </c>
    </row>
    <row r="135" spans="1:9">
      <c r="A135" t="str">
        <v>NULTB1</v>
      </c>
      <c r="I135" t="s">
        <v>210</v>
      </c>
    </row>
    <row r="136" spans="1:9">
      <c r="A136" t="str">
        <v>NWCN05</v>
      </c>
      <c r="I136" t="s">
        <v>213</v>
      </c>
    </row>
    <row r="137" spans="1:9">
      <c r="A137" t="str">
        <v>NWCNY1</v>
      </c>
      <c r="I137" t="s">
        <v>214</v>
      </c>
    </row>
    <row r="138" spans="1:9">
      <c r="A138" t="str">
        <v>NWPDN1</v>
      </c>
      <c r="I138" t="s">
        <v>215</v>
      </c>
    </row>
    <row r="139" spans="1:9">
      <c r="A139" t="str">
        <v>OHB</v>
      </c>
      <c r="I139" t="s">
        <v>216</v>
      </c>
    </row>
    <row r="140" spans="1:9">
      <c r="A140" t="str">
        <v>OKNN01</v>
      </c>
      <c r="I140" t="s">
        <v>217</v>
      </c>
    </row>
    <row r="141" spans="1:9">
      <c r="A141" t="str">
        <v>PCOTN1</v>
      </c>
      <c r="I141" t="s">
        <v>218</v>
      </c>
    </row>
    <row r="142" spans="1:9">
      <c r="A142" t="str">
        <v>PLY</v>
      </c>
      <c r="I142" t="s">
        <v>219</v>
      </c>
    </row>
    <row r="143" spans="1:9">
      <c r="A143" t="str">
        <v>PNRTN1</v>
      </c>
      <c r="I143" t="s">
        <v>220</v>
      </c>
    </row>
    <row r="144" spans="1:9">
      <c r="A144" t="str">
        <v>POLN02</v>
      </c>
      <c r="I144" t="s">
        <v>221</v>
      </c>
    </row>
    <row r="145" spans="1:9">
      <c r="A145" t="str">
        <v>PRDTB1</v>
      </c>
      <c r="I145" t="s">
        <v>222</v>
      </c>
    </row>
    <row r="146" spans="1:9">
      <c r="A146" t="str">
        <v>PRLN02</v>
      </c>
      <c r="I146" t="s">
        <v>223</v>
      </c>
    </row>
    <row r="147" spans="1:9">
      <c r="A147" t="str">
        <v>PTBTN1</v>
      </c>
      <c r="I147" t="s">
        <v>224</v>
      </c>
    </row>
    <row r="148" spans="1:9">
      <c r="A148" t="str">
        <v>PTHTL1</v>
      </c>
      <c r="I148" t="s">
        <v>225</v>
      </c>
    </row>
    <row r="149" spans="1:9">
      <c r="A149" t="str">
        <v>PTMDN1</v>
      </c>
      <c r="I149" t="s">
        <v>226</v>
      </c>
    </row>
    <row r="150" spans="1:9">
      <c r="A150" t="str">
        <v>PTMN03</v>
      </c>
      <c r="I150" t="s">
        <v>227</v>
      </c>
    </row>
    <row r="151" spans="1:9">
      <c r="A151" t="str">
        <v>RATE02</v>
      </c>
      <c r="I151" t="s">
        <v>228</v>
      </c>
    </row>
    <row r="152" spans="1:9">
      <c r="A152" t="str">
        <v>RCR</v>
      </c>
      <c r="I152" t="s">
        <v>229</v>
      </c>
    </row>
    <row r="153" spans="1:9">
      <c r="A153" t="str">
        <v>RDGCD2</v>
      </c>
      <c r="I153" t="s">
        <v>230</v>
      </c>
    </row>
    <row r="154" spans="1:9">
      <c r="A154" t="str">
        <v>RDG</v>
      </c>
      <c r="I154" t="s">
        <v>231</v>
      </c>
    </row>
    <row r="155" spans="1:9">
      <c r="A155" t="str">
        <v>RFDN11</v>
      </c>
      <c r="I155" t="s">
        <v>232</v>
      </c>
    </row>
    <row r="156" spans="1:9">
      <c r="A156" t="str">
        <v>SBHN01</v>
      </c>
      <c r="I156" t="s">
        <v>233</v>
      </c>
    </row>
    <row r="157" spans="1:9">
      <c r="A157" t="str">
        <v>SDN</v>
      </c>
      <c r="I157" t="s">
        <v>234</v>
      </c>
    </row>
    <row r="158" spans="1:9">
      <c r="A158" t="str">
        <v>SDNN06</v>
      </c>
      <c r="I158" t="s">
        <v>239</v>
      </c>
    </row>
    <row r="159" spans="1:9">
      <c r="A159" t="str">
        <v>SDNN13</v>
      </c>
      <c r="I159" t="s">
        <v>240</v>
      </c>
    </row>
    <row r="160" spans="1:9">
      <c r="A160" t="str">
        <v>SHD</v>
      </c>
      <c r="I160" t="s">
        <v>241</v>
      </c>
    </row>
    <row r="161" spans="1:9">
      <c r="A161" t="str">
        <v>SHDTR1</v>
      </c>
      <c r="I161" t="s">
        <v>242</v>
      </c>
    </row>
    <row r="162" spans="1:9">
      <c r="A162" t="str">
        <v>SHTN03</v>
      </c>
      <c r="I162" t="s">
        <v>243</v>
      </c>
    </row>
    <row r="163" spans="1:9">
      <c r="A163" t="str">
        <v>SLO</v>
      </c>
      <c r="I163" t="s">
        <v>244</v>
      </c>
    </row>
    <row r="164" spans="1:9">
      <c r="A164" t="str">
        <v>SMHN02</v>
      </c>
      <c r="I164" t="s">
        <v>245</v>
      </c>
    </row>
    <row r="165" spans="1:9">
      <c r="A165" t="str">
        <v>SNDTM1</v>
      </c>
      <c r="I165" t="s">
        <v>246</v>
      </c>
    </row>
    <row r="166" spans="1:9">
      <c r="A166" t="str">
        <v>SOLN02</v>
      </c>
      <c r="I166" t="s">
        <v>247</v>
      </c>
    </row>
    <row r="167" spans="1:9">
      <c r="A167" t="str">
        <v>SOSTN1</v>
      </c>
      <c r="I167" t="s">
        <v>250</v>
      </c>
    </row>
    <row r="168" spans="1:9">
      <c r="A168" t="str">
        <v>SOT</v>
      </c>
      <c r="I168" t="s">
        <v>253</v>
      </c>
    </row>
    <row r="169" spans="1:9">
      <c r="A169" t="str">
        <v>SQYN01</v>
      </c>
      <c r="I169" t="s">
        <v>254</v>
      </c>
    </row>
    <row r="170" spans="1:9">
      <c r="A170" t="str">
        <v>SQYN02</v>
      </c>
      <c r="I170" t="s">
        <v>255</v>
      </c>
    </row>
    <row r="171" spans="1:9">
      <c r="A171" t="str">
        <v>STEDN1</v>
      </c>
      <c r="I171" t="s">
        <v>260</v>
      </c>
    </row>
    <row r="172" spans="1:9">
      <c r="A172" t="str">
        <v>STGCD1</v>
      </c>
      <c r="I172" t="s">
        <v>261</v>
      </c>
    </row>
    <row r="173" spans="1:9">
      <c r="A173" t="str">
        <v>SWNN03</v>
      </c>
      <c r="I173" t="s">
        <v>262</v>
      </c>
    </row>
    <row r="174" spans="1:9">
      <c r="A174" t="str">
        <v>SWY</v>
      </c>
      <c r="I174" t="s">
        <v>263</v>
      </c>
    </row>
    <row r="175" spans="1:9">
      <c r="A175" t="str">
        <v>TELHS1</v>
      </c>
      <c r="I175" t="s">
        <v>264</v>
      </c>
    </row>
    <row r="176" spans="1:9">
      <c r="A176" t="str">
        <v>TELHS2</v>
      </c>
      <c r="I176" t="s">
        <v>265</v>
      </c>
    </row>
    <row r="177" spans="1:9">
      <c r="A177" t="str">
        <v>TGYN04</v>
      </c>
      <c r="I177" t="s">
        <v>266</v>
      </c>
    </row>
    <row r="178" spans="1:9">
      <c r="A178" t="str">
        <v>THOTC1</v>
      </c>
      <c r="I178" t="s">
        <v>267</v>
      </c>
    </row>
    <row r="179" spans="1:9">
      <c r="A179" t="str">
        <v>TNTTN1</v>
      </c>
      <c r="I179" t="s">
        <v>268</v>
      </c>
    </row>
    <row r="180" spans="1:9">
      <c r="A180" t="str">
        <v>TRON01</v>
      </c>
      <c r="I180" t="s">
        <v>269</v>
      </c>
    </row>
    <row r="181" spans="1:9">
      <c r="A181" t="str">
        <v>VHXN02</v>
      </c>
      <c r="I181" t="s">
        <v>270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gvGmzNjgHsIO/MjtWnfqDO24be5Y3jE53MQ3RtVsHAZLNctbJvpR7Qy4YzA7j+n+z7xa8kpM+6Y90BBcaCJL/g==" saltValue="ipeknDi8x/qIW3XAFdwZVw==" spinCount="100000" sheet="1" objects="1" scenarios="1"/>
  <autoFilter ref="A1:A208" xr:uid="{00000000-0009-0000-0000-000009000000}"/>
  <conditionalFormatting sqref="I96">
    <cfRule type="duplicateValues" dxfId="50" priority="2"/>
  </conditionalFormatting>
  <conditionalFormatting sqref="I137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1566</v>
      </c>
      <c r="B1" s="138" t="s">
        <v>1567</v>
      </c>
      <c r="C1" s="139" t="s">
        <v>1568</v>
      </c>
    </row>
    <row r="2" spans="1:3">
      <c r="A2" s="141" t="s">
        <v>1443</v>
      </c>
      <c r="B2" s="142">
        <v>50</v>
      </c>
      <c r="C2" s="142">
        <f>Table83[[#This Row],[Output (Amps)]]*0.8</f>
        <v>40</v>
      </c>
    </row>
    <row r="3" spans="1:3">
      <c r="A3" s="141" t="s">
        <v>1569</v>
      </c>
      <c r="B3" s="142">
        <v>31.3</v>
      </c>
      <c r="C3" s="142">
        <f>Table83[[#This Row],[Output (Amps)]]*0.8</f>
        <v>25.040000000000003</v>
      </c>
    </row>
    <row r="4" spans="1:3">
      <c r="A4" s="141" t="s">
        <v>1570</v>
      </c>
      <c r="B4" s="142">
        <v>43.8</v>
      </c>
      <c r="C4" s="142">
        <f>Table83[[#This Row],[Output (Amps)]]*0.8</f>
        <v>35.04</v>
      </c>
    </row>
    <row r="5" spans="1:3">
      <c r="A5" s="141" t="s">
        <v>1473</v>
      </c>
      <c r="B5" s="142">
        <v>50</v>
      </c>
      <c r="C5" s="142">
        <f>Table83[[#This Row],[Output (Amps)]]*0.8</f>
        <v>40</v>
      </c>
    </row>
    <row r="6" spans="1:3">
      <c r="A6" s="141" t="s">
        <v>1149</v>
      </c>
      <c r="B6" s="142">
        <v>75</v>
      </c>
      <c r="C6" s="142">
        <f>Table83[[#This Row],[Output (Amps)]]*0.8</f>
        <v>60</v>
      </c>
    </row>
    <row r="7" spans="1:3">
      <c r="A7" s="141" t="s">
        <v>1571</v>
      </c>
      <c r="B7" s="142">
        <v>30</v>
      </c>
      <c r="C7" s="142">
        <f>Table83[[#This Row],[Output (Amps)]]*0.8</f>
        <v>24</v>
      </c>
    </row>
    <row r="8" spans="1:3">
      <c r="A8" s="141" t="s">
        <v>1572</v>
      </c>
      <c r="B8" s="142">
        <v>37.5</v>
      </c>
      <c r="C8" s="142">
        <f>Table83[[#This Row],[Output (Amps)]]*0.8</f>
        <v>30</v>
      </c>
    </row>
    <row r="9" spans="1:3">
      <c r="A9" s="141" t="s">
        <v>1140</v>
      </c>
      <c r="B9" s="142">
        <v>36.6</v>
      </c>
      <c r="C9" s="142">
        <f>Table83[[#This Row],[Output (Amps)]]*0.8</f>
        <v>29.28</v>
      </c>
    </row>
    <row r="10" spans="1:3">
      <c r="A10" s="141" t="s">
        <v>1193</v>
      </c>
      <c r="B10" s="142">
        <v>55</v>
      </c>
      <c r="C10" s="142">
        <f>Table83[[#This Row],[Output (Amps)]]*0.8</f>
        <v>44</v>
      </c>
    </row>
    <row r="11" spans="1:3">
      <c r="A11" s="141" t="s">
        <v>1573</v>
      </c>
      <c r="B11" s="142">
        <v>60</v>
      </c>
      <c r="C11" s="142">
        <f>Table83[[#This Row],[Output (Amps)]]*0.8</f>
        <v>48</v>
      </c>
    </row>
    <row r="12" spans="1:3">
      <c r="A12" s="141" t="s">
        <v>1574</v>
      </c>
      <c r="B12" s="142">
        <v>29.1</v>
      </c>
      <c r="C12" s="142">
        <f>Table83[[#This Row],[Output (Amps)]]*0.8</f>
        <v>23.28</v>
      </c>
    </row>
    <row r="13" spans="1:3">
      <c r="A13" s="141" t="s">
        <v>1575</v>
      </c>
      <c r="B13" s="142">
        <v>37.5</v>
      </c>
      <c r="C13" s="142">
        <f>Table83[[#This Row],[Output (Amps)]]*0.8</f>
        <v>30</v>
      </c>
    </row>
    <row r="14" spans="1:3">
      <c r="A14" s="141" t="s">
        <v>1167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1182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1576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1577</v>
      </c>
      <c r="B17" s="142">
        <v>32</v>
      </c>
      <c r="C17" s="142">
        <f>Table83[[#This Row],[Output (Amps)]]*0.8</f>
        <v>25.6</v>
      </c>
    </row>
    <row r="18" spans="1:3">
      <c r="A18" s="141" t="s">
        <v>1401</v>
      </c>
      <c r="B18" s="142">
        <v>45</v>
      </c>
      <c r="C18" s="142">
        <f>Table83[[#This Row],[Output (Amps)]]*0.8</f>
        <v>36</v>
      </c>
    </row>
    <row r="19" spans="1:3">
      <c r="A19" s="141" t="s">
        <v>1205</v>
      </c>
      <c r="B19" s="142">
        <v>50</v>
      </c>
      <c r="C19" s="142">
        <f>Table83[[#This Row],[Output (Amps)]]*0.8</f>
        <v>40</v>
      </c>
    </row>
    <row r="20" spans="1:3">
      <c r="A20" s="141" t="s">
        <v>1578</v>
      </c>
      <c r="B20" s="142">
        <v>25</v>
      </c>
      <c r="C20" s="142">
        <f>Table83[[#This Row],[Output (Amps)]]*0.8</f>
        <v>20</v>
      </c>
    </row>
    <row r="21" spans="1:3">
      <c r="A21" s="141" t="s">
        <v>1579</v>
      </c>
      <c r="B21" s="142">
        <v>50</v>
      </c>
      <c r="C21" s="142">
        <f>Table83[[#This Row],[Output (Amps)]]*0.8</f>
        <v>40</v>
      </c>
    </row>
    <row r="22" spans="1:3">
      <c r="A22" s="143" t="s">
        <v>1580</v>
      </c>
      <c r="B22" s="142">
        <v>225</v>
      </c>
      <c r="C22" s="142">
        <f>Table83[[#This Row],[Output (Amps)]]*0.8</f>
        <v>180</v>
      </c>
    </row>
    <row r="23" spans="1:3">
      <c r="A23" s="143" t="s">
        <v>1581</v>
      </c>
      <c r="B23" s="142">
        <v>100</v>
      </c>
      <c r="C23" s="142">
        <f>Table83[[#This Row],[Output (Amps)]]*0.8</f>
        <v>80</v>
      </c>
    </row>
    <row r="24" spans="1:3">
      <c r="A24" s="143" t="s">
        <v>1232</v>
      </c>
      <c r="B24" s="272">
        <v>55</v>
      </c>
      <c r="C24" s="272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1582</v>
      </c>
      <c r="B2" s="386" t="s">
        <v>1583</v>
      </c>
      <c r="C2" s="387"/>
      <c r="D2" s="387"/>
      <c r="E2" s="388"/>
      <c r="F2" s="389" t="s">
        <v>1584</v>
      </c>
      <c r="G2" s="390"/>
      <c r="H2" s="390"/>
      <c r="I2" s="391"/>
      <c r="J2" s="392" t="s">
        <v>1585</v>
      </c>
      <c r="K2" s="393"/>
      <c r="L2" s="393"/>
      <c r="M2" s="394"/>
      <c r="N2" s="147"/>
      <c r="O2" s="147"/>
    </row>
    <row r="3" spans="1:16" s="154" customFormat="1" ht="15.6">
      <c r="A3" s="148" t="s">
        <v>1586</v>
      </c>
      <c r="B3" s="149" t="s">
        <v>1080</v>
      </c>
      <c r="C3" s="149" t="s">
        <v>1081</v>
      </c>
      <c r="D3" s="149" t="s">
        <v>1082</v>
      </c>
      <c r="E3" s="149" t="s">
        <v>1083</v>
      </c>
      <c r="F3" s="150" t="s">
        <v>1587</v>
      </c>
      <c r="G3" s="150" t="s">
        <v>1588</v>
      </c>
      <c r="H3" s="150" t="s">
        <v>1589</v>
      </c>
      <c r="I3" s="150" t="s">
        <v>1590</v>
      </c>
      <c r="J3" s="151" t="s">
        <v>1591</v>
      </c>
      <c r="K3" s="151" t="s">
        <v>1592</v>
      </c>
      <c r="L3" s="151" t="s">
        <v>1593</v>
      </c>
      <c r="M3" s="151" t="s">
        <v>1594</v>
      </c>
      <c r="N3" s="152" t="s">
        <v>1595</v>
      </c>
      <c r="O3" s="152" t="s">
        <v>1596</v>
      </c>
      <c r="P3" s="153" t="s">
        <v>1597</v>
      </c>
    </row>
    <row r="4" spans="1:16">
      <c r="A4" s="155" t="s">
        <v>1598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1206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1599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1271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1178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1330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1151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1355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1262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1600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1154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1157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1210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1339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1332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1161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1174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1601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1320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1247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1287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1487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1434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1602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1305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1603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1604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1605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1369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1606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1607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1608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1169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1609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1610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1195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1298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1471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1611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1409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1218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1612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1378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1613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1440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1614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1143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1615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1616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1582</v>
      </c>
      <c r="B2" s="386" t="s">
        <v>1583</v>
      </c>
      <c r="C2" s="387"/>
      <c r="D2" s="387"/>
      <c r="E2" s="388"/>
      <c r="F2" s="389" t="s">
        <v>1617</v>
      </c>
      <c r="G2" s="390"/>
      <c r="H2" s="390"/>
      <c r="I2" s="391"/>
      <c r="J2" s="392" t="s">
        <v>1618</v>
      </c>
      <c r="K2" s="393"/>
      <c r="L2" s="393"/>
      <c r="M2" s="394"/>
      <c r="N2" s="147"/>
      <c r="O2" s="147"/>
    </row>
    <row r="3" spans="1:16" s="154" customFormat="1" ht="15.6">
      <c r="A3" s="148" t="s">
        <v>1586</v>
      </c>
      <c r="B3" s="149" t="s">
        <v>1080</v>
      </c>
      <c r="C3" s="149" t="s">
        <v>1081</v>
      </c>
      <c r="D3" s="149" t="s">
        <v>1082</v>
      </c>
      <c r="E3" s="149" t="s">
        <v>1083</v>
      </c>
      <c r="F3" s="150" t="s">
        <v>1587</v>
      </c>
      <c r="G3" s="150" t="s">
        <v>1588</v>
      </c>
      <c r="H3" s="150" t="s">
        <v>1589</v>
      </c>
      <c r="I3" s="150" t="s">
        <v>1590</v>
      </c>
      <c r="J3" s="151" t="s">
        <v>1591</v>
      </c>
      <c r="K3" s="151" t="s">
        <v>1592</v>
      </c>
      <c r="L3" s="151" t="s">
        <v>1593</v>
      </c>
      <c r="M3" s="151" t="s">
        <v>1594</v>
      </c>
      <c r="N3" s="152" t="s">
        <v>1595</v>
      </c>
      <c r="O3" s="152" t="s">
        <v>1596</v>
      </c>
      <c r="P3" s="153" t="s">
        <v>1597</v>
      </c>
    </row>
    <row r="4" spans="1:16">
      <c r="A4" s="155" t="s">
        <v>1598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[4]!Table7[[#This Row],[Ah Rating]]/10</f>
        <v>#REF!</v>
      </c>
      <c r="P4" s="159" t="e">
        <f>[4]!Table7[[#This Row],[Temp]]</f>
        <v>#REF!</v>
      </c>
    </row>
    <row r="5" spans="1:16">
      <c r="A5" s="155" t="s">
        <v>1206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[4]!Table7[[#This Row],[Ah Rating]]/10</f>
        <v>#REF!</v>
      </c>
      <c r="P5" s="159" t="e">
        <f>[4]!Table7[[#This Row],[Temp]]</f>
        <v>#REF!</v>
      </c>
    </row>
    <row r="6" spans="1:16">
      <c r="A6" s="155" t="s">
        <v>1599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[4]!Table7[[#This Row],[Ah Rating]]/10</f>
        <v>#REF!</v>
      </c>
      <c r="P6" s="159" t="e">
        <f>[4]!Table7[[#This Row],[Temp]]</f>
        <v>#REF!</v>
      </c>
    </row>
    <row r="7" spans="1:16">
      <c r="A7" s="155" t="s">
        <v>1271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[4]!Table7[[#This Row],[Ah Rating]]/10</f>
        <v>#REF!</v>
      </c>
      <c r="P7" s="159" t="e">
        <f>[4]!Table7[[#This Row],[Temp]]</f>
        <v>#REF!</v>
      </c>
    </row>
    <row r="8" spans="1:16">
      <c r="A8" s="155" t="s">
        <v>1178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[4]!Table7[[#This Row],[Ah Rating]]/10</f>
        <v>#REF!</v>
      </c>
      <c r="P8" s="159" t="e">
        <f>[4]!Table7[[#This Row],[Temp]]</f>
        <v>#REF!</v>
      </c>
    </row>
    <row r="9" spans="1:16">
      <c r="A9" s="155" t="s">
        <v>1330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[4]!Table7[[#This Row],[Ah Rating]]/10</f>
        <v>#REF!</v>
      </c>
      <c r="P9" s="159" t="e">
        <f>[4]!Table7[[#This Row],[Temp]]</f>
        <v>#REF!</v>
      </c>
    </row>
    <row r="10" spans="1:16">
      <c r="A10" s="155" t="s">
        <v>1151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[4]!Table7[[#This Row],[Ah Rating]]/10</f>
        <v>#REF!</v>
      </c>
      <c r="P10" s="159" t="e">
        <f>[4]!Table7[[#This Row],[Temp]]</f>
        <v>#REF!</v>
      </c>
    </row>
    <row r="11" spans="1:16">
      <c r="A11" s="155" t="s">
        <v>1355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[4]!Table7[[#This Row],[Ah Rating]]/10</f>
        <v>#REF!</v>
      </c>
      <c r="P11" s="159" t="e">
        <f>[4]!Table7[[#This Row],[Temp]]</f>
        <v>#REF!</v>
      </c>
    </row>
    <row r="12" spans="1:16">
      <c r="A12" s="155" t="s">
        <v>1262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[4]!Table7[[#This Row],[Ah Rating]]/10</f>
        <v>#REF!</v>
      </c>
      <c r="P12" s="159" t="e">
        <f>[4]!Table7[[#This Row],[Temp]]</f>
        <v>#REF!</v>
      </c>
    </row>
    <row r="13" spans="1:16">
      <c r="A13" s="155" t="s">
        <v>1600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[4]!Table7[[#This Row],[Ah Rating]]/10</f>
        <v>#REF!</v>
      </c>
      <c r="P13" s="159" t="e">
        <f>[4]!Table7[[#This Row],[Temp]]</f>
        <v>#REF!</v>
      </c>
    </row>
    <row r="14" spans="1:16">
      <c r="A14" s="155" t="s">
        <v>1154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[4]!Table7[[#This Row],[Ah Rating]]/10</f>
        <v>#REF!</v>
      </c>
      <c r="P14" s="159" t="e">
        <f>[4]!Table7[[#This Row],[Temp]]</f>
        <v>#REF!</v>
      </c>
    </row>
    <row r="15" spans="1:16">
      <c r="A15" s="155" t="s">
        <v>1157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[4]!Table7[[#This Row],[Ah Rating]]/10</f>
        <v>#REF!</v>
      </c>
      <c r="P15" s="159" t="e">
        <f>[4]!Table7[[#This Row],[Temp]]</f>
        <v>#REF!</v>
      </c>
    </row>
    <row r="16" spans="1:16">
      <c r="A16" s="155" t="s">
        <v>1210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[4]!Table7[[#This Row],[Ah Rating]]/10</f>
        <v>#REF!</v>
      </c>
      <c r="P16" s="159" t="e">
        <f>[4]!Table7[[#This Row],[Temp]]</f>
        <v>#REF!</v>
      </c>
    </row>
    <row r="17" spans="1:16">
      <c r="A17" s="155" t="s">
        <v>1339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[4]!Table7[[#This Row],[Ah Rating]]/10</f>
        <v>#REF!</v>
      </c>
      <c r="P17" s="159" t="e">
        <f>[4]!Table7[[#This Row],[Temp]]</f>
        <v>#REF!</v>
      </c>
    </row>
    <row r="18" spans="1:16">
      <c r="A18" s="155" t="s">
        <v>1332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[4]!Table7[[#This Row],[Ah Rating]]/10</f>
        <v>#REF!</v>
      </c>
      <c r="P18" s="159" t="e">
        <f>[4]!Table7[[#This Row],[Temp]]</f>
        <v>#REF!</v>
      </c>
    </row>
    <row r="19" spans="1:16">
      <c r="A19" s="155" t="s">
        <v>1161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[4]!Table7[[#This Row],[Ah Rating]]/10</f>
        <v>#REF!</v>
      </c>
      <c r="P19" s="159" t="e">
        <f>[4]!Table7[[#This Row],[Temp]]</f>
        <v>#REF!</v>
      </c>
    </row>
    <row r="20" spans="1:16">
      <c r="A20" s="160" t="s">
        <v>1174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[4]!Table7[[#This Row],[Ah Rating]]/10</f>
        <v>#REF!</v>
      </c>
      <c r="P20" s="159" t="e">
        <f>[4]!Table7[[#This Row],[Temp]]</f>
        <v>#REF!</v>
      </c>
    </row>
    <row r="21" spans="1:16">
      <c r="A21" s="160" t="s">
        <v>1601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[4]!Table7[[#This Row],[Ah Rating]]/10</f>
        <v>#REF!</v>
      </c>
      <c r="P21" s="159" t="e">
        <f>[4]!Table7[[#This Row],[Temp]]</f>
        <v>#REF!</v>
      </c>
    </row>
    <row r="22" spans="1:16">
      <c r="A22" s="160" t="s">
        <v>1320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[4]!Table7[[#This Row],[Ah Rating]]/10</f>
        <v>#REF!</v>
      </c>
      <c r="P22" s="159" t="e">
        <f>[4]!Table7[[#This Row],[Temp]]</f>
        <v>#REF!</v>
      </c>
    </row>
    <row r="23" spans="1:16">
      <c r="A23" s="160" t="s">
        <v>1247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[4]!Table7[[#This Row],[Ah Rating]]/10</f>
        <v>#REF!</v>
      </c>
      <c r="P23" s="159" t="e">
        <f>[4]!Table7[[#This Row],[Temp]]</f>
        <v>#REF!</v>
      </c>
    </row>
    <row r="24" spans="1:16">
      <c r="A24" s="160" t="s">
        <v>1287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[4]!Table7[[#This Row],[Ah Rating]]/10</f>
        <v>#REF!</v>
      </c>
      <c r="P24" s="159" t="e">
        <f>[4]!Table7[[#This Row],[Temp]]</f>
        <v>#REF!</v>
      </c>
    </row>
    <row r="25" spans="1:16">
      <c r="A25" s="160" t="s">
        <v>1487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[4]!Table7[[#This Row],[Ah Rating]]/10</f>
        <v>#REF!</v>
      </c>
      <c r="P25" s="159" t="e">
        <f>[4]!Table7[[#This Row],[Temp]]</f>
        <v>#REF!</v>
      </c>
    </row>
    <row r="26" spans="1:16">
      <c r="A26" s="160" t="s">
        <v>1434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[4]!Table7[[#This Row],[Ah Rating]]/10</f>
        <v>#REF!</v>
      </c>
      <c r="P26" s="159" t="e">
        <f>[4]!Table7[[#This Row],[Temp]]</f>
        <v>#REF!</v>
      </c>
    </row>
    <row r="27" spans="1:16">
      <c r="A27" s="160" t="s">
        <v>1602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[4]!Table7[[#This Row],[Ah Rating]]/10</f>
        <v>#REF!</v>
      </c>
      <c r="P27" s="159" t="e">
        <f>[4]!Table7[[#This Row],[Temp]]</f>
        <v>#REF!</v>
      </c>
    </row>
    <row r="28" spans="1:16">
      <c r="A28" s="160" t="s">
        <v>1305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[4]!Table7[[#This Row],[Ah Rating]]/10</f>
        <v>#REF!</v>
      </c>
      <c r="P28" s="159" t="e">
        <f>[4]!Table7[[#This Row],[Temp]]</f>
        <v>#REF!</v>
      </c>
    </row>
    <row r="29" spans="1:16">
      <c r="A29" s="160" t="s">
        <v>1603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[4]!Table7[[#This Row],[Ah Rating]]/10</f>
        <v>#REF!</v>
      </c>
      <c r="P29" s="159" t="e">
        <f>[4]!Table7[[#This Row],[Temp]]</f>
        <v>#REF!</v>
      </c>
    </row>
    <row r="30" spans="1:16">
      <c r="A30" s="160" t="s">
        <v>1604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[4]!Table7[[#This Row],[Ah Rating]]/10</f>
        <v>#REF!</v>
      </c>
      <c r="P30" s="159" t="e">
        <f>[4]!Table7[[#This Row],[Temp]]</f>
        <v>#REF!</v>
      </c>
    </row>
    <row r="31" spans="1:16">
      <c r="A31" s="160" t="s">
        <v>1605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[4]!Table7[[#This Row],[Ah Rating]]/10</f>
        <v>#REF!</v>
      </c>
      <c r="P31" s="159" t="e">
        <f>[4]!Table7[[#This Row],[Temp]]</f>
        <v>#REF!</v>
      </c>
    </row>
    <row r="32" spans="1:16">
      <c r="A32" s="160" t="s">
        <v>1369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[4]!Table7[[#This Row],[Ah Rating]]/10</f>
        <v>#REF!</v>
      </c>
      <c r="P32" s="159" t="e">
        <f>[4]!Table7[[#This Row],[Temp]]</f>
        <v>#REF!</v>
      </c>
    </row>
    <row r="33" spans="1:16">
      <c r="A33" s="160" t="s">
        <v>1606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[4]!Table7[[#This Row],[Ah Rating]]/10</f>
        <v>#REF!</v>
      </c>
      <c r="P33" s="159" t="e">
        <f>[4]!Table7[[#This Row],[Temp]]</f>
        <v>#REF!</v>
      </c>
    </row>
    <row r="34" spans="1:16">
      <c r="A34" s="160" t="s">
        <v>1607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[4]!Table7[[#This Row],[Ah Rating]]/10</f>
        <v>#REF!</v>
      </c>
      <c r="P34" s="159" t="e">
        <f>[4]!Table7[[#This Row],[Temp]]</f>
        <v>#REF!</v>
      </c>
    </row>
    <row r="35" spans="1:16">
      <c r="A35" s="160" t="s">
        <v>1608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[4]!Table7[[#This Row],[Ah Rating]]/10</f>
        <v>#REF!</v>
      </c>
      <c r="P35" s="159" t="e">
        <f>[4]!Table7[[#This Row],[Temp]]</f>
        <v>#REF!</v>
      </c>
    </row>
    <row r="36" spans="1:16">
      <c r="A36" s="162" t="s">
        <v>1169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[4]!Table7[[#This Row],[Ah Rating]]/10</f>
        <v>#REF!</v>
      </c>
      <c r="P36" s="159" t="e">
        <f>[4]!Table7[[#This Row],[Temp]]</f>
        <v>#REF!</v>
      </c>
    </row>
    <row r="37" spans="1:16">
      <c r="A37" s="162" t="s">
        <v>1609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[4]!Table7[[#This Row],[Ah Rating]]/10</f>
        <v>#REF!</v>
      </c>
      <c r="P37" s="159" t="e">
        <f>[4]!Table7[[#This Row],[Temp]]</f>
        <v>#REF!</v>
      </c>
    </row>
    <row r="38" spans="1:16">
      <c r="A38" s="162" t="s">
        <v>1610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[4]!Table7[[#This Row],[Ah Rating]]/10</f>
        <v>#REF!</v>
      </c>
      <c r="P38" s="159" t="e">
        <f>[4]!Table7[[#This Row],[Temp]]</f>
        <v>#REF!</v>
      </c>
    </row>
    <row r="39" spans="1:16">
      <c r="A39" s="162" t="s">
        <v>1195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[4]!Table7[[#This Row],[Ah Rating]]/10</f>
        <v>#REF!</v>
      </c>
      <c r="P39" s="159" t="e">
        <f>[4]!Table7[[#This Row],[Temp]]</f>
        <v>#REF!</v>
      </c>
    </row>
    <row r="40" spans="1:16">
      <c r="A40" s="162" t="s">
        <v>1298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[4]!Table7[[#This Row],[Ah Rating]]/10</f>
        <v>#REF!</v>
      </c>
      <c r="P40" s="159" t="e">
        <f>[4]!Table7[[#This Row],[Temp]]</f>
        <v>#REF!</v>
      </c>
    </row>
    <row r="41" spans="1:16">
      <c r="A41" s="162" t="s">
        <v>1471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[4]!Table7[[#This Row],[Ah Rating]]/10</f>
        <v>#REF!</v>
      </c>
      <c r="P41" s="159" t="e">
        <f>[4]!Table7[[#This Row],[Temp]]</f>
        <v>#REF!</v>
      </c>
    </row>
    <row r="42" spans="1:16">
      <c r="A42" s="162" t="s">
        <v>1611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[4]!Table7[[#This Row],[Ah Rating]]/10</f>
        <v>#REF!</v>
      </c>
      <c r="P42" s="170">
        <v>20</v>
      </c>
    </row>
    <row r="43" spans="1:16">
      <c r="A43" s="160" t="s">
        <v>1409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[4]!Table7[[#This Row],[Ah Rating]]/10</f>
        <v>#REF!</v>
      </c>
      <c r="P43" s="171" t="e">
        <f>[4]!Table7[[#This Row],[Temp]]</f>
        <v>#REF!</v>
      </c>
    </row>
    <row r="44" spans="1:16">
      <c r="A44" s="160" t="s">
        <v>1218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[4]!Table7[[#This Row],[Ah Rating]]/10</f>
        <v>#REF!</v>
      </c>
      <c r="P44" s="171" t="e">
        <f>[4]!Table7[[#This Row],[Temp]]</f>
        <v>#REF!</v>
      </c>
    </row>
    <row r="45" spans="1:16">
      <c r="A45" s="160" t="s">
        <v>1612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[4]!Table7[[#This Row],[Ah Rating]]/10</f>
        <v>#REF!</v>
      </c>
      <c r="P45" s="171" t="e">
        <f>[4]!Table7[[#This Row],[Temp]]</f>
        <v>#REF!</v>
      </c>
    </row>
    <row r="46" spans="1:16">
      <c r="A46" s="160" t="s">
        <v>1378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[4]!Table7[[#This Row],[Ah Rating]]/10</f>
        <v>#REF!</v>
      </c>
      <c r="P46" s="171" t="e">
        <f>[4]!Table7[[#This Row],[Temp]]</f>
        <v>#REF!</v>
      </c>
    </row>
    <row r="47" spans="1:16">
      <c r="A47" s="160" t="s">
        <v>1613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[4]!Table7[[#This Row],[Ah Rating]]/10</f>
        <v>#REF!</v>
      </c>
      <c r="P47" s="171" t="e">
        <f>[4]!Table7[[#This Row],[Temp]]</f>
        <v>#REF!</v>
      </c>
    </row>
    <row r="48" spans="1:16">
      <c r="A48" s="160" t="s">
        <v>1440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[4]!Table7[[#This Row],[Ah Rating]]/10</f>
        <v>#REF!</v>
      </c>
      <c r="P48" s="171" t="e">
        <f>[4]!Table7[[#This Row],[Temp]]</f>
        <v>#REF!</v>
      </c>
    </row>
    <row r="49" spans="1:16">
      <c r="A49" s="160" t="s">
        <v>1614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[4]!Table7[[#This Row],[Ah Rating]]/10</f>
        <v>#REF!</v>
      </c>
      <c r="P49" s="171" t="e">
        <f>[4]!Table7[[#This Row],[Temp]]</f>
        <v>#REF!</v>
      </c>
    </row>
    <row r="50" spans="1:16">
      <c r="A50" s="160" t="s">
        <v>1143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[4]!Table7[[#This Row],[Ah Rating]]/10</f>
        <v>#REF!</v>
      </c>
      <c r="P50" s="171" t="e">
        <f>[4]!Table7[[#This Row],[Temp]]</f>
        <v>#REF!</v>
      </c>
    </row>
    <row r="51" spans="1:16">
      <c r="A51" s="160" t="s">
        <v>1615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[4]!Table7[[#This Row],[Ah Rating]]/10</f>
        <v>#REF!</v>
      </c>
      <c r="P51" s="171" t="e">
        <f>[4]!Table7[[#This Row],[Temp]]</f>
        <v>#REF!</v>
      </c>
    </row>
    <row r="52" spans="1:16">
      <c r="A52" s="160" t="s">
        <v>1616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[4]!Table7[[#This Row],[Ah Rating]]/10</f>
        <v>#REF!</v>
      </c>
      <c r="P52" s="171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1619</v>
      </c>
      <c r="B4">
        <v>1200</v>
      </c>
    </row>
    <row r="5" spans="1:2">
      <c r="A5" t="s">
        <v>1620</v>
      </c>
      <c r="B5">
        <v>1500</v>
      </c>
    </row>
    <row r="6" spans="1:2">
      <c r="A6" t="s">
        <v>1621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1622</v>
      </c>
      <c r="C1" t="s">
        <v>1623</v>
      </c>
      <c r="D1" s="52" t="s">
        <v>1624</v>
      </c>
      <c r="E1" s="52" t="s">
        <v>1625</v>
      </c>
      <c r="F1" s="52" t="s">
        <v>1626</v>
      </c>
    </row>
    <row r="2" spans="1:6">
      <c r="A2" t="s">
        <v>1511</v>
      </c>
      <c r="B2" s="77">
        <v>7.4</v>
      </c>
      <c r="C2">
        <v>4</v>
      </c>
      <c r="D2">
        <f>SUM(B2*C2)</f>
        <v>29.6</v>
      </c>
      <c r="E2" s="395">
        <f>SUM(D2:D6)</f>
        <v>121.80000000000001</v>
      </c>
      <c r="F2" s="395">
        <f>SUM(E2/100)*75</f>
        <v>91.350000000000009</v>
      </c>
    </row>
    <row r="3" spans="1:6">
      <c r="A3" s="52" t="s">
        <v>1511</v>
      </c>
      <c r="B3" s="77">
        <v>13.4</v>
      </c>
      <c r="C3">
        <v>3</v>
      </c>
      <c r="D3">
        <f t="shared" ref="D3:D13" si="0">SUM(B3*C3)</f>
        <v>40.200000000000003</v>
      </c>
      <c r="E3" s="395"/>
      <c r="F3" s="395"/>
    </row>
    <row r="4" spans="1:6">
      <c r="A4" s="52" t="s">
        <v>1627</v>
      </c>
      <c r="B4">
        <v>7.4</v>
      </c>
      <c r="C4">
        <v>2</v>
      </c>
      <c r="D4">
        <f t="shared" si="0"/>
        <v>14.8</v>
      </c>
      <c r="E4" s="395"/>
      <c r="F4" s="395"/>
    </row>
    <row r="5" spans="1:6">
      <c r="A5" s="52" t="s">
        <v>1513</v>
      </c>
      <c r="B5">
        <v>7.5</v>
      </c>
      <c r="C5">
        <v>2</v>
      </c>
      <c r="D5">
        <f t="shared" si="0"/>
        <v>15</v>
      </c>
      <c r="E5" s="395"/>
      <c r="F5" s="395"/>
    </row>
    <row r="6" spans="1:6">
      <c r="A6" s="52" t="s">
        <v>890</v>
      </c>
      <c r="B6">
        <v>7.4</v>
      </c>
      <c r="C6">
        <v>3</v>
      </c>
      <c r="D6">
        <f t="shared" si="0"/>
        <v>22.200000000000003</v>
      </c>
      <c r="E6" s="395"/>
      <c r="F6" s="395"/>
    </row>
    <row r="7" spans="1:6">
      <c r="A7" s="52" t="s">
        <v>810</v>
      </c>
      <c r="B7">
        <v>18</v>
      </c>
      <c r="C7">
        <v>2</v>
      </c>
      <c r="D7">
        <f t="shared" si="0"/>
        <v>36</v>
      </c>
      <c r="E7" s="395">
        <f>SUM(D7:D8)</f>
        <v>96</v>
      </c>
      <c r="F7" s="395">
        <f>SUM(E7/100)*75</f>
        <v>72</v>
      </c>
    </row>
    <row r="8" spans="1:6">
      <c r="A8" s="52" t="s">
        <v>1628</v>
      </c>
      <c r="B8">
        <v>30</v>
      </c>
      <c r="C8">
        <v>2</v>
      </c>
      <c r="D8">
        <f t="shared" si="0"/>
        <v>60</v>
      </c>
      <c r="E8" s="395"/>
      <c r="F8" s="395"/>
    </row>
    <row r="9" spans="1:6">
      <c r="A9" s="52" t="s">
        <v>963</v>
      </c>
      <c r="B9">
        <v>35</v>
      </c>
      <c r="C9">
        <v>1</v>
      </c>
      <c r="D9">
        <f t="shared" si="0"/>
        <v>35</v>
      </c>
      <c r="E9" s="395">
        <f>SUM(D9:D11)</f>
        <v>155</v>
      </c>
      <c r="F9" s="395">
        <f>SUM(E9/100)*75</f>
        <v>116.25</v>
      </c>
    </row>
    <row r="10" spans="1:6">
      <c r="A10" s="52" t="s">
        <v>963</v>
      </c>
      <c r="B10">
        <v>30</v>
      </c>
      <c r="C10">
        <v>1</v>
      </c>
      <c r="D10">
        <f t="shared" si="0"/>
        <v>30</v>
      </c>
      <c r="E10" s="395"/>
      <c r="F10" s="395"/>
    </row>
    <row r="11" spans="1:6">
      <c r="A11" s="52" t="s">
        <v>964</v>
      </c>
      <c r="B11">
        <v>10</v>
      </c>
      <c r="C11">
        <v>9</v>
      </c>
      <c r="D11">
        <f t="shared" si="0"/>
        <v>90</v>
      </c>
      <c r="E11" s="395"/>
      <c r="F11" s="395"/>
    </row>
    <row r="12" spans="1:6">
      <c r="A12" s="52" t="s">
        <v>858</v>
      </c>
      <c r="B12">
        <v>40</v>
      </c>
      <c r="C12">
        <v>2</v>
      </c>
      <c r="D12">
        <f t="shared" si="0"/>
        <v>80</v>
      </c>
      <c r="E12" s="395">
        <f>SUM(D12:D13)</f>
        <v>110</v>
      </c>
      <c r="F12" s="395">
        <f>SUM(E12/100)*75</f>
        <v>82.5</v>
      </c>
    </row>
    <row r="13" spans="1:6">
      <c r="A13" s="52" t="s">
        <v>1629</v>
      </c>
      <c r="B13">
        <v>30</v>
      </c>
      <c r="C13">
        <v>1</v>
      </c>
      <c r="D13">
        <f t="shared" si="0"/>
        <v>30</v>
      </c>
      <c r="E13" s="395"/>
      <c r="F13" s="395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C8D76-9FE8-4351-B657-C28DBB321F74}"/>
</file>

<file path=customXml/itemProps2.xml><?xml version="1.0" encoding="utf-8"?>
<ds:datastoreItem xmlns:ds="http://schemas.openxmlformats.org/officeDocument/2006/customXml" ds:itemID="{BCBFE4F5-F063-4400-ADE3-751387CD8AD5}"/>
</file>

<file path=customXml/itemProps3.xml><?xml version="1.0" encoding="utf-8"?>
<ds:datastoreItem xmlns:ds="http://schemas.openxmlformats.org/officeDocument/2006/customXml" ds:itemID="{F54C52EE-9969-49F4-B363-0B671CD25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2024-06-13T07:04:59Z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8b57519f-1220-461d-9cfa-641cfe3c268d</vt:lpwstr>
  </property>
  <property fmtid="{D5CDD505-2E9C-101B-9397-08002B2CF9AE}" pid="10" name="MSIP_Label_0359f705-2ba0-454b-9cfc-6ce5bcaac040_ContentBits">
    <vt:lpwstr>2</vt:lpwstr>
  </property>
</Properties>
</file>