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2" documentId="8_{4B73F6FB-3620-4967-8642-2D45314D92E9}" xr6:coauthVersionLast="47" xr6:coauthVersionMax="47" xr10:uidLastSave="{AEBBCEF5-6515-4B56-92FE-BD63801C5F9D}"/>
  <bookViews>
    <workbookView xWindow="22932" yWindow="-108" windowWidth="23256" windowHeight="12456" firstSheet="4" activeTab="4" xr2:uid="{00000000-000D-0000-FFFF-FFFF00000000}"/>
  </bookViews>
  <sheets>
    <sheet name="Cover" sheetId="5" r:id="rId1"/>
    <sheet name="All" sheetId="9" r:id="rId2"/>
    <sheet name="Site check" sheetId="8" r:id="rId3"/>
    <sheet name="SYS Allocations" sheetId="6" r:id="rId4"/>
    <sheet name="DC Dist Allocations" sheetId="7" r:id="rId5"/>
    <sheet name="Single_Check" sheetId="18" r:id="rId6"/>
    <sheet name="Site check - Dual" sheetId="14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</externalReferences>
  <definedNames>
    <definedName name="_xlnm._FilterDatabase" localSheetId="1" hidden="1">All!$A$7:$BA$268</definedName>
    <definedName name="_xlnm._FilterDatabase" localSheetId="0" hidden="1">Cover!$A$7:$R$270</definedName>
    <definedName name="_xlnm._FilterDatabase" localSheetId="9" hidden="1">Data!$A$1:$A$208</definedName>
    <definedName name="_xlnm._FilterDatabase" localSheetId="3" hidden="1">'SYS Allocations'!$A$7:$AK$269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5">#REF!</definedName>
    <definedName name="Total_Allocated_Load_kW" localSheetId="6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2" i="9" l="1"/>
  <c r="AI48" i="9"/>
  <c r="AH48" i="9"/>
  <c r="AN8" i="9" l="1"/>
  <c r="G14" i="14" l="1"/>
  <c r="D14" i="14"/>
  <c r="AN9" i="9"/>
  <c r="AN10" i="9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12" i="9"/>
  <c r="AN13" i="9"/>
  <c r="AN14" i="9"/>
  <c r="AN15" i="9"/>
  <c r="AN16" i="9"/>
  <c r="AN17" i="9"/>
  <c r="AN18" i="9"/>
  <c r="AN19" i="9"/>
  <c r="AN20" i="9"/>
  <c r="AN21" i="9"/>
  <c r="AN22" i="9"/>
  <c r="AN11" i="9"/>
  <c r="G2" i="6"/>
  <c r="AI220" i="9" l="1"/>
  <c r="AH220" i="9"/>
  <c r="AI171" i="9"/>
  <c r="AH171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AP172" i="9" s="1"/>
  <c r="BA173" i="9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13" i="9"/>
  <c r="AP13" i="9" s="1"/>
  <c r="BA14" i="9"/>
  <c r="BA15" i="9"/>
  <c r="B172" i="5"/>
  <c r="C172" i="5"/>
  <c r="C13" i="5"/>
  <c r="B13" i="5"/>
  <c r="AJ220" i="9" l="1"/>
  <c r="B108" i="5"/>
  <c r="B109" i="5"/>
  <c r="AI75" i="9" l="1"/>
  <c r="AH75" i="9"/>
  <c r="AP76" i="9"/>
  <c r="B76" i="5"/>
  <c r="C76" i="5"/>
  <c r="AX87" i="7" l="1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8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3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8" i="9"/>
  <c r="C39" i="5" l="1"/>
  <c r="B40" i="5"/>
  <c r="AP40" i="9"/>
  <c r="B225" i="5"/>
  <c r="B233" i="5"/>
  <c r="B241" i="5"/>
  <c r="B249" i="5"/>
  <c r="AX389" i="7"/>
  <c r="AY389" i="7" s="1"/>
  <c r="AX390" i="7"/>
  <c r="AY390" i="7" s="1"/>
  <c r="AP134" i="9"/>
  <c r="AP135" i="9"/>
  <c r="AH134" i="9"/>
  <c r="AI134" i="9"/>
  <c r="B134" i="5"/>
  <c r="C134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C24" i="15"/>
  <c r="N39" i="5"/>
  <c r="O39" i="5"/>
  <c r="M39" i="5"/>
  <c r="AQ39" i="9"/>
  <c r="B39" i="5"/>
  <c r="C40" i="5"/>
  <c r="AQ38" i="9"/>
  <c r="AP39" i="9"/>
  <c r="AI37" i="9"/>
  <c r="AH37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3" i="9"/>
  <c r="AR173" i="9"/>
  <c r="AQ173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5" i="9"/>
  <c r="AR135" i="9"/>
  <c r="AQ135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7" i="9"/>
  <c r="AR77" i="9"/>
  <c r="AQ77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6" i="9"/>
  <c r="AE266" i="9" s="1"/>
  <c r="AB264" i="9"/>
  <c r="AD264" i="9" s="1"/>
  <c r="AB263" i="9"/>
  <c r="AD263" i="9" s="1"/>
  <c r="AF262" i="9"/>
  <c r="AG262" i="9" s="1"/>
  <c r="AK261" i="9"/>
  <c r="AF260" i="9"/>
  <c r="AG260" i="9" s="1"/>
  <c r="AF258" i="9"/>
  <c r="AG258" i="9" s="1"/>
  <c r="AF256" i="9"/>
  <c r="AG256" i="9" s="1"/>
  <c r="AK255" i="9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O255" i="5"/>
  <c r="N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O235" i="5"/>
  <c r="N235" i="5"/>
  <c r="M235" i="5"/>
  <c r="P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N217" i="5"/>
  <c r="M217" i="5"/>
  <c r="P216" i="5"/>
  <c r="O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N187" i="5"/>
  <c r="M187" i="5"/>
  <c r="P186" i="5"/>
  <c r="O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3" i="5"/>
  <c r="O173" i="5"/>
  <c r="N173" i="5"/>
  <c r="M173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5" i="5"/>
  <c r="O135" i="5"/>
  <c r="N135" i="5"/>
  <c r="M135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N124" i="5"/>
  <c r="M124" i="5"/>
  <c r="P123" i="5"/>
  <c r="O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7" i="5"/>
  <c r="O77" i="5"/>
  <c r="N77" i="5"/>
  <c r="M77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L254" i="5"/>
  <c r="K254" i="5"/>
  <c r="J254" i="5"/>
  <c r="I254" i="5"/>
  <c r="H254" i="5"/>
  <c r="G254" i="5"/>
  <c r="F254" i="5"/>
  <c r="E254" i="5"/>
  <c r="C254" i="5"/>
  <c r="B254" i="5"/>
  <c r="C253" i="5"/>
  <c r="B253" i="5"/>
  <c r="C252" i="5"/>
  <c r="B252" i="5"/>
  <c r="C251" i="5"/>
  <c r="B251" i="5"/>
  <c r="C250" i="5"/>
  <c r="B250" i="5"/>
  <c r="C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B242" i="5"/>
  <c r="C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L187" i="5"/>
  <c r="K187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L178" i="5"/>
  <c r="K178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J155" i="5"/>
  <c r="I155" i="5"/>
  <c r="H155" i="5"/>
  <c r="G155" i="5"/>
  <c r="F155" i="5"/>
  <c r="E155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L114" i="5"/>
  <c r="K114" i="5"/>
  <c r="C114" i="5"/>
  <c r="B114" i="5"/>
  <c r="C113" i="5"/>
  <c r="B113" i="5"/>
  <c r="C112" i="5"/>
  <c r="B112" i="5"/>
  <c r="C111" i="5"/>
  <c r="B111" i="5"/>
  <c r="C110" i="5"/>
  <c r="B110" i="5"/>
  <c r="C109" i="5"/>
  <c r="C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L80" i="5"/>
  <c r="K80" i="5"/>
  <c r="C80" i="5"/>
  <c r="B80" i="5"/>
  <c r="C79" i="5"/>
  <c r="B79" i="5"/>
  <c r="C78" i="5"/>
  <c r="B78" i="5"/>
  <c r="C77" i="5"/>
  <c r="B77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39" i="9"/>
  <c r="D11" i="19"/>
  <c r="D10" i="19"/>
  <c r="D9" i="19"/>
  <c r="E9" i="19"/>
  <c r="F9" i="19"/>
  <c r="AH18" i="9"/>
  <c r="D8" i="19"/>
  <c r="D7" i="19"/>
  <c r="E7" i="19"/>
  <c r="F7" i="19"/>
  <c r="AH83" i="9"/>
  <c r="D3" i="19"/>
  <c r="D4" i="19"/>
  <c r="D5" i="19"/>
  <c r="D6" i="19"/>
  <c r="D2" i="19"/>
  <c r="D7" i="18"/>
  <c r="AS18" i="9"/>
  <c r="AS183" i="9"/>
  <c r="AS85" i="9"/>
  <c r="AS75" i="9"/>
  <c r="AS201" i="9"/>
  <c r="AS103" i="9"/>
  <c r="AS263" i="9"/>
  <c r="AS159" i="9"/>
  <c r="AS49" i="9"/>
  <c r="AS216" i="9"/>
  <c r="AS37" i="9"/>
  <c r="AS153" i="9"/>
  <c r="AS30" i="9"/>
  <c r="AS14" i="9"/>
  <c r="AS258" i="9"/>
  <c r="AS243" i="9"/>
  <c r="AS227" i="9"/>
  <c r="AS211" i="9"/>
  <c r="AS195" i="9"/>
  <c r="AS179" i="9"/>
  <c r="AS162" i="9"/>
  <c r="AS146" i="9"/>
  <c r="AS129" i="9"/>
  <c r="AS113" i="9"/>
  <c r="AS97" i="9"/>
  <c r="AS81" i="9"/>
  <c r="AS33" i="9"/>
  <c r="AS261" i="9"/>
  <c r="AS226" i="9"/>
  <c r="AS186" i="9"/>
  <c r="AS149" i="9"/>
  <c r="AS104" i="9"/>
  <c r="AS63" i="9"/>
  <c r="AS32" i="9"/>
  <c r="AS16" i="9"/>
  <c r="AS260" i="9"/>
  <c r="AS245" i="9"/>
  <c r="AS229" i="9"/>
  <c r="AS213" i="9"/>
  <c r="AS197" i="9"/>
  <c r="AS181" i="9"/>
  <c r="AS164" i="9"/>
  <c r="AS148" i="9"/>
  <c r="AS131" i="9"/>
  <c r="AS115" i="9"/>
  <c r="AS99" i="9"/>
  <c r="AS83" i="9"/>
  <c r="AS66" i="9"/>
  <c r="AS50" i="9"/>
  <c r="AS23" i="9"/>
  <c r="AS255" i="9"/>
  <c r="AS224" i="9"/>
  <c r="AS200" i="9"/>
  <c r="AS180" i="9"/>
  <c r="AS155" i="9"/>
  <c r="AS135" i="9"/>
  <c r="AS110" i="9"/>
  <c r="AS86" i="9"/>
  <c r="AS65" i="9"/>
  <c r="AS42" i="9"/>
  <c r="AS45" i="9"/>
  <c r="AS174" i="9"/>
  <c r="AS67" i="9"/>
  <c r="AS19" i="9"/>
  <c r="AS244" i="9"/>
  <c r="AS204" i="9"/>
  <c r="AS147" i="9"/>
  <c r="AS90" i="9"/>
  <c r="AS64" i="9"/>
  <c r="AS21" i="9"/>
  <c r="AS250" i="9"/>
  <c r="AS210" i="9"/>
  <c r="AS182" i="9"/>
  <c r="AS141" i="9"/>
  <c r="AS108" i="9"/>
  <c r="AS71" i="9"/>
  <c r="AS175" i="9"/>
  <c r="AS125" i="9"/>
  <c r="AS93" i="9"/>
  <c r="AS72" i="9"/>
  <c r="AS222" i="9"/>
  <c r="AS137" i="9"/>
  <c r="AS96" i="9"/>
  <c r="AS28" i="9"/>
  <c r="AS256" i="9"/>
  <c r="AS241" i="9"/>
  <c r="AS209" i="9"/>
  <c r="AS193" i="9"/>
  <c r="AS160" i="9"/>
  <c r="AS127" i="9"/>
  <c r="AS111" i="9"/>
  <c r="AS95" i="9"/>
  <c r="AS62" i="9"/>
  <c r="AS47" i="9"/>
  <c r="AS15" i="9"/>
  <c r="AS220" i="9"/>
  <c r="AS196" i="9"/>
  <c r="AS151" i="9"/>
  <c r="AS126" i="9"/>
  <c r="AS106" i="9"/>
  <c r="AS57" i="9"/>
  <c r="AS77" i="9"/>
  <c r="AS145" i="9"/>
  <c r="AS44" i="9"/>
  <c r="AS236" i="9"/>
  <c r="AS188" i="9"/>
  <c r="AS130" i="9"/>
  <c r="AS48" i="9"/>
  <c r="AS12" i="9"/>
  <c r="AS202" i="9"/>
  <c r="AS169" i="9"/>
  <c r="AS132" i="9"/>
  <c r="AS59" i="9"/>
  <c r="AS34" i="9"/>
  <c r="AS247" i="9"/>
  <c r="AS215" i="9"/>
  <c r="AS166" i="9"/>
  <c r="AS117" i="9"/>
  <c r="AS8" i="9"/>
  <c r="AS198" i="9"/>
  <c r="AS36" i="9"/>
  <c r="AS249" i="9"/>
  <c r="AS185" i="9"/>
  <c r="AS136" i="9"/>
  <c r="AS70" i="9"/>
  <c r="AS31" i="9"/>
  <c r="AS139" i="9"/>
  <c r="AS56" i="9"/>
  <c r="AS27" i="9"/>
  <c r="AS163" i="9"/>
  <c r="AS257" i="9"/>
  <c r="AS80" i="9"/>
  <c r="AS26" i="9"/>
  <c r="AS9" i="9"/>
  <c r="AS254" i="9"/>
  <c r="AS239" i="9"/>
  <c r="AS223" i="9"/>
  <c r="AS207" i="9"/>
  <c r="AS191" i="9"/>
  <c r="AS158" i="9"/>
  <c r="AS142" i="9"/>
  <c r="AS109" i="9"/>
  <c r="AS25" i="9"/>
  <c r="AS178" i="9"/>
  <c r="AS55" i="9"/>
  <c r="AS11" i="9"/>
  <c r="AS225" i="9"/>
  <c r="AS177" i="9"/>
  <c r="AS144" i="9"/>
  <c r="AS79" i="9"/>
  <c r="AS248" i="9"/>
  <c r="AS171" i="9"/>
  <c r="AS82" i="9"/>
  <c r="AS29" i="9"/>
  <c r="AS267" i="9"/>
  <c r="AS73" i="9"/>
  <c r="AS238" i="9"/>
  <c r="AS100" i="9"/>
  <c r="AS231" i="9"/>
  <c r="AS133" i="9"/>
  <c r="AS52" i="9"/>
  <c r="AS157" i="9"/>
  <c r="AS20" i="9"/>
  <c r="AS217" i="9"/>
  <c r="AS152" i="9"/>
  <c r="AS87" i="9"/>
  <c r="AS232" i="9"/>
  <c r="AS114" i="9"/>
  <c r="AS69" i="9"/>
  <c r="AS92" i="9"/>
  <c r="AS46" i="9"/>
  <c r="AS190" i="9"/>
  <c r="AS38" i="9"/>
  <c r="AS22" i="9"/>
  <c r="AS266" i="9"/>
  <c r="AS251" i="9"/>
  <c r="AS235" i="9"/>
  <c r="AS219" i="9"/>
  <c r="AS203" i="9"/>
  <c r="AS187" i="9"/>
  <c r="AS170" i="9"/>
  <c r="AS154" i="9"/>
  <c r="AS138" i="9"/>
  <c r="AS121" i="9"/>
  <c r="AS105" i="9"/>
  <c r="AS89" i="9"/>
  <c r="AS60" i="9"/>
  <c r="AS17" i="9"/>
  <c r="AS246" i="9"/>
  <c r="AS214" i="9"/>
  <c r="AS165" i="9"/>
  <c r="AS128" i="9"/>
  <c r="AS84" i="9"/>
  <c r="AS24" i="9"/>
  <c r="AS268" i="9"/>
  <c r="AS253" i="9"/>
  <c r="AS237" i="9"/>
  <c r="AS221" i="9"/>
  <c r="AS205" i="9"/>
  <c r="AS189" i="9"/>
  <c r="AS173" i="9"/>
  <c r="AS156" i="9"/>
  <c r="AS140" i="9"/>
  <c r="AS123" i="9"/>
  <c r="AS107" i="9"/>
  <c r="AS91" i="9"/>
  <c r="AS74" i="9"/>
  <c r="AS58" i="9"/>
  <c r="AS43" i="9"/>
  <c r="AS10" i="9"/>
  <c r="AS240" i="9"/>
  <c r="AS212" i="9"/>
  <c r="AS192" i="9"/>
  <c r="AS167" i="9"/>
  <c r="AS143" i="9"/>
  <c r="AS122" i="9"/>
  <c r="AS98" i="9"/>
  <c r="AS78" i="9"/>
  <c r="AS53" i="9"/>
  <c r="AS68" i="9"/>
  <c r="AS242" i="9"/>
  <c r="AS120" i="9"/>
  <c r="AS35" i="9"/>
  <c r="AS259" i="9"/>
  <c r="AS228" i="9"/>
  <c r="AS176" i="9"/>
  <c r="AS118" i="9"/>
  <c r="AS61" i="9"/>
  <c r="AS40" i="9"/>
  <c r="AS265" i="9"/>
  <c r="AS230" i="9"/>
  <c r="AS194" i="9"/>
  <c r="AS161" i="9"/>
  <c r="AS124" i="9"/>
  <c r="AS88" i="9"/>
  <c r="AS51" i="9"/>
  <c r="AS262" i="9"/>
  <c r="AS199" i="9"/>
  <c r="AS150" i="9"/>
  <c r="AS101" i="9"/>
  <c r="AS234" i="9"/>
  <c r="AS116" i="9"/>
  <c r="AS264" i="9"/>
  <c r="AS233" i="9"/>
  <c r="AS168" i="9"/>
  <c r="AS119" i="9"/>
  <c r="AS54" i="9"/>
  <c r="AS208" i="9"/>
  <c r="AS184" i="9"/>
  <c r="AS94" i="9"/>
  <c r="AS206" i="9"/>
  <c r="AS252" i="9"/>
  <c r="AS102" i="9"/>
  <c r="AS218" i="9"/>
  <c r="AS112" i="9"/>
  <c r="E2" i="19"/>
  <c r="F2" i="19"/>
  <c r="AH231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AS41" i="9"/>
  <c r="AX61" i="7"/>
  <c r="AY61" i="7" s="1"/>
  <c r="AX109" i="7"/>
  <c r="AY109" i="7" s="1"/>
  <c r="AI71" i="9"/>
  <c r="AH71" i="9"/>
  <c r="AI116" i="9"/>
  <c r="AH116" i="9"/>
  <c r="AP117" i="9"/>
  <c r="AP72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AP197" i="9"/>
  <c r="AH197" i="9"/>
  <c r="AI197" i="9"/>
  <c r="P41" i="5"/>
  <c r="AI108" i="9"/>
  <c r="AH108" i="9"/>
  <c r="AP108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22" i="14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D22" i="14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8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3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6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8" i="9"/>
  <c r="AP116" i="9"/>
  <c r="AP115" i="9"/>
  <c r="AP114" i="9"/>
  <c r="AP113" i="9"/>
  <c r="AP112" i="9"/>
  <c r="AP111" i="9"/>
  <c r="AP110" i="9"/>
  <c r="AP109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7" i="9"/>
  <c r="AP75" i="9"/>
  <c r="AP74" i="9"/>
  <c r="AP73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7" i="9"/>
  <c r="AD267" i="9" s="1"/>
  <c r="AH267" i="9"/>
  <c r="AI267" i="9"/>
  <c r="AK267" i="9"/>
  <c r="AC267" i="9"/>
  <c r="AE267" i="9" s="1"/>
  <c r="AF267" i="9"/>
  <c r="AG267" i="9" s="1"/>
  <c r="AI241" i="9"/>
  <c r="AH241" i="9"/>
  <c r="AI239" i="9"/>
  <c r="AH239" i="9"/>
  <c r="AI50" i="9"/>
  <c r="AH50" i="9"/>
  <c r="AH233" i="9"/>
  <c r="AI233" i="9"/>
  <c r="AI22" i="9"/>
  <c r="AH22" i="9"/>
  <c r="AH31" i="9"/>
  <c r="AI31" i="9"/>
  <c r="A2" i="11" a="1"/>
  <c r="A2" i="11" s="1"/>
  <c r="O41" i="5"/>
  <c r="O52" i="5"/>
  <c r="O234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5" i="9"/>
  <c r="AI235" i="9"/>
  <c r="AI186" i="9"/>
  <c r="AH186" i="9"/>
  <c r="AI177" i="9"/>
  <c r="AH177" i="9"/>
  <c r="AI113" i="9"/>
  <c r="AH113" i="9"/>
  <c r="AI79" i="9"/>
  <c r="AH79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5" i="5"/>
  <c r="K155" i="5"/>
  <c r="AH122" i="9"/>
  <c r="AI122" i="9"/>
  <c r="A6" i="8" a="1"/>
  <c r="A6" i="8" s="1"/>
  <c r="B1" i="9"/>
  <c r="B2" i="9" s="1"/>
  <c r="C2" i="5" s="1"/>
  <c r="AH40" i="9"/>
  <c r="C41" i="5"/>
  <c r="B41" i="5"/>
  <c r="AI231" i="9"/>
  <c r="AI226" i="9"/>
  <c r="AH226" i="9"/>
  <c r="AI218" i="9"/>
  <c r="AH218" i="9"/>
  <c r="AI215" i="9"/>
  <c r="AH215" i="9"/>
  <c r="AI202" i="9"/>
  <c r="AH202" i="9"/>
  <c r="AI194" i="9"/>
  <c r="AH194" i="9"/>
  <c r="AI179" i="9"/>
  <c r="AH179" i="9"/>
  <c r="AI175" i="9"/>
  <c r="AH175" i="9"/>
  <c r="AI158" i="9"/>
  <c r="AH158" i="9"/>
  <c r="AI156" i="9"/>
  <c r="AH156" i="9"/>
  <c r="AI153" i="9"/>
  <c r="AH153" i="9"/>
  <c r="AI142" i="9"/>
  <c r="AH142" i="9"/>
  <c r="AI140" i="9"/>
  <c r="AH140" i="9"/>
  <c r="AI118" i="9"/>
  <c r="AH118" i="9"/>
  <c r="AI103" i="9"/>
  <c r="AH103" i="9"/>
  <c r="AI69" i="9"/>
  <c r="AH69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52" i="9"/>
  <c r="AI52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73" i="9"/>
  <c r="AI73" i="9"/>
  <c r="AH74" i="9"/>
  <c r="AI74" i="9"/>
  <c r="AH77" i="9"/>
  <c r="AI77" i="9"/>
  <c r="AH78" i="9"/>
  <c r="AI78" i="9"/>
  <c r="AH81" i="9"/>
  <c r="AI81" i="9"/>
  <c r="AH82" i="9"/>
  <c r="AI82" i="9"/>
  <c r="AI83" i="9"/>
  <c r="AH84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5" i="9"/>
  <c r="AI105" i="9"/>
  <c r="AH106" i="9"/>
  <c r="AI106" i="9"/>
  <c r="AH107" i="9"/>
  <c r="AI107" i="9"/>
  <c r="AH110" i="9"/>
  <c r="AI110" i="9"/>
  <c r="AH111" i="9"/>
  <c r="AI111" i="9"/>
  <c r="AH112" i="9"/>
  <c r="AI112" i="9"/>
  <c r="AH115" i="9"/>
  <c r="AI115" i="9"/>
  <c r="AH120" i="9"/>
  <c r="AI120" i="9"/>
  <c r="AH121" i="9"/>
  <c r="AI121" i="9"/>
  <c r="AH123" i="9"/>
  <c r="AI123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5" i="9"/>
  <c r="AI135" i="9"/>
  <c r="AH136" i="9"/>
  <c r="AI136" i="9"/>
  <c r="AH137" i="9"/>
  <c r="AI137" i="9"/>
  <c r="AH138" i="9"/>
  <c r="AI138" i="9"/>
  <c r="AI139" i="9"/>
  <c r="AH144" i="9"/>
  <c r="AI144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60" i="9"/>
  <c r="AI160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3" i="9"/>
  <c r="AI173" i="9"/>
  <c r="AH174" i="9"/>
  <c r="AI174" i="9"/>
  <c r="AH183" i="9"/>
  <c r="AI183" i="9"/>
  <c r="AH184" i="9"/>
  <c r="AI184" i="9"/>
  <c r="AH185" i="9"/>
  <c r="AI185" i="9"/>
  <c r="AH188" i="9"/>
  <c r="AI188" i="9"/>
  <c r="AH189" i="9"/>
  <c r="AI189" i="9"/>
  <c r="AH190" i="9"/>
  <c r="AI190" i="9"/>
  <c r="AH191" i="9"/>
  <c r="AI191" i="9"/>
  <c r="AH192" i="9"/>
  <c r="AI192" i="9"/>
  <c r="AH193" i="9"/>
  <c r="AI193" i="9"/>
  <c r="AH196" i="9"/>
  <c r="AI196" i="9"/>
  <c r="AH198" i="9"/>
  <c r="AI198" i="9"/>
  <c r="AH199" i="9"/>
  <c r="AI199" i="9"/>
  <c r="AH200" i="9"/>
  <c r="AI200" i="9"/>
  <c r="AH201" i="9"/>
  <c r="AI201" i="9"/>
  <c r="AH204" i="9"/>
  <c r="AI204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22" i="9"/>
  <c r="AI222" i="9"/>
  <c r="AH223" i="9"/>
  <c r="AI223" i="9"/>
  <c r="AH224" i="9"/>
  <c r="AI224" i="9"/>
  <c r="AH225" i="9"/>
  <c r="AI225" i="9"/>
  <c r="AH230" i="9"/>
  <c r="AI230" i="9"/>
  <c r="AH234" i="9"/>
  <c r="AI234" i="9"/>
  <c r="AH236" i="9"/>
  <c r="AI236" i="9"/>
  <c r="AH237" i="9"/>
  <c r="AI237" i="9"/>
  <c r="AH238" i="9"/>
  <c r="AI238" i="9"/>
  <c r="AH243" i="9"/>
  <c r="AI243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I8" i="9"/>
  <c r="AH8" i="9"/>
  <c r="AK257" i="9"/>
  <c r="AB259" i="9"/>
  <c r="AD259" i="9" s="1"/>
  <c r="AK263" i="9"/>
  <c r="AK265" i="9"/>
  <c r="AK259" i="9"/>
  <c r="AC262" i="9"/>
  <c r="AE262" i="9" s="1"/>
  <c r="AF257" i="9"/>
  <c r="AG257" i="9" s="1"/>
  <c r="AB257" i="9"/>
  <c r="AD257" i="9" s="1"/>
  <c r="AC257" i="9"/>
  <c r="AE257" i="9" s="1"/>
  <c r="AF265" i="9"/>
  <c r="AG265" i="9" s="1"/>
  <c r="AB265" i="9"/>
  <c r="AD265" i="9" s="1"/>
  <c r="AC265" i="9"/>
  <c r="AE265" i="9" s="1"/>
  <c r="AB258" i="9"/>
  <c r="AD258" i="9" s="1"/>
  <c r="AC259" i="9"/>
  <c r="AE259" i="9" s="1"/>
  <c r="AF259" i="9"/>
  <c r="AG259" i="9" s="1"/>
  <c r="AC255" i="9"/>
  <c r="AE255" i="9" s="1"/>
  <c r="AC256" i="9"/>
  <c r="AE256" i="9" s="1"/>
  <c r="N216" i="5"/>
  <c r="M216" i="5"/>
  <c r="N41" i="5"/>
  <c r="N52" i="5"/>
  <c r="N123" i="5"/>
  <c r="N186" i="5"/>
  <c r="N234" i="5"/>
  <c r="M41" i="5"/>
  <c r="M52" i="5"/>
  <c r="M123" i="5"/>
  <c r="M186" i="5"/>
  <c r="M234" i="5"/>
  <c r="AJ83" i="9" l="1"/>
  <c r="AJ256" i="9"/>
  <c r="AJ37" i="9"/>
  <c r="D253" i="10"/>
  <c r="AJ18" i="9"/>
  <c r="AJ266" i="9"/>
  <c r="AJ231" i="9"/>
  <c r="D36" i="10"/>
  <c r="D27" i="10"/>
  <c r="AJ139" i="9"/>
  <c r="D224" i="10"/>
  <c r="D254" i="10"/>
  <c r="AJ34" i="9"/>
  <c r="D23" i="14"/>
  <c r="F46" i="14" s="1"/>
  <c r="G17" i="14"/>
  <c r="D17" i="14"/>
  <c r="AK262" i="9"/>
  <c r="AB261" i="9"/>
  <c r="AD261" i="9" s="1"/>
  <c r="AJ123" i="9"/>
  <c r="AJ112" i="9"/>
  <c r="AJ177" i="9"/>
  <c r="AJ263" i="9"/>
  <c r="AL263" i="9" s="1"/>
  <c r="AM263" i="9" s="1"/>
  <c r="AJ255" i="9"/>
  <c r="AL255" i="9" s="1"/>
  <c r="AM255" i="9" s="1"/>
  <c r="AJ44" i="9"/>
  <c r="AJ131" i="9"/>
  <c r="AJ134" i="9"/>
  <c r="AJ262" i="9"/>
  <c r="AJ265" i="9"/>
  <c r="AL265" i="9" s="1"/>
  <c r="AM265" i="9" s="1"/>
  <c r="AJ254" i="9"/>
  <c r="AJ267" i="9"/>
  <c r="AL267" i="9" s="1"/>
  <c r="AM267" i="9" s="1"/>
  <c r="AJ258" i="9"/>
  <c r="AJ261" i="9"/>
  <c r="AL261" i="9" s="1"/>
  <c r="AM261" i="9" s="1"/>
  <c r="D232" i="10"/>
  <c r="D255" i="10"/>
  <c r="AJ260" i="9"/>
  <c r="AJ259" i="9"/>
  <c r="AL259" i="9" s="1"/>
  <c r="AM259" i="9" s="1"/>
  <c r="AJ108" i="9"/>
  <c r="AJ257" i="9"/>
  <c r="AL257" i="9" s="1"/>
  <c r="AM257" i="9" s="1"/>
  <c r="AJ92" i="9"/>
  <c r="AJ41" i="9"/>
  <c r="D14" i="18"/>
  <c r="E29" i="18" s="1"/>
  <c r="AJ264" i="9"/>
  <c r="AJ45" i="9"/>
  <c r="AJ234" i="9"/>
  <c r="AJ223" i="9"/>
  <c r="AJ204" i="9"/>
  <c r="AJ145" i="9"/>
  <c r="AJ73" i="9"/>
  <c r="AJ57" i="9"/>
  <c r="AJ14" i="9"/>
  <c r="AJ9" i="9"/>
  <c r="AJ118" i="9"/>
  <c r="AJ156" i="9"/>
  <c r="AJ194" i="9"/>
  <c r="AJ226" i="9"/>
  <c r="AJ96" i="9"/>
  <c r="G18" i="14"/>
  <c r="G23" i="14"/>
  <c r="F48" i="14" s="1"/>
  <c r="G15" i="14"/>
  <c r="D18" i="14"/>
  <c r="D15" i="14"/>
  <c r="L7" i="8"/>
  <c r="Q7" i="8"/>
  <c r="AJ201" i="9"/>
  <c r="AJ43" i="9"/>
  <c r="AJ233" i="9"/>
  <c r="AJ133" i="9"/>
  <c r="AJ120" i="9"/>
  <c r="AJ98" i="9"/>
  <c r="AJ90" i="9"/>
  <c r="AJ86" i="9"/>
  <c r="AJ36" i="9"/>
  <c r="AJ26" i="9"/>
  <c r="AJ116" i="9"/>
  <c r="AJ191" i="9"/>
  <c r="J6" i="8"/>
  <c r="AJ198" i="9"/>
  <c r="AJ173" i="9"/>
  <c r="AJ160" i="9"/>
  <c r="AJ211" i="9"/>
  <c r="AJ196" i="9"/>
  <c r="AJ12" i="9"/>
  <c r="AJ158" i="9"/>
  <c r="AJ186" i="9"/>
  <c r="AJ111" i="9"/>
  <c r="AJ253" i="9"/>
  <c r="AJ225" i="9"/>
  <c r="AJ206" i="9"/>
  <c r="AJ200" i="9"/>
  <c r="AJ183" i="9"/>
  <c r="AJ170" i="9"/>
  <c r="AJ162" i="9"/>
  <c r="AJ151" i="9"/>
  <c r="AJ82" i="9"/>
  <c r="AJ67" i="9"/>
  <c r="AJ63" i="9"/>
  <c r="AJ11" i="9"/>
  <c r="P7" i="8"/>
  <c r="AJ224" i="9"/>
  <c r="AJ125" i="9"/>
  <c r="AJ102" i="9"/>
  <c r="AJ32" i="9"/>
  <c r="AJ113" i="9"/>
  <c r="AJ241" i="9"/>
  <c r="AJ128" i="9"/>
  <c r="AJ97" i="9"/>
  <c r="AJ85" i="9"/>
  <c r="AJ29" i="9"/>
  <c r="AJ19" i="9"/>
  <c r="AJ71" i="9"/>
  <c r="AJ124" i="9"/>
  <c r="AJ138" i="9"/>
  <c r="AJ94" i="9"/>
  <c r="AJ129" i="9"/>
  <c r="AJ20" i="9"/>
  <c r="AJ54" i="9"/>
  <c r="J8" i="8"/>
  <c r="AJ136" i="9"/>
  <c r="AJ127" i="9"/>
  <c r="AJ106" i="9"/>
  <c r="AJ122" i="9"/>
  <c r="AJ50" i="9"/>
  <c r="P9" i="8"/>
  <c r="AJ246" i="9"/>
  <c r="AJ222" i="9"/>
  <c r="AJ144" i="9"/>
  <c r="AJ77" i="9"/>
  <c r="AJ56" i="9"/>
  <c r="AJ17" i="9"/>
  <c r="AJ214" i="9"/>
  <c r="AJ210" i="9"/>
  <c r="AJ69" i="9"/>
  <c r="AJ142" i="9"/>
  <c r="AJ193" i="9"/>
  <c r="AJ166" i="9"/>
  <c r="AJ75" i="9"/>
  <c r="AJ59" i="9"/>
  <c r="AJ215" i="9"/>
  <c r="AJ79" i="9"/>
  <c r="K9" i="8"/>
  <c r="AJ110" i="9"/>
  <c r="AJ30" i="9"/>
  <c r="AJ8" i="9"/>
  <c r="AJ252" i="9"/>
  <c r="AJ244" i="9"/>
  <c r="AJ213" i="9"/>
  <c r="AJ205" i="9"/>
  <c r="AJ188" i="9"/>
  <c r="AJ169" i="9"/>
  <c r="AJ150" i="9"/>
  <c r="AJ66" i="9"/>
  <c r="AJ48" i="9"/>
  <c r="AJ15" i="9"/>
  <c r="AJ245" i="9"/>
  <c r="AJ46" i="9"/>
  <c r="J9" i="8"/>
  <c r="AJ248" i="9"/>
  <c r="AJ236" i="9"/>
  <c r="AJ209" i="9"/>
  <c r="AJ199" i="9"/>
  <c r="AJ192" i="9"/>
  <c r="AJ174" i="9"/>
  <c r="AJ165" i="9"/>
  <c r="AJ161" i="9"/>
  <c r="AJ146" i="9"/>
  <c r="AJ81" i="9"/>
  <c r="AJ74" i="9"/>
  <c r="AJ62" i="9"/>
  <c r="AJ58" i="9"/>
  <c r="AJ10" i="9"/>
  <c r="AJ103" i="9"/>
  <c r="AJ153" i="9"/>
  <c r="AJ179" i="9"/>
  <c r="AJ197" i="9"/>
  <c r="Q8" i="8"/>
  <c r="AJ137" i="9"/>
  <c r="AJ132" i="9"/>
  <c r="AJ107" i="9"/>
  <c r="AJ101" i="9"/>
  <c r="AJ89" i="9"/>
  <c r="P8" i="8"/>
  <c r="AJ243" i="9"/>
  <c r="AJ212" i="9"/>
  <c r="AJ164" i="9"/>
  <c r="AJ88" i="9"/>
  <c r="AJ31" i="9"/>
  <c r="AJ237" i="9"/>
  <c r="AJ147" i="9"/>
  <c r="AJ55" i="9"/>
  <c r="AJ40" i="9"/>
  <c r="E19" i="18"/>
  <c r="E20" i="18" s="1"/>
  <c r="AJ249" i="9"/>
  <c r="AJ189" i="9"/>
  <c r="AJ16" i="9"/>
  <c r="AJ175" i="9"/>
  <c r="AJ235" i="9"/>
  <c r="O8" i="8"/>
  <c r="Q9" i="8"/>
  <c r="AJ250" i="9"/>
  <c r="AJ238" i="9"/>
  <c r="AJ230" i="9"/>
  <c r="AJ207" i="9"/>
  <c r="AJ190" i="9"/>
  <c r="AJ184" i="9"/>
  <c r="AJ171" i="9"/>
  <c r="AJ167" i="9"/>
  <c r="AJ163" i="9"/>
  <c r="AJ152" i="9"/>
  <c r="AJ148" i="9"/>
  <c r="AJ135" i="9"/>
  <c r="AJ130" i="9"/>
  <c r="AJ126" i="9"/>
  <c r="AJ121" i="9"/>
  <c r="AJ105" i="9"/>
  <c r="AJ99" i="9"/>
  <c r="AJ95" i="9"/>
  <c r="AJ91" i="9"/>
  <c r="AJ87" i="9"/>
  <c r="AJ68" i="9"/>
  <c r="AJ64" i="9"/>
  <c r="AJ60" i="9"/>
  <c r="AJ52" i="9"/>
  <c r="AJ47" i="9"/>
  <c r="AJ33" i="9"/>
  <c r="AJ27" i="9"/>
  <c r="AJ21" i="9"/>
  <c r="AJ140" i="9"/>
  <c r="AJ202" i="9"/>
  <c r="AJ22" i="9"/>
  <c r="L6" i="8"/>
  <c r="K7" i="8"/>
  <c r="K6" i="8"/>
  <c r="J7" i="8"/>
  <c r="O9" i="8"/>
  <c r="AJ239" i="9"/>
  <c r="AJ218" i="9"/>
  <c r="Q6" i="8"/>
  <c r="AJ115" i="9"/>
  <c r="AJ93" i="9"/>
  <c r="AJ35" i="9"/>
  <c r="AJ25" i="9"/>
  <c r="L9" i="8"/>
  <c r="P6" i="8"/>
  <c r="AJ251" i="9"/>
  <c r="AJ208" i="9"/>
  <c r="AJ168" i="9"/>
  <c r="AJ149" i="9"/>
  <c r="AJ61" i="9"/>
  <c r="O7" i="8"/>
  <c r="I9" i="8"/>
  <c r="AJ247" i="9"/>
  <c r="AJ185" i="9"/>
  <c r="AJ78" i="9"/>
  <c r="AJ65" i="9"/>
  <c r="AJ53" i="9"/>
  <c r="K8" i="8"/>
  <c r="H9" i="8"/>
  <c r="O6" i="8"/>
  <c r="AF255" i="9"/>
  <c r="AG255" i="9" s="1"/>
  <c r="AJ100" i="9"/>
  <c r="AJ84" i="9"/>
  <c r="AJ28" i="9"/>
  <c r="AJ24" i="9"/>
  <c r="AB262" i="9"/>
  <c r="AD262" i="9" s="1"/>
  <c r="AF263" i="9"/>
  <c r="AG263" i="9" s="1"/>
  <c r="AC263" i="9"/>
  <c r="AE263" i="9" s="1"/>
  <c r="AB255" i="9"/>
  <c r="AD255" i="9" s="1"/>
  <c r="AC264" i="9"/>
  <c r="AE264" i="9" s="1"/>
  <c r="AF264" i="9"/>
  <c r="AG264" i="9" s="1"/>
  <c r="AB256" i="9"/>
  <c r="AD256" i="9" s="1"/>
  <c r="AK264" i="9"/>
  <c r="AK256" i="9"/>
  <c r="AL256" i="9" s="1"/>
  <c r="AM256" i="9" s="1"/>
  <c r="AF261" i="9"/>
  <c r="AG261" i="9" s="1"/>
  <c r="AC261" i="9"/>
  <c r="AE261" i="9" s="1"/>
  <c r="AK258" i="9"/>
  <c r="AB266" i="9"/>
  <c r="AD266" i="9" s="1"/>
  <c r="AF266" i="9"/>
  <c r="AG266" i="9" s="1"/>
  <c r="AC258" i="9"/>
  <c r="AE258" i="9" s="1"/>
  <c r="AC260" i="9"/>
  <c r="AE260" i="9" s="1"/>
  <c r="AK266" i="9"/>
  <c r="AK260" i="9"/>
  <c r="AB260" i="9"/>
  <c r="AD260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6" i="6"/>
  <c r="G76" i="6" s="1"/>
  <c r="AV77" i="6"/>
  <c r="G77" i="6" s="1"/>
  <c r="AV172" i="6"/>
  <c r="G172" i="6" s="1"/>
  <c r="H172" i="6" s="1"/>
  <c r="AV13" i="6"/>
  <c r="G13" i="6" s="1"/>
  <c r="AV173" i="6"/>
  <c r="AL260" i="9"/>
  <c r="AM260" i="9" s="1"/>
  <c r="AL266" i="9"/>
  <c r="AM266" i="9" s="1"/>
  <c r="AL258" i="9"/>
  <c r="AM258" i="9" s="1"/>
  <c r="AL262" i="9"/>
  <c r="AM262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4" i="9"/>
  <c r="AM264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7" i="6"/>
  <c r="G117" i="6" s="1"/>
  <c r="AZ11" i="7"/>
  <c r="BA11" i="7" s="1"/>
  <c r="P11" i="7" s="1"/>
  <c r="AV107" i="6"/>
  <c r="G107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4" i="6"/>
  <c r="G134" i="6" s="1"/>
  <c r="AV197" i="6"/>
  <c r="G197" i="6" s="1"/>
  <c r="AV108" i="6"/>
  <c r="G108" i="6" s="1"/>
  <c r="AV31" i="6"/>
  <c r="G31" i="6" s="1"/>
  <c r="AV23" i="6"/>
  <c r="G23" i="6" s="1"/>
  <c r="AV27" i="6"/>
  <c r="G27" i="6" s="1"/>
  <c r="AV29" i="6"/>
  <c r="G29" i="6" s="1"/>
  <c r="AV125" i="6"/>
  <c r="G125" i="6" s="1"/>
  <c r="AV158" i="6"/>
  <c r="G158" i="6" s="1"/>
  <c r="AV191" i="6"/>
  <c r="G191" i="6" s="1"/>
  <c r="AV224" i="6"/>
  <c r="G224" i="6" s="1"/>
  <c r="AV46" i="6"/>
  <c r="G46" i="6" s="1"/>
  <c r="AV167" i="6"/>
  <c r="G167" i="6" s="1"/>
  <c r="AV217" i="6"/>
  <c r="G217" i="6" s="1"/>
  <c r="AV98" i="6"/>
  <c r="G98" i="6" s="1"/>
  <c r="AV131" i="6"/>
  <c r="G131" i="6" s="1"/>
  <c r="AV164" i="6"/>
  <c r="G164" i="6" s="1"/>
  <c r="AV198" i="6"/>
  <c r="G198" i="6" s="1"/>
  <c r="AV230" i="6"/>
  <c r="G230" i="6" s="1"/>
  <c r="AV18" i="6"/>
  <c r="G18" i="6" s="1"/>
  <c r="AV82" i="6"/>
  <c r="G82" i="6" s="1"/>
  <c r="AV79" i="6"/>
  <c r="G79" i="6" s="1"/>
  <c r="AV49" i="6"/>
  <c r="G49" i="6" s="1"/>
  <c r="AV122" i="6"/>
  <c r="G122" i="6" s="1"/>
  <c r="AV155" i="6"/>
  <c r="G155" i="6" s="1"/>
  <c r="AV188" i="6"/>
  <c r="G188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5" i="6"/>
  <c r="G135" i="6" s="1"/>
  <c r="AV149" i="6"/>
  <c r="G149" i="6" s="1"/>
  <c r="AV66" i="6"/>
  <c r="G66" i="6" s="1"/>
  <c r="AV81" i="6"/>
  <c r="G81" i="6" s="1"/>
  <c r="AV112" i="6"/>
  <c r="G112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2" i="6"/>
  <c r="G72" i="6" s="1"/>
  <c r="AV55" i="6"/>
  <c r="G55" i="6" s="1"/>
  <c r="AV84" i="6"/>
  <c r="G84" i="6" s="1"/>
  <c r="AV97" i="6"/>
  <c r="G97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09" i="6"/>
  <c r="G109" i="6" s="1"/>
  <c r="AV30" i="6"/>
  <c r="G30" i="6" s="1"/>
  <c r="AV240" i="6"/>
  <c r="G240" i="6" s="1"/>
  <c r="AV25" i="6"/>
  <c r="G25" i="6" s="1"/>
  <c r="AV24" i="6"/>
  <c r="G24" i="6" s="1"/>
  <c r="AV32" i="6"/>
  <c r="G32" i="6" s="1"/>
  <c r="AV57" i="6"/>
  <c r="G57" i="6" s="1"/>
  <c r="AV142" i="6"/>
  <c r="G142" i="6" s="1"/>
  <c r="AV175" i="6"/>
  <c r="G175" i="6" s="1"/>
  <c r="AV208" i="6"/>
  <c r="G208" i="6" s="1"/>
  <c r="AV11" i="6"/>
  <c r="G11" i="6" s="1"/>
  <c r="R11" i="5" s="1"/>
  <c r="AV100" i="6"/>
  <c r="G100" i="6" s="1"/>
  <c r="AV151" i="6"/>
  <c r="G151" i="6" s="1"/>
  <c r="AV201" i="6"/>
  <c r="G201" i="6" s="1"/>
  <c r="AV114" i="6"/>
  <c r="G114" i="6" s="1"/>
  <c r="AV148" i="6"/>
  <c r="G148" i="6" s="1"/>
  <c r="AV181" i="6"/>
  <c r="G181" i="6" s="1"/>
  <c r="AV214" i="6"/>
  <c r="G214" i="6" s="1"/>
  <c r="AV247" i="6"/>
  <c r="G247" i="6" s="1"/>
  <c r="AV52" i="6"/>
  <c r="G52" i="6" s="1"/>
  <c r="AV106" i="6"/>
  <c r="G106" i="6" s="1"/>
  <c r="AV139" i="6"/>
  <c r="G139" i="6" s="1"/>
  <c r="AV171" i="6"/>
  <c r="G171" i="6" s="1"/>
  <c r="AV56" i="6"/>
  <c r="G56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4" i="6"/>
  <c r="G74" i="6" s="1"/>
  <c r="AV118" i="6"/>
  <c r="G118" i="6" s="1"/>
  <c r="AV249" i="6"/>
  <c r="G249" i="6" s="1"/>
  <c r="AV241" i="6"/>
  <c r="G241" i="6" s="1"/>
  <c r="AV182" i="6"/>
  <c r="G182" i="6" s="1"/>
  <c r="AV161" i="6"/>
  <c r="G161" i="6" s="1"/>
  <c r="AV70" i="6"/>
  <c r="G70" i="6" s="1"/>
  <c r="AV221" i="6"/>
  <c r="G221" i="6" s="1"/>
  <c r="AV253" i="6"/>
  <c r="G253" i="6" s="1"/>
  <c r="R253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3" i="6"/>
  <c r="G233" i="6" s="1"/>
  <c r="AV91" i="6"/>
  <c r="G91" i="6" s="1"/>
  <c r="AV129" i="6"/>
  <c r="G129" i="6" s="1"/>
  <c r="AV195" i="6"/>
  <c r="G195" i="6" s="1"/>
  <c r="AV16" i="6"/>
  <c r="G16" i="6" s="1"/>
  <c r="AZ96" i="7"/>
  <c r="BA96" i="7" s="1"/>
  <c r="P96" i="7" s="1"/>
  <c r="AV63" i="6"/>
  <c r="G63" i="6" s="1"/>
  <c r="AV205" i="6"/>
  <c r="G205" i="6" s="1"/>
  <c r="AV67" i="6"/>
  <c r="G67" i="6" s="1"/>
  <c r="AV124" i="6"/>
  <c r="G124" i="6" s="1"/>
  <c r="AV223" i="6"/>
  <c r="G223" i="6" s="1"/>
  <c r="AV87" i="6"/>
  <c r="G87" i="6" s="1"/>
  <c r="AZ237" i="7"/>
  <c r="BA237" i="7" s="1"/>
  <c r="P237" i="7" s="1"/>
  <c r="AZ144" i="7"/>
  <c r="BA144" i="7" s="1"/>
  <c r="P144" i="7" s="1"/>
  <c r="AV15" i="6"/>
  <c r="G15" i="6" s="1"/>
  <c r="AV162" i="6"/>
  <c r="G162" i="6" s="1"/>
  <c r="AV228" i="6"/>
  <c r="G228" i="6" s="1"/>
  <c r="AV8" i="6"/>
  <c r="G8" i="6" s="1"/>
  <c r="R8" i="5" s="1"/>
  <c r="AV203" i="6"/>
  <c r="G203" i="6" s="1"/>
  <c r="R203" i="5" s="1"/>
  <c r="AV85" i="6"/>
  <c r="G85" i="6" s="1"/>
  <c r="AV152" i="6"/>
  <c r="G152" i="6" s="1"/>
  <c r="AV202" i="6"/>
  <c r="G202" i="6" s="1"/>
  <c r="R202" i="5" s="1"/>
  <c r="AV140" i="6"/>
  <c r="G140" i="6" s="1"/>
  <c r="AV103" i="6"/>
  <c r="G103" i="6" s="1"/>
  <c r="AV138" i="6"/>
  <c r="G138" i="6" s="1"/>
  <c r="AV170" i="6"/>
  <c r="G170" i="6" s="1"/>
  <c r="AV220" i="6"/>
  <c r="G220" i="6" s="1"/>
  <c r="AV252" i="6"/>
  <c r="G252" i="6" s="1"/>
  <c r="AV80" i="6"/>
  <c r="G80" i="6" s="1"/>
  <c r="AV110" i="6"/>
  <c r="G110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4" i="6"/>
  <c r="G94" i="6" s="1"/>
  <c r="AV234" i="6"/>
  <c r="G234" i="6" s="1"/>
  <c r="AV101" i="6"/>
  <c r="G101" i="6" s="1"/>
  <c r="AV248" i="6"/>
  <c r="G248" i="6" s="1"/>
  <c r="AV61" i="6"/>
  <c r="G61" i="6" s="1"/>
  <c r="AV179" i="6"/>
  <c r="G179" i="6" s="1"/>
  <c r="AV245" i="6"/>
  <c r="G245" i="6" s="1"/>
  <c r="AV60" i="6"/>
  <c r="G60" i="6" s="1"/>
  <c r="AV119" i="6"/>
  <c r="G119" i="6" s="1"/>
  <c r="AV168" i="6"/>
  <c r="G168" i="6" s="1"/>
  <c r="AV250" i="6"/>
  <c r="G250" i="6" s="1"/>
  <c r="AV194" i="6"/>
  <c r="G194" i="6" s="1"/>
  <c r="AV65" i="6"/>
  <c r="G65" i="6" s="1"/>
  <c r="AV143" i="6"/>
  <c r="G143" i="6" s="1"/>
  <c r="AV176" i="6"/>
  <c r="G176" i="6" s="1"/>
  <c r="AV209" i="6"/>
  <c r="G209" i="6" s="1"/>
  <c r="AV242" i="6"/>
  <c r="G242" i="6" s="1"/>
  <c r="AV89" i="6"/>
  <c r="G89" i="6" s="1"/>
  <c r="AV64" i="6"/>
  <c r="G64" i="6" s="1"/>
  <c r="AV236" i="6"/>
  <c r="G236" i="6" s="1"/>
  <c r="AV147" i="6"/>
  <c r="G147" i="6" s="1"/>
  <c r="AV180" i="6"/>
  <c r="G180" i="6" s="1"/>
  <c r="AV213" i="6"/>
  <c r="G213" i="6" s="1"/>
  <c r="AV246" i="6"/>
  <c r="G246" i="6" s="1"/>
  <c r="AV36" i="6"/>
  <c r="G36" i="6" s="1"/>
  <c r="AV169" i="6"/>
  <c r="G169" i="6" s="1"/>
  <c r="AV53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2" i="6"/>
  <c r="G132" i="6" s="1"/>
  <c r="AV95" i="6"/>
  <c r="G95" i="6" s="1"/>
  <c r="AV211" i="6"/>
  <c r="G211" i="6" s="1"/>
  <c r="AV238" i="6"/>
  <c r="G238" i="6" s="1"/>
  <c r="AV102" i="6"/>
  <c r="G102" i="6" s="1"/>
  <c r="AV83" i="6"/>
  <c r="G83" i="6" s="1"/>
  <c r="AV174" i="6"/>
  <c r="G174" i="6" s="1"/>
  <c r="AV58" i="6"/>
  <c r="G58" i="6" s="1"/>
  <c r="AV78" i="6"/>
  <c r="G78" i="6" s="1"/>
  <c r="AV105" i="6"/>
  <c r="G105" i="6" s="1"/>
  <c r="AV111" i="6"/>
  <c r="G111" i="6" s="1"/>
  <c r="AV50" i="6"/>
  <c r="G50" i="6" s="1"/>
  <c r="AV88" i="6"/>
  <c r="G88" i="6" s="1"/>
  <c r="AV71" i="6"/>
  <c r="G71" i="6" s="1"/>
  <c r="AV206" i="6"/>
  <c r="G206" i="6" s="1"/>
  <c r="AV45" i="6"/>
  <c r="G45" i="6" s="1"/>
  <c r="AV68" i="6"/>
  <c r="G68" i="6" s="1"/>
  <c r="AV163" i="6"/>
  <c r="G163" i="6" s="1"/>
  <c r="AV227" i="6"/>
  <c r="G227" i="6" s="1"/>
  <c r="AV127" i="6"/>
  <c r="G127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1" i="6"/>
  <c r="G231" i="6" s="1"/>
  <c r="AV104" i="6"/>
  <c r="G104" i="6" s="1"/>
  <c r="AV153" i="6"/>
  <c r="G153" i="6" s="1"/>
  <c r="AV22" i="6"/>
  <c r="G22" i="6" s="1"/>
  <c r="AV150" i="6"/>
  <c r="G150" i="6" s="1"/>
  <c r="AV232" i="6"/>
  <c r="G232" i="6" s="1"/>
  <c r="AV115" i="6"/>
  <c r="G115" i="6" s="1"/>
  <c r="AV123" i="6"/>
  <c r="G123" i="6" s="1"/>
  <c r="AV157" i="6"/>
  <c r="G157" i="6" s="1"/>
  <c r="AV154" i="6"/>
  <c r="G154" i="6" s="1"/>
  <c r="AV137" i="6"/>
  <c r="G137" i="6" s="1"/>
  <c r="AV96" i="6"/>
  <c r="G96" i="6" s="1"/>
  <c r="AV145" i="6"/>
  <c r="G145" i="6" s="1"/>
  <c r="AV251" i="6"/>
  <c r="G251" i="6" s="1"/>
  <c r="AV185" i="6"/>
  <c r="G185" i="6" s="1"/>
  <c r="AV244" i="6"/>
  <c r="G244" i="6" s="1"/>
  <c r="AV159" i="6"/>
  <c r="G159" i="6" s="1"/>
  <c r="AV225" i="6"/>
  <c r="G225" i="6" s="1"/>
  <c r="AV165" i="6"/>
  <c r="G165" i="6" s="1"/>
  <c r="AV222" i="6"/>
  <c r="G222" i="6" s="1"/>
  <c r="G42" i="6"/>
  <c r="AV237" i="6"/>
  <c r="G237" i="6" s="1"/>
  <c r="AV113" i="6"/>
  <c r="G113" i="6" s="1"/>
  <c r="AV229" i="6"/>
  <c r="G229" i="6" s="1"/>
  <c r="R229" i="5" s="1"/>
  <c r="AV86" i="6"/>
  <c r="G86" i="6" s="1"/>
  <c r="AV144" i="6"/>
  <c r="G144" i="6" s="1"/>
  <c r="AV210" i="6"/>
  <c r="G210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6" i="6"/>
  <c r="G146" i="6" s="1"/>
  <c r="G41" i="6"/>
  <c r="AV166" i="6"/>
  <c r="G166" i="6" s="1"/>
  <c r="AV20" i="6"/>
  <c r="G20" i="6" s="1"/>
  <c r="AV69" i="6"/>
  <c r="G69" i="6" s="1"/>
  <c r="AV130" i="6"/>
  <c r="G130" i="6" s="1"/>
  <c r="AV128" i="6"/>
  <c r="G128" i="6" s="1"/>
  <c r="AV10" i="6"/>
  <c r="G10" i="6" s="1"/>
  <c r="R10" i="5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5" i="6"/>
  <c r="G235" i="6" s="1"/>
  <c r="AV90" i="6"/>
  <c r="G90" i="6" s="1"/>
  <c r="AV200" i="6"/>
  <c r="G200" i="6" s="1"/>
  <c r="AV92" i="6"/>
  <c r="G92" i="6" s="1"/>
  <c r="AV73" i="6"/>
  <c r="G73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1" i="6"/>
  <c r="G141" i="6" s="1"/>
  <c r="AV126" i="6"/>
  <c r="G126" i="6" s="1"/>
  <c r="AV12" i="6"/>
  <c r="G12" i="6" s="1"/>
  <c r="R12" i="5" s="1"/>
  <c r="AV156" i="6"/>
  <c r="G156" i="6" s="1"/>
  <c r="AV121" i="6"/>
  <c r="G121" i="6" s="1"/>
  <c r="AV59" i="6"/>
  <c r="G59" i="6" s="1"/>
  <c r="AV226" i="6"/>
  <c r="G226" i="6" s="1"/>
  <c r="AV120" i="6"/>
  <c r="G120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6" i="6"/>
  <c r="G136" i="6" s="1"/>
  <c r="AV216" i="6"/>
  <c r="G216" i="6" s="1"/>
  <c r="G173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99" i="6"/>
  <c r="G99" i="6" s="1"/>
  <c r="AV43" i="6"/>
  <c r="G43" i="6" s="1"/>
  <c r="AV17" i="6"/>
  <c r="G17" i="6" s="1"/>
  <c r="AV93" i="6"/>
  <c r="G93" i="6" s="1"/>
  <c r="AV219" i="6"/>
  <c r="G219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2" i="6"/>
  <c r="G212" i="6" s="1"/>
  <c r="AV218" i="6"/>
  <c r="G218" i="6" s="1"/>
  <c r="AV116" i="6"/>
  <c r="G116" i="6" s="1"/>
  <c r="AV38" i="6"/>
  <c r="G38" i="6" s="1"/>
  <c r="AV215" i="6"/>
  <c r="G215" i="6" s="1"/>
  <c r="AV239" i="6"/>
  <c r="G239" i="6" s="1"/>
  <c r="AV243" i="6"/>
  <c r="G243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4" i="6"/>
  <c r="AV192" i="6"/>
  <c r="G192" i="6" s="1"/>
  <c r="AV204" i="6"/>
  <c r="G204" i="6" s="1"/>
  <c r="R204" i="5" s="1"/>
  <c r="AV196" i="6"/>
  <c r="G196" i="6" s="1"/>
  <c r="AV160" i="6"/>
  <c r="G160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3" i="6"/>
  <c r="G133" i="6" s="1"/>
  <c r="AV48" i="6"/>
  <c r="G48" i="6" s="1"/>
  <c r="AV9" i="6"/>
  <c r="G9" i="6" s="1"/>
  <c r="R9" i="5" s="1"/>
  <c r="AV34" i="6"/>
  <c r="G34" i="6" s="1"/>
  <c r="AV178" i="6"/>
  <c r="G17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2" i="6"/>
  <c r="G62" i="6" s="1"/>
  <c r="C26" i="10"/>
  <c r="D26" i="10" s="1"/>
  <c r="C140" i="10"/>
  <c r="D140" i="10" s="1"/>
  <c r="AZ137" i="7"/>
  <c r="BA137" i="7" s="1"/>
  <c r="P137" i="7" s="1"/>
  <c r="AV75" i="6"/>
  <c r="G75" i="6" s="1"/>
  <c r="C88" i="10"/>
  <c r="D88" i="10" s="1"/>
  <c r="C122" i="10"/>
  <c r="D122" i="10" s="1"/>
  <c r="AZ108" i="7"/>
  <c r="BA108" i="7" s="1"/>
  <c r="P108" i="7" s="1"/>
  <c r="AV177" i="6"/>
  <c r="G177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6" i="6"/>
  <c r="AV262" i="6"/>
  <c r="AV193" i="6"/>
  <c r="G193" i="6" s="1"/>
  <c r="AZ460" i="7"/>
  <c r="BA460" i="7" s="1"/>
  <c r="P460" i="7" s="1"/>
  <c r="AZ253" i="7"/>
  <c r="BA253" i="7" s="1"/>
  <c r="P253" i="7" s="1"/>
  <c r="AZ16" i="7"/>
  <c r="BA16" i="7" s="1"/>
  <c r="P16" i="7" s="1"/>
  <c r="AV187" i="6"/>
  <c r="G187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1" i="6"/>
  <c r="AZ293" i="7"/>
  <c r="BA293" i="7" s="1"/>
  <c r="P293" i="7" s="1"/>
  <c r="AZ307" i="7"/>
  <c r="BA307" i="7" s="1"/>
  <c r="P307" i="7" s="1"/>
  <c r="AV183" i="6"/>
  <c r="G183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6" i="6"/>
  <c r="AV267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5" i="6"/>
  <c r="AV263" i="6"/>
  <c r="AZ388" i="7"/>
  <c r="BA388" i="7" s="1"/>
  <c r="P388" i="7" s="1"/>
  <c r="AZ258" i="7"/>
  <c r="BA258" i="7" s="1"/>
  <c r="P258" i="7" s="1"/>
  <c r="AV184" i="6"/>
  <c r="G184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0" i="6"/>
  <c r="AV259" i="6"/>
  <c r="C252" i="10"/>
  <c r="D252" i="10" s="1"/>
  <c r="AZ9" i="7"/>
  <c r="BA9" i="7" s="1"/>
  <c r="P9" i="7" s="1"/>
  <c r="AZ287" i="7"/>
  <c r="BA287" i="7" s="1"/>
  <c r="P287" i="7" s="1"/>
  <c r="AV186" i="6"/>
  <c r="G186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7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4" i="6"/>
  <c r="AV199" i="6"/>
  <c r="G199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8" i="6"/>
  <c r="AZ182" i="7"/>
  <c r="BA182" i="7" s="1"/>
  <c r="P182" i="7" s="1"/>
  <c r="AZ50" i="7"/>
  <c r="BA50" i="7" s="1"/>
  <c r="P50" i="7" s="1"/>
  <c r="AV189" i="6"/>
  <c r="G189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8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5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1" i="6"/>
  <c r="G51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7" i="6"/>
  <c r="G207" i="6" s="1"/>
  <c r="AV190" i="6"/>
  <c r="G190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4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C27" i="8"/>
  <c r="F28" i="8"/>
  <c r="N28" i="8"/>
  <c r="G28" i="8"/>
  <c r="P28" i="8"/>
  <c r="H28" i="8"/>
  <c r="U28" i="8" s="1"/>
  <c r="Q28" i="8"/>
  <c r="I28" i="8"/>
  <c r="B28" i="8"/>
  <c r="O28" i="8" s="1"/>
  <c r="AZ439" i="7" s="1"/>
  <c r="BA439" i="7" s="1"/>
  <c r="P439" i="7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441" i="7" l="1"/>
  <c r="BA441" i="7" s="1"/>
  <c r="P441" i="7" s="1"/>
  <c r="AZ440" i="7"/>
  <c r="BA440" i="7" s="1"/>
  <c r="P440" i="7" s="1"/>
  <c r="AZ438" i="7"/>
  <c r="BA438" i="7" s="1"/>
  <c r="P438" i="7" s="1"/>
  <c r="AZ353" i="7"/>
  <c r="BA353" i="7" s="1"/>
  <c r="P353" i="7" s="1"/>
  <c r="AZ354" i="7"/>
  <c r="BA354" i="7" s="1"/>
  <c r="P354" i="7" s="1"/>
  <c r="AZ38" i="7"/>
  <c r="BA38" i="7" s="1"/>
  <c r="P38" i="7" s="1"/>
  <c r="AZ92" i="7"/>
  <c r="BA92" i="7" s="1"/>
  <c r="P92" i="7" s="1"/>
  <c r="AZ250" i="7"/>
  <c r="BA250" i="7" s="1"/>
  <c r="P250" i="7" s="1"/>
  <c r="H76" i="6"/>
  <c r="R76" i="5"/>
  <c r="R39" i="5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2" i="5"/>
  <c r="AC172" i="9" s="1"/>
  <c r="H13" i="6"/>
  <c r="R13" i="5"/>
  <c r="AK12" i="9" s="1"/>
  <c r="AL12" i="9" s="1"/>
  <c r="R245" i="5"/>
  <c r="R170" i="5"/>
  <c r="R124" i="5"/>
  <c r="R91" i="5"/>
  <c r="R118" i="5"/>
  <c r="R247" i="5"/>
  <c r="R240" i="5"/>
  <c r="R135" i="5"/>
  <c r="R230" i="5"/>
  <c r="R224" i="5"/>
  <c r="R108" i="5"/>
  <c r="R138" i="5"/>
  <c r="R228" i="5"/>
  <c r="R67" i="5"/>
  <c r="R233" i="5"/>
  <c r="R221" i="5"/>
  <c r="R74" i="5"/>
  <c r="R214" i="5"/>
  <c r="R208" i="5"/>
  <c r="R30" i="5"/>
  <c r="R97" i="5"/>
  <c r="R188" i="5"/>
  <c r="R198" i="5"/>
  <c r="R191" i="5"/>
  <c r="R197" i="5"/>
  <c r="R196" i="5"/>
  <c r="R43" i="5"/>
  <c r="R216" i="5"/>
  <c r="R128" i="5"/>
  <c r="R165" i="5"/>
  <c r="R153" i="5"/>
  <c r="R45" i="5"/>
  <c r="R21" i="5"/>
  <c r="R187" i="5"/>
  <c r="R136" i="5"/>
  <c r="R37" i="5"/>
  <c r="R130" i="5"/>
  <c r="R225" i="5"/>
  <c r="R104" i="5"/>
  <c r="R174" i="5"/>
  <c r="R242" i="5"/>
  <c r="R62" i="5"/>
  <c r="R178" i="5"/>
  <c r="R192" i="5"/>
  <c r="R86" i="5"/>
  <c r="R157" i="5"/>
  <c r="R71" i="5"/>
  <c r="R246" i="5"/>
  <c r="R60" i="5"/>
  <c r="R212" i="5"/>
  <c r="R123" i="5"/>
  <c r="R88" i="5"/>
  <c r="R213" i="5"/>
  <c r="R189" i="5"/>
  <c r="R35" i="5"/>
  <c r="R73" i="5"/>
  <c r="R166" i="5"/>
  <c r="R113" i="5"/>
  <c r="R115" i="5"/>
  <c r="R127" i="5"/>
  <c r="R238" i="5"/>
  <c r="R180" i="5"/>
  <c r="R179" i="5"/>
  <c r="R193" i="5"/>
  <c r="R48" i="5"/>
  <c r="R243" i="5"/>
  <c r="R219" i="5"/>
  <c r="R156" i="5"/>
  <c r="R92" i="5"/>
  <c r="R41" i="5"/>
  <c r="R237" i="5"/>
  <c r="R251" i="5"/>
  <c r="R232" i="5"/>
  <c r="R227" i="5"/>
  <c r="R111" i="5"/>
  <c r="R211" i="5"/>
  <c r="R147" i="5"/>
  <c r="R65" i="5"/>
  <c r="R61" i="5"/>
  <c r="R103" i="5"/>
  <c r="R162" i="5"/>
  <c r="R205" i="5"/>
  <c r="R70" i="5"/>
  <c r="R33" i="5"/>
  <c r="R181" i="5"/>
  <c r="R175" i="5"/>
  <c r="R109" i="5"/>
  <c r="R84" i="5"/>
  <c r="R155" i="5"/>
  <c r="R164" i="5"/>
  <c r="R158" i="5"/>
  <c r="R134" i="5"/>
  <c r="R248" i="5"/>
  <c r="R140" i="5"/>
  <c r="R15" i="5"/>
  <c r="R63" i="5"/>
  <c r="R161" i="5"/>
  <c r="R28" i="5"/>
  <c r="R56" i="5"/>
  <c r="R148" i="5"/>
  <c r="R142" i="5"/>
  <c r="R55" i="5"/>
  <c r="R122" i="5"/>
  <c r="R131" i="5"/>
  <c r="R125" i="5"/>
  <c r="R107" i="5"/>
  <c r="R19" i="5"/>
  <c r="R184" i="5"/>
  <c r="R38" i="5"/>
  <c r="R141" i="5"/>
  <c r="R235" i="5"/>
  <c r="R210" i="5"/>
  <c r="R137" i="5"/>
  <c r="R58" i="5"/>
  <c r="R169" i="5"/>
  <c r="R116" i="5"/>
  <c r="R99" i="5"/>
  <c r="R120" i="5"/>
  <c r="R144" i="5"/>
  <c r="R154" i="5"/>
  <c r="R206" i="5"/>
  <c r="R36" i="5"/>
  <c r="R119" i="5"/>
  <c r="R183" i="5"/>
  <c r="R177" i="5"/>
  <c r="R218" i="5"/>
  <c r="R226" i="5"/>
  <c r="R69" i="5"/>
  <c r="R159" i="5"/>
  <c r="R231" i="5"/>
  <c r="R83" i="5"/>
  <c r="R209" i="5"/>
  <c r="R199" i="5"/>
  <c r="R34" i="5"/>
  <c r="R59" i="5"/>
  <c r="R20" i="5"/>
  <c r="R244" i="5"/>
  <c r="R102" i="5"/>
  <c r="R176" i="5"/>
  <c r="R121" i="5"/>
  <c r="R185" i="5"/>
  <c r="R50" i="5"/>
  <c r="R143" i="5"/>
  <c r="R190" i="5"/>
  <c r="R75" i="5"/>
  <c r="R133" i="5"/>
  <c r="R14" i="5"/>
  <c r="R239" i="5"/>
  <c r="R93" i="5"/>
  <c r="R77" i="5"/>
  <c r="R200" i="5"/>
  <c r="R146" i="5"/>
  <c r="R42" i="5"/>
  <c r="R145" i="5"/>
  <c r="R150" i="5"/>
  <c r="R163" i="5"/>
  <c r="R105" i="5"/>
  <c r="R95" i="5"/>
  <c r="R236" i="5"/>
  <c r="R194" i="5"/>
  <c r="R207" i="5"/>
  <c r="R51" i="5"/>
  <c r="R186" i="5"/>
  <c r="R26" i="5"/>
  <c r="R160" i="5"/>
  <c r="R215" i="5"/>
  <c r="R17" i="5"/>
  <c r="R173" i="5"/>
  <c r="R126" i="5"/>
  <c r="R90" i="5"/>
  <c r="R222" i="5"/>
  <c r="R96" i="5"/>
  <c r="R22" i="5"/>
  <c r="R68" i="5"/>
  <c r="R78" i="5"/>
  <c r="R132" i="5"/>
  <c r="R64" i="5"/>
  <c r="R250" i="5"/>
  <c r="R101" i="5"/>
  <c r="R110" i="5"/>
  <c r="R182" i="5"/>
  <c r="R171" i="5"/>
  <c r="R114" i="5"/>
  <c r="R57" i="5"/>
  <c r="R72" i="5"/>
  <c r="R112" i="5"/>
  <c r="R49" i="5"/>
  <c r="R98" i="5"/>
  <c r="R29" i="5"/>
  <c r="R89" i="5"/>
  <c r="R168" i="5"/>
  <c r="R234" i="5"/>
  <c r="R80" i="5"/>
  <c r="R152" i="5"/>
  <c r="R16" i="5"/>
  <c r="R241" i="5"/>
  <c r="R139" i="5"/>
  <c r="R201" i="5"/>
  <c r="R32" i="5"/>
  <c r="R81" i="5"/>
  <c r="R79" i="5"/>
  <c r="R217" i="5"/>
  <c r="R27" i="5"/>
  <c r="R117" i="5"/>
  <c r="R94" i="5"/>
  <c r="R252" i="5"/>
  <c r="R85" i="5"/>
  <c r="R87" i="5"/>
  <c r="R195" i="5"/>
  <c r="R106" i="5"/>
  <c r="R151" i="5"/>
  <c r="R24" i="5"/>
  <c r="R66" i="5"/>
  <c r="R82" i="5"/>
  <c r="R167" i="5"/>
  <c r="R23" i="5"/>
  <c r="R47" i="5"/>
  <c r="R220" i="5"/>
  <c r="R223" i="5"/>
  <c r="R129" i="5"/>
  <c r="R44" i="5"/>
  <c r="R249" i="5"/>
  <c r="R52" i="5"/>
  <c r="R100" i="5"/>
  <c r="R25" i="5"/>
  <c r="R149" i="5"/>
  <c r="R18" i="5"/>
  <c r="R46" i="5"/>
  <c r="R31" i="5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4" i="6"/>
  <c r="G53" i="6"/>
  <c r="H53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M9" i="8"/>
  <c r="M8" i="8"/>
  <c r="M6" i="8"/>
  <c r="AZ397" i="7"/>
  <c r="BA397" i="7" s="1"/>
  <c r="P397" i="7" s="1"/>
  <c r="AA254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0" i="6"/>
  <c r="H145" i="6"/>
  <c r="H95" i="6"/>
  <c r="H61" i="6"/>
  <c r="H205" i="6"/>
  <c r="H249" i="6"/>
  <c r="H52" i="6"/>
  <c r="H98" i="6"/>
  <c r="H10" i="6"/>
  <c r="H96" i="6"/>
  <c r="H78" i="6"/>
  <c r="H194" i="6"/>
  <c r="H140" i="6"/>
  <c r="H63" i="6"/>
  <c r="H118" i="6"/>
  <c r="H247" i="6"/>
  <c r="H66" i="6"/>
  <c r="H217" i="6"/>
  <c r="H186" i="6"/>
  <c r="H218" i="6"/>
  <c r="H226" i="6"/>
  <c r="H128" i="6"/>
  <c r="H165" i="6"/>
  <c r="H58" i="6"/>
  <c r="H51" i="6"/>
  <c r="H173" i="6"/>
  <c r="H59" i="6"/>
  <c r="H130" i="6"/>
  <c r="H225" i="6"/>
  <c r="H104" i="6"/>
  <c r="H206" i="6"/>
  <c r="H174" i="6"/>
  <c r="H89" i="6"/>
  <c r="H234" i="6"/>
  <c r="H152" i="6"/>
  <c r="H16" i="6"/>
  <c r="H70" i="6"/>
  <c r="H175" i="6"/>
  <c r="H135" i="6"/>
  <c r="H18" i="6"/>
  <c r="H31" i="6"/>
  <c r="H117" i="6"/>
  <c r="T29" i="8"/>
  <c r="X29" i="8"/>
  <c r="V29" i="8"/>
  <c r="W29" i="8"/>
  <c r="W31" i="8"/>
  <c r="V31" i="8"/>
  <c r="X31" i="8"/>
  <c r="T31" i="8"/>
  <c r="H187" i="6"/>
  <c r="H69" i="6"/>
  <c r="H159" i="6"/>
  <c r="H231" i="6"/>
  <c r="H83" i="6"/>
  <c r="H36" i="6"/>
  <c r="H242" i="6"/>
  <c r="H94" i="6"/>
  <c r="H252" i="6"/>
  <c r="H87" i="6"/>
  <c r="H28" i="6"/>
  <c r="H148" i="6"/>
  <c r="H224" i="6"/>
  <c r="T42" i="8"/>
  <c r="X42" i="8"/>
  <c r="V42" i="8"/>
  <c r="W42" i="8"/>
  <c r="W39" i="8"/>
  <c r="V39" i="8"/>
  <c r="X39" i="8"/>
  <c r="T39" i="8"/>
  <c r="H183" i="6"/>
  <c r="BB346" i="7"/>
  <c r="BC346" i="7"/>
  <c r="H178" i="6"/>
  <c r="H196" i="6"/>
  <c r="H243" i="6"/>
  <c r="H99" i="6"/>
  <c r="H136" i="6"/>
  <c r="H156" i="6"/>
  <c r="H20" i="6"/>
  <c r="H229" i="6"/>
  <c r="H244" i="6"/>
  <c r="H123" i="6"/>
  <c r="H88" i="6"/>
  <c r="H102" i="6"/>
  <c r="H246" i="6"/>
  <c r="H209" i="6"/>
  <c r="H60" i="6"/>
  <c r="H220" i="6"/>
  <c r="H203" i="6"/>
  <c r="H223" i="6"/>
  <c r="H129" i="6"/>
  <c r="H182" i="6"/>
  <c r="H171" i="6"/>
  <c r="H114" i="6"/>
  <c r="H57" i="6"/>
  <c r="H84" i="6"/>
  <c r="H188" i="6"/>
  <c r="H198" i="6"/>
  <c r="H191" i="6"/>
  <c r="H197" i="6"/>
  <c r="H193" i="6"/>
  <c r="H75" i="6"/>
  <c r="H48" i="6"/>
  <c r="H146" i="6"/>
  <c r="H150" i="6"/>
  <c r="H163" i="6"/>
  <c r="H65" i="6"/>
  <c r="H103" i="6"/>
  <c r="H25" i="6"/>
  <c r="H81" i="6"/>
  <c r="H29" i="6"/>
  <c r="T28" i="8"/>
  <c r="X28" i="8"/>
  <c r="W28" i="8"/>
  <c r="V28" i="8"/>
  <c r="H207" i="6"/>
  <c r="H19" i="6"/>
  <c r="H116" i="6"/>
  <c r="H120" i="6"/>
  <c r="H222" i="6"/>
  <c r="H132" i="6"/>
  <c r="H248" i="6"/>
  <c r="BC99" i="7"/>
  <c r="BB99" i="7"/>
  <c r="H240" i="6"/>
  <c r="H27" i="6"/>
  <c r="X40" i="8"/>
  <c r="V40" i="8"/>
  <c r="W40" i="8"/>
  <c r="T40" i="8"/>
  <c r="BC348" i="7"/>
  <c r="BB348" i="7"/>
  <c r="H177" i="6"/>
  <c r="H77" i="6"/>
  <c r="H235" i="6"/>
  <c r="H137" i="6"/>
  <c r="H45" i="6"/>
  <c r="W35" i="8"/>
  <c r="V35" i="8"/>
  <c r="X35" i="8"/>
  <c r="T35" i="8"/>
  <c r="BC19" i="7"/>
  <c r="BB19" i="7"/>
  <c r="BC287" i="7"/>
  <c r="BB287" i="7"/>
  <c r="H184" i="6"/>
  <c r="H14" i="6"/>
  <c r="H212" i="6"/>
  <c r="H17" i="6"/>
  <c r="H144" i="6"/>
  <c r="H154" i="6"/>
  <c r="H169" i="6"/>
  <c r="H168" i="6"/>
  <c r="H80" i="6"/>
  <c r="H33" i="6"/>
  <c r="H181" i="6"/>
  <c r="H109" i="6"/>
  <c r="H46" i="6"/>
  <c r="X46" i="8"/>
  <c r="T46" i="8"/>
  <c r="W46" i="8"/>
  <c r="V46" i="8"/>
  <c r="BB463" i="7"/>
  <c r="BC463" i="7"/>
  <c r="H62" i="6"/>
  <c r="H160" i="6"/>
  <c r="H43" i="6"/>
  <c r="H216" i="6"/>
  <c r="H121" i="6"/>
  <c r="H86" i="6"/>
  <c r="H157" i="6"/>
  <c r="H71" i="6"/>
  <c r="H119" i="6"/>
  <c r="H85" i="6"/>
  <c r="H195" i="6"/>
  <c r="H161" i="6"/>
  <c r="H56" i="6"/>
  <c r="H142" i="6"/>
  <c r="H97" i="6"/>
  <c r="H230" i="6"/>
  <c r="H108" i="6"/>
  <c r="X30" i="8"/>
  <c r="T30" i="8"/>
  <c r="V30" i="8"/>
  <c r="W30" i="8"/>
  <c r="H189" i="6"/>
  <c r="BC299" i="7"/>
  <c r="BB299" i="7"/>
  <c r="H199" i="6"/>
  <c r="BB288" i="7"/>
  <c r="BC288" i="7"/>
  <c r="H34" i="6"/>
  <c r="H204" i="6"/>
  <c r="H239" i="6"/>
  <c r="H12" i="6"/>
  <c r="H73" i="6"/>
  <c r="H166" i="6"/>
  <c r="H113" i="6"/>
  <c r="H185" i="6"/>
  <c r="H115" i="6"/>
  <c r="H127" i="6"/>
  <c r="H50" i="6"/>
  <c r="H238" i="6"/>
  <c r="H213" i="6"/>
  <c r="H176" i="6"/>
  <c r="H245" i="6"/>
  <c r="H170" i="6"/>
  <c r="H8" i="6"/>
  <c r="H124" i="6"/>
  <c r="H91" i="6"/>
  <c r="H241" i="6"/>
  <c r="H139" i="6"/>
  <c r="H201" i="6"/>
  <c r="H32" i="6"/>
  <c r="H55" i="6"/>
  <c r="H155" i="6"/>
  <c r="H164" i="6"/>
  <c r="H158" i="6"/>
  <c r="H134" i="6"/>
  <c r="T45" i="8"/>
  <c r="X45" i="8"/>
  <c r="V45" i="8"/>
  <c r="W45" i="8"/>
  <c r="H190" i="6"/>
  <c r="BC123" i="7"/>
  <c r="BB123" i="7"/>
  <c r="BC20" i="7"/>
  <c r="BB20" i="7"/>
  <c r="H141" i="6"/>
  <c r="H42" i="6"/>
  <c r="H105" i="6"/>
  <c r="H147" i="6"/>
  <c r="H162" i="6"/>
  <c r="H44" i="6"/>
  <c r="H100" i="6"/>
  <c r="BC243" i="7"/>
  <c r="BB243" i="7"/>
  <c r="H49" i="6"/>
  <c r="H133" i="6"/>
  <c r="H35" i="6"/>
  <c r="H219" i="6"/>
  <c r="H37" i="6"/>
  <c r="H90" i="6"/>
  <c r="H22" i="6"/>
  <c r="H68" i="6"/>
  <c r="H236" i="6"/>
  <c r="H15" i="6"/>
  <c r="H253" i="6"/>
  <c r="H11" i="6"/>
  <c r="H79" i="6"/>
  <c r="H107" i="6"/>
  <c r="H26" i="6"/>
  <c r="H93" i="6"/>
  <c r="H210" i="6"/>
  <c r="H153" i="6"/>
  <c r="H21" i="6"/>
  <c r="T34" i="8"/>
  <c r="X34" i="8"/>
  <c r="W34" i="8"/>
  <c r="V34" i="8"/>
  <c r="H9" i="6"/>
  <c r="H192" i="6"/>
  <c r="H215" i="6"/>
  <c r="H126" i="6"/>
  <c r="H92" i="6"/>
  <c r="H41" i="6"/>
  <c r="H237" i="6"/>
  <c r="H251" i="6"/>
  <c r="H232" i="6"/>
  <c r="H227" i="6"/>
  <c r="H111" i="6"/>
  <c r="H211" i="6"/>
  <c r="H180" i="6"/>
  <c r="H143" i="6"/>
  <c r="H179" i="6"/>
  <c r="H138" i="6"/>
  <c r="H228" i="6"/>
  <c r="H67" i="6"/>
  <c r="H233" i="6"/>
  <c r="H40" i="6"/>
  <c r="BC248" i="7"/>
  <c r="BB248" i="7"/>
  <c r="H106" i="6"/>
  <c r="H151" i="6"/>
  <c r="H24" i="6"/>
  <c r="H72" i="6"/>
  <c r="H112" i="6"/>
  <c r="H122" i="6"/>
  <c r="H131" i="6"/>
  <c r="H125" i="6"/>
  <c r="T33" i="8"/>
  <c r="X33" i="8"/>
  <c r="V33" i="8"/>
  <c r="W33" i="8"/>
  <c r="X41" i="8"/>
  <c r="T41" i="8"/>
  <c r="W41" i="8"/>
  <c r="V41" i="8"/>
  <c r="X32" i="8"/>
  <c r="V32" i="8"/>
  <c r="W32" i="8"/>
  <c r="T32" i="8"/>
  <c r="H64" i="6"/>
  <c r="H250" i="6"/>
  <c r="H101" i="6"/>
  <c r="H110" i="6"/>
  <c r="H202" i="6"/>
  <c r="H221" i="6"/>
  <c r="H74" i="6"/>
  <c r="H214" i="6"/>
  <c r="H208" i="6"/>
  <c r="H30" i="6"/>
  <c r="BB244" i="7"/>
  <c r="BC244" i="7"/>
  <c r="H149" i="6"/>
  <c r="H82" i="6"/>
  <c r="H167" i="6"/>
  <c r="H23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39" i="7"/>
  <c r="BB439" i="7"/>
  <c r="BC438" i="7"/>
  <c r="BC472" i="7"/>
  <c r="BB472" i="7"/>
  <c r="BC468" i="7"/>
  <c r="BB468" i="7"/>
  <c r="BC467" i="7"/>
  <c r="BB467" i="7"/>
  <c r="BC466" i="7"/>
  <c r="BB466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8" i="7"/>
  <c r="BB448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B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29" i="7"/>
  <c r="BB29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BB438" i="7" l="1"/>
  <c r="BC440" i="7"/>
  <c r="BB440" i="7"/>
  <c r="BB354" i="7"/>
  <c r="BC354" i="7"/>
  <c r="BB353" i="7"/>
  <c r="BC353" i="7"/>
  <c r="BC184" i="7"/>
  <c r="AK48" i="9"/>
  <c r="AL48" i="9" s="1"/>
  <c r="BB92" i="7"/>
  <c r="BC92" i="7"/>
  <c r="BB250" i="7"/>
  <c r="BC250" i="7"/>
  <c r="BC150" i="7"/>
  <c r="BC73" i="7"/>
  <c r="BB150" i="7"/>
  <c r="AK75" i="9"/>
  <c r="AL75" i="9" s="1"/>
  <c r="BB28" i="7"/>
  <c r="BC28" i="7"/>
  <c r="BB184" i="7"/>
  <c r="AB76" i="9"/>
  <c r="AF76" i="9"/>
  <c r="AC76" i="9"/>
  <c r="BC109" i="7"/>
  <c r="AK171" i="9"/>
  <c r="AL171" i="9" s="1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2" i="9"/>
  <c r="AD172" i="9" s="1"/>
  <c r="E172" i="5" s="1"/>
  <c r="AF172" i="9"/>
  <c r="AG172" i="9" s="1"/>
  <c r="I172" i="5" s="1"/>
  <c r="AE172" i="9"/>
  <c r="G172" i="5" s="1"/>
  <c r="H172" i="5"/>
  <c r="AB13" i="9"/>
  <c r="AC13" i="9"/>
  <c r="AF13" i="9"/>
  <c r="AK220" i="9"/>
  <c r="AL220" i="9" s="1"/>
  <c r="AM220" i="9" s="1"/>
  <c r="R53" i="5"/>
  <c r="BB167" i="7"/>
  <c r="BC167" i="7"/>
  <c r="R54" i="5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4" i="6"/>
  <c r="D9" i="18" s="1"/>
  <c r="D11" i="18" s="1"/>
  <c r="D24" i="18" s="1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4" i="9"/>
  <c r="AD254" i="9" s="1"/>
  <c r="AK254" i="9"/>
  <c r="AL254" i="9" s="1"/>
  <c r="AM254" i="9" s="1"/>
  <c r="AC254" i="9"/>
  <c r="AE254" i="9" s="1"/>
  <c r="AF254" i="9"/>
  <c r="AG254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3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49" i="9"/>
  <c r="AF149" i="9"/>
  <c r="AK149" i="9"/>
  <c r="AL149" i="9" s="1"/>
  <c r="AC149" i="9"/>
  <c r="AB202" i="9"/>
  <c r="AK202" i="9"/>
  <c r="AL202" i="9" s="1"/>
  <c r="AF202" i="9"/>
  <c r="AC202" i="9"/>
  <c r="AC227" i="9"/>
  <c r="AB227" i="9"/>
  <c r="AF227" i="9"/>
  <c r="AK21" i="9"/>
  <c r="AL21" i="9" s="1"/>
  <c r="AB21" i="9"/>
  <c r="AF21" i="9"/>
  <c r="AC21" i="9"/>
  <c r="AF176" i="9"/>
  <c r="AC176" i="9"/>
  <c r="AB176" i="9"/>
  <c r="AK121" i="9"/>
  <c r="AL121" i="9" s="1"/>
  <c r="AF121" i="9"/>
  <c r="AC121" i="9"/>
  <c r="AB121" i="9"/>
  <c r="AB167" i="9"/>
  <c r="AF167" i="9"/>
  <c r="AC167" i="9"/>
  <c r="AK167" i="9"/>
  <c r="AL167" i="9" s="1"/>
  <c r="AF232" i="9"/>
  <c r="AC232" i="9"/>
  <c r="AB232" i="9"/>
  <c r="AC101" i="9"/>
  <c r="AK101" i="9"/>
  <c r="AL101" i="9" s="1"/>
  <c r="AB101" i="9"/>
  <c r="AF101" i="9"/>
  <c r="AC112" i="9"/>
  <c r="AB112" i="9"/>
  <c r="AF112" i="9"/>
  <c r="AK112" i="9"/>
  <c r="AL112" i="9" s="1"/>
  <c r="AF190" i="9"/>
  <c r="AC190" i="9"/>
  <c r="AK190" i="9"/>
  <c r="AL190" i="9" s="1"/>
  <c r="AB190" i="9"/>
  <c r="AC34" i="9"/>
  <c r="AB34" i="9"/>
  <c r="AF34" i="9"/>
  <c r="AK34" i="9"/>
  <c r="AL34" i="9" s="1"/>
  <c r="AC161" i="9"/>
  <c r="AB161" i="9"/>
  <c r="AF161" i="9"/>
  <c r="AK161" i="9"/>
  <c r="AL161" i="9" s="1"/>
  <c r="AK71" i="9"/>
  <c r="AL71" i="9" s="1"/>
  <c r="AC71" i="9"/>
  <c r="AB71" i="9"/>
  <c r="AF71" i="9"/>
  <c r="AF216" i="9"/>
  <c r="AB216" i="9"/>
  <c r="AC216" i="9"/>
  <c r="AB181" i="9"/>
  <c r="AF181" i="9"/>
  <c r="AC181" i="9"/>
  <c r="AF80" i="9"/>
  <c r="AC80" i="9"/>
  <c r="AB80" i="9"/>
  <c r="AF154" i="9"/>
  <c r="AC154" i="9"/>
  <c r="AB154" i="9"/>
  <c r="AF17" i="9"/>
  <c r="AB17" i="9"/>
  <c r="AK17" i="9"/>
  <c r="AL17" i="9" s="1"/>
  <c r="AC17" i="9"/>
  <c r="AB240" i="9"/>
  <c r="AC240" i="9"/>
  <c r="AF240" i="9"/>
  <c r="AB132" i="9"/>
  <c r="AF132" i="9"/>
  <c r="AC132" i="9"/>
  <c r="AK132" i="9"/>
  <c r="AL132" i="9" s="1"/>
  <c r="AB163" i="9"/>
  <c r="AF163" i="9"/>
  <c r="AK163" i="9"/>
  <c r="AL163" i="9" s="1"/>
  <c r="AC163" i="9"/>
  <c r="AK223" i="9"/>
  <c r="AL223" i="9" s="1"/>
  <c r="AB223" i="9"/>
  <c r="AF223" i="9"/>
  <c r="AC223" i="9"/>
  <c r="AB229" i="9"/>
  <c r="AC229" i="9"/>
  <c r="AF229" i="9"/>
  <c r="AK136" i="9"/>
  <c r="AL136" i="9" s="1"/>
  <c r="AF136" i="9"/>
  <c r="AB136" i="9"/>
  <c r="AC136" i="9"/>
  <c r="AB224" i="9"/>
  <c r="AC224" i="9"/>
  <c r="AF224" i="9"/>
  <c r="AK224" i="9"/>
  <c r="AL224" i="9" s="1"/>
  <c r="AC28" i="9"/>
  <c r="AF28" i="9"/>
  <c r="AK28" i="9"/>
  <c r="AL28" i="9" s="1"/>
  <c r="AB28" i="9"/>
  <c r="AK231" i="9"/>
  <c r="AL231" i="9" s="1"/>
  <c r="AC231" i="9"/>
  <c r="AB231" i="9"/>
  <c r="AF231" i="9"/>
  <c r="AF89" i="9"/>
  <c r="AB89" i="9"/>
  <c r="AK89" i="9"/>
  <c r="AL89" i="9" s="1"/>
  <c r="AC89" i="9"/>
  <c r="AB78" i="9"/>
  <c r="AF78" i="9"/>
  <c r="AK78" i="9"/>
  <c r="AL78" i="9" s="1"/>
  <c r="AC78" i="9"/>
  <c r="AB61" i="9"/>
  <c r="AC61" i="9"/>
  <c r="AF61" i="9"/>
  <c r="AK61" i="9"/>
  <c r="AL61" i="9" s="1"/>
  <c r="AB82" i="9"/>
  <c r="AK82" i="9"/>
  <c r="AL82" i="9" s="1"/>
  <c r="AF82" i="9"/>
  <c r="AC82" i="9"/>
  <c r="AC125" i="9"/>
  <c r="AK125" i="9"/>
  <c r="AL125" i="9" s="1"/>
  <c r="AF125" i="9"/>
  <c r="AB125" i="9"/>
  <c r="AF151" i="9"/>
  <c r="AC151" i="9"/>
  <c r="AB151" i="9"/>
  <c r="AK151" i="9"/>
  <c r="AL151" i="9" s="1"/>
  <c r="AB138" i="9"/>
  <c r="AC138" i="9"/>
  <c r="AF138" i="9"/>
  <c r="AK138" i="9"/>
  <c r="AL138" i="9" s="1"/>
  <c r="AC211" i="9"/>
  <c r="AF211" i="9"/>
  <c r="AB211" i="9"/>
  <c r="AK211" i="9"/>
  <c r="AL211" i="9" s="1"/>
  <c r="AC251" i="9"/>
  <c r="AK251" i="9"/>
  <c r="AL251" i="9" s="1"/>
  <c r="AB251" i="9"/>
  <c r="AF251" i="9"/>
  <c r="AF215" i="9"/>
  <c r="AK215" i="9"/>
  <c r="AL215" i="9" s="1"/>
  <c r="AB215" i="9"/>
  <c r="AC215" i="9"/>
  <c r="AK9" i="9"/>
  <c r="AL9" i="9" s="1"/>
  <c r="AB9" i="9"/>
  <c r="AF9" i="9"/>
  <c r="AC9" i="9"/>
  <c r="AC210" i="9"/>
  <c r="AK210" i="9"/>
  <c r="AL210" i="9" s="1"/>
  <c r="AF210" i="9"/>
  <c r="AB210" i="9"/>
  <c r="AB26" i="9"/>
  <c r="AC26" i="9"/>
  <c r="AF26" i="9"/>
  <c r="AK26" i="9"/>
  <c r="AL26" i="9" s="1"/>
  <c r="AK79" i="9"/>
  <c r="AL79" i="9" s="1"/>
  <c r="AF79" i="9"/>
  <c r="AB79" i="9"/>
  <c r="AC79" i="9"/>
  <c r="AC15" i="9"/>
  <c r="AB15" i="9"/>
  <c r="AF15" i="9"/>
  <c r="AK15" i="9"/>
  <c r="AL15" i="9" s="1"/>
  <c r="AF90" i="9"/>
  <c r="AB90" i="9"/>
  <c r="AC90" i="9"/>
  <c r="AK90" i="9"/>
  <c r="AL90" i="9" s="1"/>
  <c r="AK35" i="9"/>
  <c r="AL35" i="9" s="1"/>
  <c r="AF35" i="9"/>
  <c r="AB35" i="9"/>
  <c r="AC35" i="9"/>
  <c r="AC49" i="9"/>
  <c r="AB49" i="9"/>
  <c r="AF49" i="9"/>
  <c r="AK162" i="9"/>
  <c r="AL162" i="9" s="1"/>
  <c r="AC162" i="9"/>
  <c r="AF162" i="9"/>
  <c r="AB162" i="9"/>
  <c r="AF141" i="9"/>
  <c r="AC141" i="9"/>
  <c r="AB141" i="9"/>
  <c r="AK158" i="9"/>
  <c r="AL158" i="9" s="1"/>
  <c r="AF158" i="9"/>
  <c r="AB158" i="9"/>
  <c r="AC158" i="9"/>
  <c r="AB201" i="9"/>
  <c r="AF201" i="9"/>
  <c r="AC201" i="9"/>
  <c r="AK201" i="9"/>
  <c r="AL201" i="9" s="1"/>
  <c r="AC170" i="9"/>
  <c r="AK170" i="9"/>
  <c r="AL170" i="9" s="1"/>
  <c r="AB170" i="9"/>
  <c r="AF170" i="9"/>
  <c r="AF238" i="9"/>
  <c r="AC238" i="9"/>
  <c r="AK238" i="9"/>
  <c r="AL238" i="9" s="1"/>
  <c r="AB238" i="9"/>
  <c r="AB185" i="9"/>
  <c r="AK185" i="9"/>
  <c r="AL185" i="9" s="1"/>
  <c r="AF185" i="9"/>
  <c r="AC185" i="9"/>
  <c r="AK239" i="9"/>
  <c r="AL239" i="9" s="1"/>
  <c r="AC239" i="9"/>
  <c r="AB239" i="9"/>
  <c r="AF239" i="9"/>
  <c r="AC189" i="9"/>
  <c r="AF189" i="9"/>
  <c r="AK189" i="9"/>
  <c r="AL189" i="9" s="1"/>
  <c r="AB189" i="9"/>
  <c r="AC157" i="9"/>
  <c r="AF157" i="9"/>
  <c r="AB157" i="9"/>
  <c r="AF207" i="9"/>
  <c r="AC207" i="9"/>
  <c r="AK207" i="9"/>
  <c r="AL207" i="9" s="1"/>
  <c r="AB207" i="9"/>
  <c r="AB193" i="9"/>
  <c r="AC193" i="9"/>
  <c r="AF193" i="9"/>
  <c r="AK193" i="9"/>
  <c r="AL193" i="9" s="1"/>
  <c r="AC57" i="9"/>
  <c r="AK57" i="9"/>
  <c r="AL57" i="9" s="1"/>
  <c r="AF57" i="9"/>
  <c r="AB57" i="9"/>
  <c r="AF182" i="9"/>
  <c r="AB182" i="9"/>
  <c r="AC182" i="9"/>
  <c r="AK99" i="9"/>
  <c r="AL99" i="9" s="1"/>
  <c r="AF99" i="9"/>
  <c r="AC99" i="9"/>
  <c r="AB99" i="9"/>
  <c r="AK135" i="9"/>
  <c r="AL135" i="9" s="1"/>
  <c r="AF135" i="9"/>
  <c r="AC135" i="9"/>
  <c r="AB135" i="9"/>
  <c r="AB70" i="9"/>
  <c r="AC70" i="9"/>
  <c r="AF70" i="9"/>
  <c r="AK225" i="9"/>
  <c r="AL225" i="9" s="1"/>
  <c r="AF225" i="9"/>
  <c r="AB225" i="9"/>
  <c r="AC225" i="9"/>
  <c r="AC51" i="9"/>
  <c r="AF51" i="9"/>
  <c r="AB51" i="9"/>
  <c r="AF226" i="9"/>
  <c r="AK226" i="9"/>
  <c r="AL226" i="9" s="1"/>
  <c r="AC226" i="9"/>
  <c r="AB226" i="9"/>
  <c r="AC217" i="9"/>
  <c r="AF217" i="9"/>
  <c r="AB217" i="9"/>
  <c r="AK118" i="9"/>
  <c r="AL118" i="9" s="1"/>
  <c r="AC118" i="9"/>
  <c r="AB118" i="9"/>
  <c r="AF118" i="9"/>
  <c r="AK233" i="9"/>
  <c r="AL233" i="9" s="1"/>
  <c r="AC233" i="9"/>
  <c r="AF233" i="9"/>
  <c r="AB233" i="9"/>
  <c r="AB91" i="9"/>
  <c r="AF91" i="9"/>
  <c r="AC91" i="9"/>
  <c r="AK91" i="9"/>
  <c r="AL91" i="9" s="1"/>
  <c r="AB199" i="9"/>
  <c r="AK199" i="9"/>
  <c r="AL199" i="9" s="1"/>
  <c r="AF199" i="9"/>
  <c r="AC199" i="9"/>
  <c r="AF195" i="9"/>
  <c r="AC195" i="9"/>
  <c r="AB195" i="9"/>
  <c r="AC62" i="9"/>
  <c r="AF62" i="9"/>
  <c r="AK62" i="9"/>
  <c r="AL62" i="9" s="1"/>
  <c r="AB62" i="9"/>
  <c r="AK168" i="9"/>
  <c r="AL168" i="9" s="1"/>
  <c r="AB168" i="9"/>
  <c r="AF168" i="9"/>
  <c r="AC168" i="9"/>
  <c r="AB212" i="9"/>
  <c r="AF212" i="9"/>
  <c r="AK212" i="9"/>
  <c r="AL212" i="9" s="1"/>
  <c r="AC212" i="9"/>
  <c r="AC137" i="9"/>
  <c r="AF137" i="9"/>
  <c r="AB137" i="9"/>
  <c r="AK137" i="9"/>
  <c r="AL137" i="9" s="1"/>
  <c r="AK177" i="9"/>
  <c r="AL177" i="9" s="1"/>
  <c r="AC177" i="9"/>
  <c r="AB177" i="9"/>
  <c r="AF177" i="9"/>
  <c r="AF222" i="9"/>
  <c r="AB222" i="9"/>
  <c r="AC222" i="9"/>
  <c r="AK222" i="9"/>
  <c r="AL222" i="9" s="1"/>
  <c r="AK29" i="9"/>
  <c r="AL29" i="9" s="1"/>
  <c r="AF29" i="9"/>
  <c r="AC29" i="9"/>
  <c r="AB29" i="9"/>
  <c r="AC150" i="9"/>
  <c r="AF150" i="9"/>
  <c r="AK150" i="9"/>
  <c r="AL150" i="9" s="1"/>
  <c r="AB150" i="9"/>
  <c r="AC197" i="9"/>
  <c r="AK197" i="9"/>
  <c r="AL197" i="9" s="1"/>
  <c r="AF197" i="9"/>
  <c r="AB197" i="9"/>
  <c r="AB203" i="9"/>
  <c r="AC203" i="9"/>
  <c r="AF203" i="9"/>
  <c r="AK209" i="9"/>
  <c r="AL209" i="9" s="1"/>
  <c r="AB209" i="9"/>
  <c r="AF209" i="9"/>
  <c r="AC209" i="9"/>
  <c r="AK20" i="9"/>
  <c r="AL20" i="9" s="1"/>
  <c r="AC20" i="9"/>
  <c r="AB20" i="9"/>
  <c r="AF20" i="9"/>
  <c r="AF242" i="9"/>
  <c r="AB242" i="9"/>
  <c r="AC242" i="9"/>
  <c r="AC187" i="9"/>
  <c r="AF187" i="9"/>
  <c r="AB187" i="9"/>
  <c r="AB74" i="9"/>
  <c r="AC74" i="9"/>
  <c r="AK74" i="9"/>
  <c r="AL74" i="9" s="1"/>
  <c r="AF74" i="9"/>
  <c r="AF131" i="9"/>
  <c r="AK131" i="9"/>
  <c r="AL131" i="9" s="1"/>
  <c r="AC131" i="9"/>
  <c r="AB131" i="9"/>
  <c r="AC106" i="9"/>
  <c r="AK106" i="9"/>
  <c r="AL106" i="9" s="1"/>
  <c r="AB106" i="9"/>
  <c r="AF106" i="9"/>
  <c r="AK179" i="9"/>
  <c r="AL179" i="9" s="1"/>
  <c r="AF179" i="9"/>
  <c r="AC179" i="9"/>
  <c r="AB179" i="9"/>
  <c r="AC237" i="9"/>
  <c r="AF237" i="9"/>
  <c r="AK237" i="9"/>
  <c r="AL237" i="9" s="1"/>
  <c r="AB237" i="9"/>
  <c r="AC126" i="9"/>
  <c r="AK126" i="9"/>
  <c r="AL126" i="9" s="1"/>
  <c r="AF126" i="9"/>
  <c r="AB126" i="9"/>
  <c r="AC236" i="9"/>
  <c r="AK236" i="9"/>
  <c r="AL236" i="9" s="1"/>
  <c r="AF236" i="9"/>
  <c r="AB236" i="9"/>
  <c r="AF37" i="9"/>
  <c r="AC37" i="9"/>
  <c r="AB37" i="9"/>
  <c r="AK37" i="9"/>
  <c r="AL37" i="9" s="1"/>
  <c r="AB133" i="9"/>
  <c r="AF133" i="9"/>
  <c r="AK133" i="9"/>
  <c r="AL133" i="9" s="1"/>
  <c r="AC133" i="9"/>
  <c r="AF147" i="9"/>
  <c r="AK147" i="9"/>
  <c r="AL147" i="9" s="1"/>
  <c r="AC147" i="9"/>
  <c r="AB147" i="9"/>
  <c r="AB164" i="9"/>
  <c r="AF164" i="9"/>
  <c r="AK164" i="9"/>
  <c r="AL164" i="9" s="1"/>
  <c r="AC164" i="9"/>
  <c r="AC55" i="9"/>
  <c r="AB55" i="9"/>
  <c r="AF55" i="9"/>
  <c r="AK55" i="9"/>
  <c r="AL55" i="9" s="1"/>
  <c r="AB139" i="9"/>
  <c r="AC139" i="9"/>
  <c r="AK139" i="9"/>
  <c r="AL139" i="9" s="1"/>
  <c r="AF139" i="9"/>
  <c r="AF245" i="9"/>
  <c r="AC245" i="9"/>
  <c r="AK245" i="9"/>
  <c r="AL245" i="9" s="1"/>
  <c r="AB245" i="9"/>
  <c r="AC50" i="9"/>
  <c r="AF50" i="9"/>
  <c r="AB50" i="9"/>
  <c r="AK50" i="9"/>
  <c r="AL50" i="9" s="1"/>
  <c r="AB12" i="9"/>
  <c r="AF12" i="9"/>
  <c r="AC12" i="9"/>
  <c r="AK85" i="9"/>
  <c r="AL85" i="9" s="1"/>
  <c r="AC85" i="9"/>
  <c r="AF85" i="9"/>
  <c r="AB85" i="9"/>
  <c r="AF87" i="9"/>
  <c r="AB87" i="9"/>
  <c r="AC87" i="9"/>
  <c r="AK87" i="9"/>
  <c r="AL87" i="9" s="1"/>
  <c r="AC16" i="9"/>
  <c r="AK16" i="9"/>
  <c r="AL16" i="9" s="1"/>
  <c r="AB16" i="9"/>
  <c r="AF16" i="9"/>
  <c r="AK174" i="9"/>
  <c r="AL174" i="9" s="1"/>
  <c r="AF174" i="9"/>
  <c r="AB174" i="9"/>
  <c r="AC174" i="9"/>
  <c r="AB130" i="9"/>
  <c r="AC130" i="9"/>
  <c r="AK130" i="9"/>
  <c r="AL130" i="9" s="1"/>
  <c r="AF130" i="9"/>
  <c r="AF58" i="9"/>
  <c r="AC58" i="9"/>
  <c r="AK58" i="9"/>
  <c r="AL58" i="9" s="1"/>
  <c r="AB58" i="9"/>
  <c r="AC218" i="9"/>
  <c r="AF218" i="9"/>
  <c r="AK218" i="9"/>
  <c r="AL218" i="9" s="1"/>
  <c r="AB218" i="9"/>
  <c r="AB66" i="9"/>
  <c r="AC66" i="9"/>
  <c r="AK66" i="9"/>
  <c r="AL66" i="9" s="1"/>
  <c r="AF66" i="9"/>
  <c r="AK63" i="9"/>
  <c r="AL63" i="9" s="1"/>
  <c r="AB63" i="9"/>
  <c r="AF63" i="9"/>
  <c r="AC63" i="9"/>
  <c r="AK96" i="9"/>
  <c r="AL96" i="9" s="1"/>
  <c r="AC96" i="9"/>
  <c r="AF96" i="9"/>
  <c r="AB96" i="9"/>
  <c r="AK52" i="9"/>
  <c r="AL52" i="9" s="1"/>
  <c r="AF52" i="9"/>
  <c r="AB52" i="9"/>
  <c r="AC52" i="9"/>
  <c r="AC95" i="9"/>
  <c r="AK95" i="9"/>
  <c r="AL95" i="9" s="1"/>
  <c r="AB95" i="9"/>
  <c r="AF95" i="9"/>
  <c r="AC38" i="9"/>
  <c r="AB38" i="9"/>
  <c r="AF38" i="9"/>
  <c r="AB111" i="9"/>
  <c r="AF111" i="9"/>
  <c r="AK111" i="9"/>
  <c r="AL111" i="9" s="1"/>
  <c r="AC111" i="9"/>
  <c r="AF113" i="9"/>
  <c r="AK113" i="9"/>
  <c r="AL113" i="9" s="1"/>
  <c r="AC113" i="9"/>
  <c r="AB113" i="9"/>
  <c r="AB97" i="9"/>
  <c r="AF97" i="9"/>
  <c r="AK97" i="9"/>
  <c r="AL97" i="9" s="1"/>
  <c r="AC97" i="9"/>
  <c r="AF43" i="9"/>
  <c r="AK43" i="9"/>
  <c r="AL43" i="9" s="1"/>
  <c r="AC43" i="9"/>
  <c r="AB43" i="9"/>
  <c r="AK144" i="9"/>
  <c r="AL144" i="9" s="1"/>
  <c r="AC144" i="9"/>
  <c r="AF144" i="9"/>
  <c r="AB144" i="9"/>
  <c r="AF196" i="9"/>
  <c r="AC196" i="9"/>
  <c r="AK196" i="9"/>
  <c r="AL196" i="9" s="1"/>
  <c r="AB196" i="9"/>
  <c r="AB159" i="9"/>
  <c r="AF159" i="9"/>
  <c r="AC159" i="9"/>
  <c r="AB117" i="9"/>
  <c r="AF117" i="9"/>
  <c r="AC117" i="9"/>
  <c r="AF30" i="9"/>
  <c r="AB30" i="9"/>
  <c r="AK30" i="9"/>
  <c r="AL30" i="9" s="1"/>
  <c r="AC30" i="9"/>
  <c r="AC250" i="9"/>
  <c r="AB250" i="9"/>
  <c r="AK250" i="9"/>
  <c r="AL250" i="9" s="1"/>
  <c r="AF250" i="9"/>
  <c r="AF72" i="9"/>
  <c r="AC72" i="9"/>
  <c r="AB72" i="9"/>
  <c r="AK41" i="9"/>
  <c r="AL41" i="9" s="1"/>
  <c r="AB41" i="9"/>
  <c r="AF41" i="9"/>
  <c r="AC41" i="9"/>
  <c r="AB100" i="9"/>
  <c r="AK100" i="9"/>
  <c r="AL100" i="9" s="1"/>
  <c r="AF100" i="9"/>
  <c r="AC100" i="9"/>
  <c r="AB105" i="9"/>
  <c r="AC105" i="9"/>
  <c r="AK105" i="9"/>
  <c r="AL105" i="9" s="1"/>
  <c r="AF105" i="9"/>
  <c r="AB204" i="9"/>
  <c r="AK204" i="9"/>
  <c r="AL204" i="9" s="1"/>
  <c r="AC204" i="9"/>
  <c r="AF204" i="9"/>
  <c r="AB108" i="9"/>
  <c r="AF108" i="9"/>
  <c r="AC108" i="9"/>
  <c r="AK108" i="9"/>
  <c r="AL108" i="9" s="1"/>
  <c r="AC142" i="9"/>
  <c r="AK142" i="9"/>
  <c r="AL142" i="9" s="1"/>
  <c r="AB142" i="9"/>
  <c r="AF142" i="9"/>
  <c r="AB86" i="9"/>
  <c r="AK86" i="9"/>
  <c r="AL86" i="9" s="1"/>
  <c r="AC86" i="9"/>
  <c r="AF86" i="9"/>
  <c r="AF169" i="9"/>
  <c r="AB169" i="9"/>
  <c r="AK169" i="9"/>
  <c r="AL169" i="9" s="1"/>
  <c r="AC169" i="9"/>
  <c r="AK14" i="9"/>
  <c r="AL14" i="9" s="1"/>
  <c r="AF14" i="9"/>
  <c r="AC14" i="9"/>
  <c r="AB14" i="9"/>
  <c r="AF184" i="9"/>
  <c r="AC184" i="9"/>
  <c r="AB184" i="9"/>
  <c r="AK184" i="9"/>
  <c r="AL184" i="9" s="1"/>
  <c r="AK235" i="9"/>
  <c r="AL235" i="9" s="1"/>
  <c r="AC235" i="9"/>
  <c r="AF235" i="9"/>
  <c r="AB235" i="9"/>
  <c r="AF27" i="9"/>
  <c r="AB27" i="9"/>
  <c r="AC27" i="9"/>
  <c r="AK27" i="9"/>
  <c r="AL27" i="9" s="1"/>
  <c r="AB120" i="9"/>
  <c r="AC120" i="9"/>
  <c r="AK120" i="9"/>
  <c r="AL120" i="9" s="1"/>
  <c r="AF120" i="9"/>
  <c r="AC81" i="9"/>
  <c r="AF81" i="9"/>
  <c r="AK81" i="9"/>
  <c r="AL81" i="9" s="1"/>
  <c r="AB81" i="9"/>
  <c r="AK103" i="9"/>
  <c r="AL103" i="9" s="1"/>
  <c r="AC103" i="9"/>
  <c r="AB103" i="9"/>
  <c r="AF103" i="9"/>
  <c r="AC146" i="9"/>
  <c r="AB146" i="9"/>
  <c r="AF146" i="9"/>
  <c r="AK146" i="9"/>
  <c r="AL146" i="9" s="1"/>
  <c r="AB191" i="9"/>
  <c r="AK191" i="9"/>
  <c r="AL191" i="9" s="1"/>
  <c r="AF191" i="9"/>
  <c r="AC191" i="9"/>
  <c r="AF114" i="9"/>
  <c r="AC114" i="9"/>
  <c r="AB114" i="9"/>
  <c r="AF220" i="9"/>
  <c r="AC220" i="9"/>
  <c r="AB220" i="9"/>
  <c r="AF246" i="9"/>
  <c r="AC246" i="9"/>
  <c r="AK246" i="9"/>
  <c r="AL246" i="9" s="1"/>
  <c r="AB246" i="9"/>
  <c r="AK123" i="9"/>
  <c r="AL123" i="9" s="1"/>
  <c r="AF123" i="9"/>
  <c r="AB123" i="9"/>
  <c r="AC123" i="9"/>
  <c r="AK36" i="9"/>
  <c r="AL36" i="9" s="1"/>
  <c r="AC36" i="9"/>
  <c r="AF36" i="9"/>
  <c r="AB36" i="9"/>
  <c r="AB69" i="9"/>
  <c r="AC69" i="9"/>
  <c r="AF69" i="9"/>
  <c r="AK69" i="9"/>
  <c r="AL69" i="9" s="1"/>
  <c r="AK59" i="9"/>
  <c r="AL59" i="9" s="1"/>
  <c r="AC59" i="9"/>
  <c r="AB59" i="9"/>
  <c r="AF59" i="9"/>
  <c r="AB186" i="9"/>
  <c r="AF186" i="9"/>
  <c r="AC186" i="9"/>
  <c r="AK186" i="9"/>
  <c r="AL186" i="9" s="1"/>
  <c r="AC98" i="9"/>
  <c r="AB98" i="9"/>
  <c r="AK98" i="9"/>
  <c r="AL98" i="9" s="1"/>
  <c r="AM98" i="9" s="1"/>
  <c r="AF98" i="9"/>
  <c r="AF145" i="9"/>
  <c r="AC145" i="9"/>
  <c r="AB145" i="9"/>
  <c r="AK145" i="9"/>
  <c r="AL145" i="9" s="1"/>
  <c r="AK208" i="9"/>
  <c r="AL208" i="9" s="1"/>
  <c r="AF208" i="9"/>
  <c r="AC208" i="9"/>
  <c r="AB208" i="9"/>
  <c r="AB64" i="9"/>
  <c r="AF64" i="9"/>
  <c r="AK64" i="9"/>
  <c r="AL64" i="9" s="1"/>
  <c r="AC64" i="9"/>
  <c r="AF67" i="9"/>
  <c r="AC67" i="9"/>
  <c r="AK67" i="9"/>
  <c r="AL67" i="9" s="1"/>
  <c r="AB67" i="9"/>
  <c r="AC192" i="9"/>
  <c r="AF192" i="9"/>
  <c r="AK192" i="9"/>
  <c r="AL192" i="9" s="1"/>
  <c r="AB192" i="9"/>
  <c r="AK68" i="9"/>
  <c r="AL68" i="9" s="1"/>
  <c r="AC68" i="9"/>
  <c r="AB68" i="9"/>
  <c r="AF68" i="9"/>
  <c r="AK124" i="9"/>
  <c r="AL124" i="9" s="1"/>
  <c r="AB124" i="9"/>
  <c r="AF124" i="9"/>
  <c r="AC124" i="9"/>
  <c r="AB166" i="9"/>
  <c r="AF166" i="9"/>
  <c r="AK166" i="9"/>
  <c r="AL166" i="9" s="1"/>
  <c r="AC166" i="9"/>
  <c r="AF65" i="9"/>
  <c r="AK65" i="9"/>
  <c r="AL65" i="9" s="1"/>
  <c r="AB65" i="9"/>
  <c r="AC65" i="9"/>
  <c r="AK84" i="9"/>
  <c r="AL84" i="9" s="1"/>
  <c r="AF84" i="9"/>
  <c r="AC84" i="9"/>
  <c r="AB84" i="9"/>
  <c r="AC83" i="9"/>
  <c r="AK83" i="9"/>
  <c r="AL83" i="9" s="1"/>
  <c r="AB83" i="9"/>
  <c r="AF83" i="9"/>
  <c r="AK31" i="9"/>
  <c r="AL31" i="9" s="1"/>
  <c r="AB31" i="9"/>
  <c r="AF31" i="9"/>
  <c r="AC31" i="9"/>
  <c r="AF175" i="9"/>
  <c r="AK175" i="9"/>
  <c r="AL175" i="9" s="1"/>
  <c r="AC175" i="9"/>
  <c r="AB175" i="9"/>
  <c r="AF152" i="9"/>
  <c r="AK152" i="9"/>
  <c r="AL152" i="9" s="1"/>
  <c r="AC152" i="9"/>
  <c r="AB152" i="9"/>
  <c r="AC206" i="9"/>
  <c r="AF206" i="9"/>
  <c r="AB206" i="9"/>
  <c r="AK206" i="9"/>
  <c r="AL206" i="9" s="1"/>
  <c r="AB165" i="9"/>
  <c r="AK165" i="9"/>
  <c r="AL165" i="9" s="1"/>
  <c r="AC165" i="9"/>
  <c r="AF165" i="9"/>
  <c r="AF140" i="9"/>
  <c r="AC140" i="9"/>
  <c r="AK140" i="9"/>
  <c r="AL140" i="9" s="1"/>
  <c r="AB140" i="9"/>
  <c r="AC10" i="9"/>
  <c r="AF10" i="9"/>
  <c r="AB10" i="9"/>
  <c r="AK10" i="9"/>
  <c r="AL10" i="9" s="1"/>
  <c r="AC249" i="9"/>
  <c r="AK249" i="9"/>
  <c r="AL249" i="9" s="1"/>
  <c r="AB249" i="9"/>
  <c r="AF249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4" i="9"/>
  <c r="AF134" i="9"/>
  <c r="AK134" i="9"/>
  <c r="AL134" i="9" s="1"/>
  <c r="AB134" i="9"/>
  <c r="AF32" i="9"/>
  <c r="AC32" i="9"/>
  <c r="AB32" i="9"/>
  <c r="AK32" i="9"/>
  <c r="AL32" i="9" s="1"/>
  <c r="AK230" i="9"/>
  <c r="AL230" i="9" s="1"/>
  <c r="AB230" i="9"/>
  <c r="AF230" i="9"/>
  <c r="AC230" i="9"/>
  <c r="AB56" i="9"/>
  <c r="AF56" i="9"/>
  <c r="AK56" i="9"/>
  <c r="AL56" i="9" s="1"/>
  <c r="AC56" i="9"/>
  <c r="AC119" i="9"/>
  <c r="AF119" i="9"/>
  <c r="AB119" i="9"/>
  <c r="AK160" i="9"/>
  <c r="AL160" i="9" s="1"/>
  <c r="AC160" i="9"/>
  <c r="AF160" i="9"/>
  <c r="AB160" i="9"/>
  <c r="AC109" i="9"/>
  <c r="AF109" i="9"/>
  <c r="AB109" i="9"/>
  <c r="AK77" i="9"/>
  <c r="AL77" i="9" s="1"/>
  <c r="AF77" i="9"/>
  <c r="AC77" i="9"/>
  <c r="AB77" i="9"/>
  <c r="AF248" i="9"/>
  <c r="AB248" i="9"/>
  <c r="AC248" i="9"/>
  <c r="AK248" i="9"/>
  <c r="AL248" i="9" s="1"/>
  <c r="AK116" i="9"/>
  <c r="AL116" i="9" s="1"/>
  <c r="AF116" i="9"/>
  <c r="AC116" i="9"/>
  <c r="AB116" i="9"/>
  <c r="AB19" i="9"/>
  <c r="AC19" i="9"/>
  <c r="AF19" i="9"/>
  <c r="AK19" i="9"/>
  <c r="AL19" i="9" s="1"/>
  <c r="AK25" i="9"/>
  <c r="AL25" i="9" s="1"/>
  <c r="AC25" i="9"/>
  <c r="AF25" i="9"/>
  <c r="AB25" i="9"/>
  <c r="AF48" i="9"/>
  <c r="AB48" i="9"/>
  <c r="AC48" i="9"/>
  <c r="AB198" i="9"/>
  <c r="AF198" i="9"/>
  <c r="AC198" i="9"/>
  <c r="AK198" i="9"/>
  <c r="AL198" i="9" s="1"/>
  <c r="AF171" i="9"/>
  <c r="AB171" i="9"/>
  <c r="AC171" i="9"/>
  <c r="AK129" i="9"/>
  <c r="AL129" i="9" s="1"/>
  <c r="AC129" i="9"/>
  <c r="AF129" i="9"/>
  <c r="AB129" i="9"/>
  <c r="AB102" i="9"/>
  <c r="AC102" i="9"/>
  <c r="AF102" i="9"/>
  <c r="AK102" i="9"/>
  <c r="AL102" i="9" s="1"/>
  <c r="AF244" i="9"/>
  <c r="AB244" i="9"/>
  <c r="AK244" i="9"/>
  <c r="AL244" i="9" s="1"/>
  <c r="AC244" i="9"/>
  <c r="AB156" i="9"/>
  <c r="AC156" i="9"/>
  <c r="AK156" i="9"/>
  <c r="AL156" i="9" s="1"/>
  <c r="AF156" i="9"/>
  <c r="AK243" i="9"/>
  <c r="AL243" i="9" s="1"/>
  <c r="AC243" i="9"/>
  <c r="AB243" i="9"/>
  <c r="AF243" i="9"/>
  <c r="AF178" i="9"/>
  <c r="AB178" i="9"/>
  <c r="AC178" i="9"/>
  <c r="AB148" i="9"/>
  <c r="AF148" i="9"/>
  <c r="AK148" i="9"/>
  <c r="AL148" i="9" s="1"/>
  <c r="AC148" i="9"/>
  <c r="AB252" i="9"/>
  <c r="AF252" i="9"/>
  <c r="AK252" i="9"/>
  <c r="AL252" i="9" s="1"/>
  <c r="AC252" i="9"/>
  <c r="AF23" i="9"/>
  <c r="AC23" i="9"/>
  <c r="AB23" i="9"/>
  <c r="AC221" i="9"/>
  <c r="AB221" i="9"/>
  <c r="C9" i="8" s="1"/>
  <c r="AF221" i="9"/>
  <c r="G9" i="8" s="1"/>
  <c r="AF122" i="9"/>
  <c r="AC122" i="9"/>
  <c r="AK122" i="9"/>
  <c r="AL122" i="9" s="1"/>
  <c r="AB122" i="9"/>
  <c r="AB143" i="9"/>
  <c r="AF143" i="9"/>
  <c r="AC143" i="9"/>
  <c r="AF11" i="9"/>
  <c r="AC11" i="9"/>
  <c r="AK11" i="9"/>
  <c r="AL11" i="9" s="1"/>
  <c r="AB11" i="9"/>
  <c r="AB127" i="9"/>
  <c r="AF127" i="9"/>
  <c r="AK127" i="9"/>
  <c r="AL127" i="9" s="1"/>
  <c r="AC127" i="9"/>
  <c r="AK214" i="9"/>
  <c r="AL214" i="9" s="1"/>
  <c r="AF214" i="9"/>
  <c r="AC214" i="9"/>
  <c r="AB214" i="9"/>
  <c r="AK110" i="9"/>
  <c r="AL110" i="9" s="1"/>
  <c r="AB110" i="9"/>
  <c r="AF110" i="9"/>
  <c r="AC110" i="9"/>
  <c r="AC24" i="9"/>
  <c r="AB24" i="9"/>
  <c r="AF24" i="9"/>
  <c r="AK24" i="9"/>
  <c r="AL24" i="9" s="1"/>
  <c r="AB228" i="9"/>
  <c r="AF228" i="9"/>
  <c r="AC228" i="9"/>
  <c r="AC180" i="9"/>
  <c r="AF180" i="9"/>
  <c r="AB180" i="9"/>
  <c r="AF92" i="9"/>
  <c r="AC92" i="9"/>
  <c r="AB92" i="9"/>
  <c r="AK92" i="9"/>
  <c r="AL92" i="9" s="1"/>
  <c r="AC153" i="9"/>
  <c r="AB153" i="9"/>
  <c r="AF153" i="9"/>
  <c r="AK153" i="9"/>
  <c r="AL153" i="9" s="1"/>
  <c r="AK93" i="9"/>
  <c r="AL93" i="9" s="1"/>
  <c r="AC93" i="9"/>
  <c r="AB93" i="9"/>
  <c r="AF93" i="9"/>
  <c r="AK107" i="9"/>
  <c r="AL107" i="9" s="1"/>
  <c r="AC107" i="9"/>
  <c r="AB107" i="9"/>
  <c r="AF107" i="9"/>
  <c r="AK22" i="9"/>
  <c r="AL22" i="9" s="1"/>
  <c r="AF22" i="9"/>
  <c r="AB22" i="9"/>
  <c r="AC22" i="9"/>
  <c r="AF219" i="9"/>
  <c r="AC219" i="9"/>
  <c r="AB219" i="9"/>
  <c r="AK241" i="9"/>
  <c r="AL241" i="9" s="1"/>
  <c r="AC241" i="9"/>
  <c r="AF241" i="9"/>
  <c r="AB241" i="9"/>
  <c r="AF8" i="9"/>
  <c r="AK8" i="9"/>
  <c r="AL8" i="9" s="1"/>
  <c r="AC8" i="9"/>
  <c r="AB8" i="9"/>
  <c r="AB213" i="9"/>
  <c r="AC213" i="9"/>
  <c r="AF213" i="9"/>
  <c r="AK213" i="9"/>
  <c r="AL213" i="9" s="1"/>
  <c r="AF115" i="9"/>
  <c r="AB115" i="9"/>
  <c r="AK115" i="9"/>
  <c r="AL115" i="9" s="1"/>
  <c r="AC115" i="9"/>
  <c r="AF73" i="9"/>
  <c r="AB73" i="9"/>
  <c r="AC73" i="9"/>
  <c r="AK73" i="9"/>
  <c r="AL73" i="9" s="1"/>
  <c r="AK46" i="9"/>
  <c r="AL46" i="9" s="1"/>
  <c r="AB46" i="9"/>
  <c r="AF46" i="9"/>
  <c r="AC46" i="9"/>
  <c r="AK45" i="9"/>
  <c r="AL45" i="9" s="1"/>
  <c r="AF45" i="9"/>
  <c r="AB45" i="9"/>
  <c r="AC45" i="9"/>
  <c r="AC75" i="9"/>
  <c r="AF75" i="9"/>
  <c r="AB75" i="9"/>
  <c r="AK188" i="9"/>
  <c r="AL188" i="9" s="1"/>
  <c r="AF188" i="9"/>
  <c r="AC188" i="9"/>
  <c r="AB188" i="9"/>
  <c r="AB60" i="9"/>
  <c r="AF60" i="9"/>
  <c r="AC60" i="9"/>
  <c r="AK60" i="9"/>
  <c r="AL60" i="9" s="1"/>
  <c r="AK88" i="9"/>
  <c r="AL88" i="9" s="1"/>
  <c r="AC88" i="9"/>
  <c r="AB88" i="9"/>
  <c r="AF88" i="9"/>
  <c r="AK183" i="9"/>
  <c r="AL183" i="9" s="1"/>
  <c r="AF183" i="9"/>
  <c r="AC183" i="9"/>
  <c r="AB183" i="9"/>
  <c r="AF94" i="9"/>
  <c r="AC94" i="9"/>
  <c r="AB94" i="9"/>
  <c r="AK94" i="9"/>
  <c r="AL94" i="9" s="1"/>
  <c r="AF18" i="9"/>
  <c r="AB18" i="9"/>
  <c r="AC18" i="9"/>
  <c r="AK18" i="9"/>
  <c r="AL18" i="9" s="1"/>
  <c r="AC234" i="9"/>
  <c r="AF234" i="9"/>
  <c r="AB234" i="9"/>
  <c r="AK234" i="9"/>
  <c r="AL234" i="9" s="1"/>
  <c r="AB104" i="9"/>
  <c r="AC104" i="9"/>
  <c r="AF104" i="9"/>
  <c r="AK173" i="9"/>
  <c r="AL173" i="9" s="1"/>
  <c r="AB173" i="9"/>
  <c r="AF173" i="9"/>
  <c r="AC173" i="9"/>
  <c r="AC128" i="9"/>
  <c r="AK128" i="9"/>
  <c r="AL128" i="9" s="1"/>
  <c r="AB128" i="9"/>
  <c r="AF128" i="9"/>
  <c r="AC247" i="9"/>
  <c r="AK247" i="9"/>
  <c r="AL247" i="9" s="1"/>
  <c r="AF247" i="9"/>
  <c r="AB247" i="9"/>
  <c r="AB194" i="9"/>
  <c r="AF194" i="9"/>
  <c r="AK194" i="9"/>
  <c r="AL194" i="9" s="1"/>
  <c r="AC194" i="9"/>
  <c r="AF205" i="9"/>
  <c r="AC205" i="9"/>
  <c r="AK205" i="9"/>
  <c r="AL205" i="9" s="1"/>
  <c r="AB205" i="9"/>
  <c r="AK200" i="9"/>
  <c r="AL200" i="9" s="1"/>
  <c r="AF200" i="9"/>
  <c r="AB200" i="9"/>
  <c r="AC200" i="9"/>
  <c r="AE76" i="9" l="1"/>
  <c r="G76" i="5" s="1"/>
  <c r="H76" i="5"/>
  <c r="AG76" i="9"/>
  <c r="I76" i="5" s="1"/>
  <c r="J76" i="5"/>
  <c r="AD76" i="9"/>
  <c r="E76" i="5" s="1"/>
  <c r="F76" i="5"/>
  <c r="F172" i="5"/>
  <c r="J172" i="5"/>
  <c r="I8" i="8"/>
  <c r="AE13" i="9"/>
  <c r="G13" i="5" s="1"/>
  <c r="H13" i="5"/>
  <c r="AD13" i="9"/>
  <c r="E13" i="5" s="1"/>
  <c r="F13" i="5"/>
  <c r="AG13" i="9"/>
  <c r="I13" i="5" s="1"/>
  <c r="J13" i="5"/>
  <c r="AC53" i="9"/>
  <c r="AE53" i="9" s="1"/>
  <c r="G53" i="5" s="1"/>
  <c r="AF53" i="9"/>
  <c r="AG53" i="9" s="1"/>
  <c r="I53" i="5" s="1"/>
  <c r="AK53" i="9"/>
  <c r="AL53" i="9" s="1"/>
  <c r="L53" i="5" s="1"/>
  <c r="AB53" i="9"/>
  <c r="F53" i="5" s="1"/>
  <c r="AK54" i="9"/>
  <c r="AL54" i="9" s="1"/>
  <c r="AM54" i="9" s="1"/>
  <c r="K54" i="5" s="1"/>
  <c r="AB54" i="9"/>
  <c r="F54" i="5" s="1"/>
  <c r="AC54" i="9"/>
  <c r="H54" i="5" s="1"/>
  <c r="AF54" i="9"/>
  <c r="AG54" i="9" s="1"/>
  <c r="I54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3" i="9"/>
  <c r="AD253" i="9" s="1"/>
  <c r="E253" i="5" s="1"/>
  <c r="W19" i="8"/>
  <c r="AF253" i="9"/>
  <c r="AG253" i="9" s="1"/>
  <c r="I253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E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3" i="9"/>
  <c r="AL253" i="9" s="1"/>
  <c r="L253" i="5" s="1"/>
  <c r="L139" i="5"/>
  <c r="AM139" i="9"/>
  <c r="K139" i="5" s="1"/>
  <c r="AM133" i="9"/>
  <c r="K133" i="5" s="1"/>
  <c r="L133" i="5"/>
  <c r="L237" i="5"/>
  <c r="AM237" i="9"/>
  <c r="K237" i="5" s="1"/>
  <c r="F106" i="5"/>
  <c r="AD106" i="9"/>
  <c r="E106" i="5" s="1"/>
  <c r="J242" i="5"/>
  <c r="AG242" i="9"/>
  <c r="I242" i="5" s="1"/>
  <c r="L209" i="5"/>
  <c r="AM209" i="9"/>
  <c r="K209" i="5" s="1"/>
  <c r="L222" i="5"/>
  <c r="AM222" i="9"/>
  <c r="K222" i="5" s="1"/>
  <c r="H168" i="5"/>
  <c r="AE168" i="9"/>
  <c r="G168" i="5" s="1"/>
  <c r="H91" i="5"/>
  <c r="AE91" i="9"/>
  <c r="G91" i="5" s="1"/>
  <c r="F118" i="5"/>
  <c r="AD118" i="9"/>
  <c r="E118" i="5" s="1"/>
  <c r="L225" i="5"/>
  <c r="AM225" i="9"/>
  <c r="K225" i="5" s="1"/>
  <c r="L207" i="5"/>
  <c r="AM207" i="9"/>
  <c r="K207" i="5" s="1"/>
  <c r="L185" i="5"/>
  <c r="AM185" i="9"/>
  <c r="K185" i="5" s="1"/>
  <c r="L162" i="5"/>
  <c r="AM162" i="9"/>
  <c r="K162" i="5" s="1"/>
  <c r="H15" i="5"/>
  <c r="AE15" i="9"/>
  <c r="G15" i="5" s="1"/>
  <c r="F26" i="5"/>
  <c r="AD26" i="9"/>
  <c r="E26" i="5" s="1"/>
  <c r="F138" i="5"/>
  <c r="AD138" i="9"/>
  <c r="E138" i="5" s="1"/>
  <c r="F61" i="5"/>
  <c r="AD61" i="9"/>
  <c r="E61" i="5" s="1"/>
  <c r="AM136" i="9"/>
  <c r="K136" i="5" s="1"/>
  <c r="L136" i="5"/>
  <c r="AE163" i="9"/>
  <c r="G163" i="5" s="1"/>
  <c r="H163" i="5"/>
  <c r="H154" i="5"/>
  <c r="AE154" i="9"/>
  <c r="G154" i="5" s="1"/>
  <c r="F71" i="5"/>
  <c r="AD71" i="9"/>
  <c r="E71" i="5" s="1"/>
  <c r="J34" i="5"/>
  <c r="AG34" i="9"/>
  <c r="I34" i="5" s="1"/>
  <c r="AE149" i="9"/>
  <c r="G149" i="5" s="1"/>
  <c r="H149" i="5"/>
  <c r="H194" i="5"/>
  <c r="AE194" i="9"/>
  <c r="G194" i="5" s="1"/>
  <c r="H18" i="5"/>
  <c r="AE18" i="9"/>
  <c r="G18" i="5" s="1"/>
  <c r="AE60" i="9"/>
  <c r="G60" i="5" s="1"/>
  <c r="H60" i="5"/>
  <c r="J75" i="5"/>
  <c r="AG75" i="9"/>
  <c r="I75" i="5" s="1"/>
  <c r="L115" i="5"/>
  <c r="AM115" i="9"/>
  <c r="K115" i="5" s="1"/>
  <c r="H8" i="5"/>
  <c r="AE8" i="9"/>
  <c r="G8" i="5" s="1"/>
  <c r="H219" i="5"/>
  <c r="AE219" i="9"/>
  <c r="G219" i="5" s="1"/>
  <c r="H93" i="5"/>
  <c r="AE93" i="9"/>
  <c r="G93" i="5" s="1"/>
  <c r="AE92" i="9"/>
  <c r="G92" i="5" s="1"/>
  <c r="H92" i="5"/>
  <c r="L24" i="5"/>
  <c r="AM24" i="9"/>
  <c r="K24" i="5" s="1"/>
  <c r="H110" i="5"/>
  <c r="AE110" i="9"/>
  <c r="G110" i="5" s="1"/>
  <c r="H127" i="5"/>
  <c r="AE127" i="9"/>
  <c r="G127" i="5" s="1"/>
  <c r="H143" i="5"/>
  <c r="AE143" i="9"/>
  <c r="G143" i="5" s="1"/>
  <c r="F221" i="5"/>
  <c r="AD221" i="9"/>
  <c r="F252" i="5"/>
  <c r="AD252" i="9"/>
  <c r="E252" i="5" s="1"/>
  <c r="J243" i="5"/>
  <c r="AG243" i="9"/>
  <c r="I243" i="5" s="1"/>
  <c r="H244" i="5"/>
  <c r="AE244" i="9"/>
  <c r="G244" i="5" s="1"/>
  <c r="F129" i="5"/>
  <c r="AD129" i="9"/>
  <c r="E129" i="5" s="1"/>
  <c r="F25" i="5"/>
  <c r="AD25" i="9"/>
  <c r="E25" i="5" s="1"/>
  <c r="F116" i="5"/>
  <c r="AD116" i="9"/>
  <c r="E116" i="5" s="1"/>
  <c r="F77" i="5"/>
  <c r="AD77" i="9"/>
  <c r="E77" i="5" s="1"/>
  <c r="J160" i="5"/>
  <c r="AG160" i="9"/>
  <c r="I160" i="5" s="1"/>
  <c r="AG56" i="9"/>
  <c r="I56" i="5" s="1"/>
  <c r="J56" i="5"/>
  <c r="H32" i="5"/>
  <c r="AE32" i="9"/>
  <c r="G32" i="5" s="1"/>
  <c r="J42" i="5"/>
  <c r="AG42" i="9"/>
  <c r="I42" i="5" s="1"/>
  <c r="H40" i="5"/>
  <c r="AE40" i="9"/>
  <c r="H10" i="5"/>
  <c r="AE10" i="9"/>
  <c r="G10" i="5" s="1"/>
  <c r="F165" i="5"/>
  <c r="AD165" i="9"/>
  <c r="E165" i="5" s="1"/>
  <c r="J152" i="5"/>
  <c r="AG152" i="9"/>
  <c r="I152" i="5" s="1"/>
  <c r="L31" i="5"/>
  <c r="AM31" i="9"/>
  <c r="K31" i="5" s="1"/>
  <c r="L84" i="5"/>
  <c r="AM84" i="9"/>
  <c r="K84" i="5" s="1"/>
  <c r="F166" i="5"/>
  <c r="AD166" i="9"/>
  <c r="AM68" i="9"/>
  <c r="K68" i="5" s="1"/>
  <c r="L68" i="5"/>
  <c r="J67" i="5"/>
  <c r="AG67" i="9"/>
  <c r="I67" i="5" s="1"/>
  <c r="L208" i="5"/>
  <c r="AM208" i="9"/>
  <c r="K208" i="5" s="1"/>
  <c r="F186" i="5"/>
  <c r="AD186" i="9"/>
  <c r="E186" i="5" s="1"/>
  <c r="F69" i="5"/>
  <c r="AD69" i="9"/>
  <c r="E69" i="5" s="1"/>
  <c r="L123" i="5"/>
  <c r="AM123" i="9"/>
  <c r="K123" i="5" s="1"/>
  <c r="F114" i="5"/>
  <c r="AD114" i="9"/>
  <c r="E114" i="5" s="1"/>
  <c r="J146" i="5"/>
  <c r="AG146" i="9"/>
  <c r="I146" i="5" s="1"/>
  <c r="L81" i="5"/>
  <c r="AM81" i="9"/>
  <c r="K81" i="5" s="1"/>
  <c r="H27" i="5"/>
  <c r="AE27" i="9"/>
  <c r="G27" i="5" s="1"/>
  <c r="F184" i="5"/>
  <c r="AD184" i="9"/>
  <c r="E184" i="5" s="1"/>
  <c r="AM169" i="9"/>
  <c r="K169" i="5" s="1"/>
  <c r="L169" i="5"/>
  <c r="AD142" i="9"/>
  <c r="E142" i="5" s="1"/>
  <c r="F142" i="5"/>
  <c r="H204" i="5"/>
  <c r="AE204" i="9"/>
  <c r="G204" i="5" s="1"/>
  <c r="J100" i="5"/>
  <c r="AG100" i="9"/>
  <c r="I100" i="5" s="1"/>
  <c r="H72" i="5"/>
  <c r="AE72" i="9"/>
  <c r="G72" i="5" s="1"/>
  <c r="F30" i="5"/>
  <c r="AD30" i="9"/>
  <c r="E30" i="5" s="1"/>
  <c r="F196" i="5"/>
  <c r="AD196" i="9"/>
  <c r="E196" i="5" s="1"/>
  <c r="F43" i="5"/>
  <c r="AD43" i="9"/>
  <c r="E43" i="5" s="1"/>
  <c r="F113" i="5"/>
  <c r="AD113" i="9"/>
  <c r="E113" i="5" s="1"/>
  <c r="AG38" i="9"/>
  <c r="J38" i="5"/>
  <c r="F52" i="5"/>
  <c r="AD52" i="9"/>
  <c r="E52" i="5" s="1"/>
  <c r="J63" i="5"/>
  <c r="AG63" i="9"/>
  <c r="I63" i="5" s="1"/>
  <c r="AM218" i="9"/>
  <c r="K218" i="5" s="1"/>
  <c r="L218" i="5"/>
  <c r="L130" i="5"/>
  <c r="AM130" i="9"/>
  <c r="K130" i="5" s="1"/>
  <c r="F16" i="5"/>
  <c r="AD16" i="9"/>
  <c r="E16" i="5" s="1"/>
  <c r="J50" i="5"/>
  <c r="AG50" i="9"/>
  <c r="I50" i="5" s="1"/>
  <c r="H139" i="5"/>
  <c r="AE139" i="9"/>
  <c r="G139" i="5" s="1"/>
  <c r="J164" i="5"/>
  <c r="AG164" i="9"/>
  <c r="I164" i="5" s="1"/>
  <c r="J133" i="5"/>
  <c r="AG133" i="9"/>
  <c r="I133" i="5" s="1"/>
  <c r="L236" i="5"/>
  <c r="AM236" i="9"/>
  <c r="K236" i="5" s="1"/>
  <c r="J237" i="5"/>
  <c r="AG237" i="9"/>
  <c r="I237" i="5" s="1"/>
  <c r="L106" i="5"/>
  <c r="AM106" i="9"/>
  <c r="K106" i="5" s="1"/>
  <c r="AE74" i="9"/>
  <c r="G74" i="5" s="1"/>
  <c r="H74" i="5"/>
  <c r="J20" i="5"/>
  <c r="AG20" i="9"/>
  <c r="I20" i="5" s="1"/>
  <c r="J203" i="5"/>
  <c r="AG203" i="9"/>
  <c r="I203" i="5" s="1"/>
  <c r="L150" i="5"/>
  <c r="AM150" i="9"/>
  <c r="K150" i="5" s="1"/>
  <c r="H222" i="5"/>
  <c r="AE222" i="9"/>
  <c r="G222" i="5" s="1"/>
  <c r="F137" i="5"/>
  <c r="AD137" i="9"/>
  <c r="E137" i="5" s="1"/>
  <c r="AG168" i="9"/>
  <c r="I168" i="5" s="1"/>
  <c r="J168" i="5"/>
  <c r="H195" i="5"/>
  <c r="AE195" i="9"/>
  <c r="G195" i="5" s="1"/>
  <c r="J91" i="5"/>
  <c r="AG91" i="9"/>
  <c r="I91" i="5" s="1"/>
  <c r="H118" i="5"/>
  <c r="AE118" i="9"/>
  <c r="G118" i="5" s="1"/>
  <c r="J226" i="5"/>
  <c r="AG226" i="9"/>
  <c r="I226" i="5" s="1"/>
  <c r="G7" i="8"/>
  <c r="J70" i="5"/>
  <c r="AG70" i="9"/>
  <c r="I70" i="5" s="1"/>
  <c r="H99" i="5"/>
  <c r="AE99" i="9"/>
  <c r="G99" i="5" s="1"/>
  <c r="L57" i="5"/>
  <c r="AM57" i="9"/>
  <c r="K57" i="5" s="1"/>
  <c r="H207" i="5"/>
  <c r="AE207" i="9"/>
  <c r="G207" i="5" s="1"/>
  <c r="H189" i="5"/>
  <c r="AE189" i="9"/>
  <c r="G189" i="5" s="1"/>
  <c r="F185" i="5"/>
  <c r="AD185" i="9"/>
  <c r="E185" i="5" s="1"/>
  <c r="H170" i="5"/>
  <c r="AE170" i="9"/>
  <c r="G170" i="5" s="1"/>
  <c r="L158" i="5"/>
  <c r="AM158" i="9"/>
  <c r="K158" i="5" s="1"/>
  <c r="J49" i="5"/>
  <c r="AG49" i="9"/>
  <c r="I49" i="5" s="1"/>
  <c r="L90" i="5"/>
  <c r="AM90" i="9"/>
  <c r="K90" i="5" s="1"/>
  <c r="H79" i="5"/>
  <c r="AE79" i="9"/>
  <c r="G79" i="5" s="1"/>
  <c r="F210" i="5"/>
  <c r="AD210" i="9"/>
  <c r="E210" i="5" s="1"/>
  <c r="H215" i="5"/>
  <c r="AE215" i="9"/>
  <c r="G215" i="5" s="1"/>
  <c r="AM211" i="9"/>
  <c r="K211" i="5" s="1"/>
  <c r="L211" i="5"/>
  <c r="AM151" i="9"/>
  <c r="K151" i="5" s="1"/>
  <c r="L151" i="5"/>
  <c r="H82" i="5"/>
  <c r="AE82" i="9"/>
  <c r="G82" i="5" s="1"/>
  <c r="H78" i="5"/>
  <c r="AE78" i="9"/>
  <c r="G78" i="5" s="1"/>
  <c r="J231" i="5"/>
  <c r="AG231" i="9"/>
  <c r="I231" i="5" s="1"/>
  <c r="J229" i="5"/>
  <c r="AG229" i="9"/>
  <c r="I229" i="5" s="1"/>
  <c r="L163" i="5"/>
  <c r="AM163" i="9"/>
  <c r="K163" i="5" s="1"/>
  <c r="H240" i="5"/>
  <c r="AE240" i="9"/>
  <c r="G240" i="5" s="1"/>
  <c r="AG154" i="9"/>
  <c r="I154" i="5" s="1"/>
  <c r="J154" i="5"/>
  <c r="H71" i="5"/>
  <c r="AE71" i="9"/>
  <c r="G71" i="5" s="1"/>
  <c r="F34" i="5"/>
  <c r="AD34" i="9"/>
  <c r="E34" i="5" s="1"/>
  <c r="F112" i="5"/>
  <c r="AD112" i="9"/>
  <c r="E112" i="5" s="1"/>
  <c r="AG232" i="9"/>
  <c r="I232" i="5" s="1"/>
  <c r="J232" i="5"/>
  <c r="AM121" i="9"/>
  <c r="K121" i="5" s="1"/>
  <c r="L121" i="5"/>
  <c r="AG227" i="9"/>
  <c r="I227" i="5" s="1"/>
  <c r="J227" i="5"/>
  <c r="AM149" i="9"/>
  <c r="K149" i="5" s="1"/>
  <c r="L149" i="5"/>
  <c r="F200" i="5"/>
  <c r="AD200" i="9"/>
  <c r="E200" i="5" s="1"/>
  <c r="L194" i="5"/>
  <c r="AM194" i="9"/>
  <c r="K194" i="5" s="1"/>
  <c r="F128" i="5"/>
  <c r="AD128" i="9"/>
  <c r="E128" i="5" s="1"/>
  <c r="AE104" i="9"/>
  <c r="G104" i="5" s="1"/>
  <c r="H104" i="5"/>
  <c r="F18" i="5"/>
  <c r="AD18" i="9"/>
  <c r="E18" i="5" s="1"/>
  <c r="AG183" i="9"/>
  <c r="I183" i="5" s="1"/>
  <c r="J183" i="5"/>
  <c r="J60" i="5"/>
  <c r="AG60" i="9"/>
  <c r="I60" i="5" s="1"/>
  <c r="L75" i="5"/>
  <c r="AM75" i="9"/>
  <c r="K75" i="5" s="1"/>
  <c r="F46" i="5"/>
  <c r="AD46" i="9"/>
  <c r="E46" i="5" s="1"/>
  <c r="F115" i="5"/>
  <c r="AD115" i="9"/>
  <c r="E115" i="5" s="1"/>
  <c r="AM8" i="9"/>
  <c r="K8" i="5" s="1"/>
  <c r="L8" i="5"/>
  <c r="J219" i="5"/>
  <c r="AG219" i="9"/>
  <c r="I219" i="5" s="1"/>
  <c r="L93" i="5"/>
  <c r="AM93" i="9"/>
  <c r="K93" i="5" s="1"/>
  <c r="J92" i="5"/>
  <c r="AG92" i="9"/>
  <c r="I92" i="5" s="1"/>
  <c r="J24" i="5"/>
  <c r="AG24" i="9"/>
  <c r="I24" i="5" s="1"/>
  <c r="J110" i="5"/>
  <c r="AG110" i="9"/>
  <c r="I110" i="5" s="1"/>
  <c r="L127" i="5"/>
  <c r="AM127" i="9"/>
  <c r="K127" i="5" s="1"/>
  <c r="J143" i="5"/>
  <c r="AG143" i="9"/>
  <c r="I143" i="5" s="1"/>
  <c r="H221" i="5"/>
  <c r="AE221" i="9"/>
  <c r="AE148" i="9"/>
  <c r="G148" i="5" s="1"/>
  <c r="H148" i="5"/>
  <c r="AD243" i="9"/>
  <c r="E243" i="5" s="1"/>
  <c r="F243" i="5"/>
  <c r="L244" i="5"/>
  <c r="AM244" i="9"/>
  <c r="K244" i="5" s="1"/>
  <c r="J129" i="5"/>
  <c r="AG129" i="9"/>
  <c r="I129" i="5" s="1"/>
  <c r="H198" i="5"/>
  <c r="AE198" i="9"/>
  <c r="G198" i="5" s="1"/>
  <c r="AG25" i="9"/>
  <c r="I25" i="5" s="1"/>
  <c r="J25" i="5"/>
  <c r="H116" i="5"/>
  <c r="AE116" i="9"/>
  <c r="G116" i="5" s="1"/>
  <c r="H77" i="5"/>
  <c r="AE77" i="9"/>
  <c r="G77" i="5" s="1"/>
  <c r="H160" i="5"/>
  <c r="AE160" i="9"/>
  <c r="G160" i="5" s="1"/>
  <c r="AD56" i="9"/>
  <c r="E56" i="5" s="1"/>
  <c r="F56" i="5"/>
  <c r="J32" i="5"/>
  <c r="AG32" i="9"/>
  <c r="I32" i="5" s="1"/>
  <c r="H44" i="5"/>
  <c r="AE44" i="9"/>
  <c r="G44" i="5" s="1"/>
  <c r="J249" i="5"/>
  <c r="AG249" i="9"/>
  <c r="I249" i="5" s="1"/>
  <c r="AD140" i="9"/>
  <c r="E140" i="5" s="1"/>
  <c r="F140" i="5"/>
  <c r="L206" i="5"/>
  <c r="AM206" i="9"/>
  <c r="K206" i="5" s="1"/>
  <c r="F175" i="5"/>
  <c r="AD175" i="9"/>
  <c r="E175" i="5" s="1"/>
  <c r="J83" i="5"/>
  <c r="AG83" i="9"/>
  <c r="I83" i="5" s="1"/>
  <c r="H65" i="5"/>
  <c r="AE65" i="9"/>
  <c r="G65" i="5" s="1"/>
  <c r="H124" i="5"/>
  <c r="AE124" i="9"/>
  <c r="G124" i="5" s="1"/>
  <c r="F192" i="5"/>
  <c r="AD192" i="9"/>
  <c r="E192" i="5" s="1"/>
  <c r="AE64" i="9"/>
  <c r="G64" i="5" s="1"/>
  <c r="H64" i="5"/>
  <c r="L145" i="5"/>
  <c r="AM145" i="9"/>
  <c r="K145" i="5" s="1"/>
  <c r="J98" i="5"/>
  <c r="AG98" i="9"/>
  <c r="I98" i="5" s="1"/>
  <c r="J59" i="5"/>
  <c r="AG59" i="9"/>
  <c r="I59" i="5" s="1"/>
  <c r="F36" i="5"/>
  <c r="AD36" i="9"/>
  <c r="E36" i="5" s="1"/>
  <c r="F246" i="5"/>
  <c r="AD246" i="9"/>
  <c r="E246" i="5" s="1"/>
  <c r="H114" i="5"/>
  <c r="AE114" i="9"/>
  <c r="G114" i="5" s="1"/>
  <c r="F146" i="5"/>
  <c r="AD146" i="9"/>
  <c r="E146" i="5" s="1"/>
  <c r="J81" i="5"/>
  <c r="AG81" i="9"/>
  <c r="I81" i="5" s="1"/>
  <c r="F27" i="5"/>
  <c r="AD27" i="9"/>
  <c r="E27" i="5" s="1"/>
  <c r="H184" i="5"/>
  <c r="AE184" i="9"/>
  <c r="G184" i="5" s="1"/>
  <c r="F169" i="5"/>
  <c r="AD169" i="9"/>
  <c r="E169" i="5" s="1"/>
  <c r="AM142" i="9"/>
  <c r="K142" i="5" s="1"/>
  <c r="L142" i="5"/>
  <c r="AM204" i="9"/>
  <c r="L204" i="5"/>
  <c r="AM100" i="9"/>
  <c r="K100" i="5" s="1"/>
  <c r="L100" i="5"/>
  <c r="AG72" i="9"/>
  <c r="I72" i="5" s="1"/>
  <c r="J72" i="5"/>
  <c r="AG30" i="9"/>
  <c r="I30" i="5" s="1"/>
  <c r="J30" i="5"/>
  <c r="L196" i="5"/>
  <c r="AM196" i="9"/>
  <c r="K196" i="5" s="1"/>
  <c r="H43" i="5"/>
  <c r="AE43" i="9"/>
  <c r="G43" i="5" s="1"/>
  <c r="H113" i="5"/>
  <c r="AE113" i="9"/>
  <c r="G113" i="5" s="1"/>
  <c r="AD38" i="9"/>
  <c r="F38" i="5"/>
  <c r="J52" i="5"/>
  <c r="AG52" i="9"/>
  <c r="I52" i="5" s="1"/>
  <c r="F63" i="5"/>
  <c r="AD63" i="9"/>
  <c r="E63" i="5" s="1"/>
  <c r="J218" i="5"/>
  <c r="AG218" i="9"/>
  <c r="I218" i="5" s="1"/>
  <c r="H130" i="5"/>
  <c r="AE130" i="9"/>
  <c r="G130" i="5" s="1"/>
  <c r="L16" i="5"/>
  <c r="AM16" i="9"/>
  <c r="K16" i="5" s="1"/>
  <c r="H50" i="5"/>
  <c r="AE50" i="9"/>
  <c r="G50" i="5" s="1"/>
  <c r="F139" i="5"/>
  <c r="AD139" i="9"/>
  <c r="E139" i="5" s="1"/>
  <c r="F164" i="5"/>
  <c r="AD164" i="9"/>
  <c r="E164" i="5" s="1"/>
  <c r="F133" i="5"/>
  <c r="AD133" i="9"/>
  <c r="E133" i="5" s="1"/>
  <c r="H236" i="5"/>
  <c r="AE236" i="9"/>
  <c r="G236" i="5" s="1"/>
  <c r="H237" i="5"/>
  <c r="AE237" i="9"/>
  <c r="G237" i="5" s="1"/>
  <c r="H106" i="5"/>
  <c r="AE106" i="9"/>
  <c r="G106" i="5" s="1"/>
  <c r="F74" i="5"/>
  <c r="AD74" i="9"/>
  <c r="E74" i="5" s="1"/>
  <c r="F20" i="5"/>
  <c r="AD20" i="9"/>
  <c r="E20" i="5" s="1"/>
  <c r="H203" i="5"/>
  <c r="AE203" i="9"/>
  <c r="G203" i="5" s="1"/>
  <c r="J150" i="5"/>
  <c r="AG150" i="9"/>
  <c r="I150" i="5" s="1"/>
  <c r="F222" i="5"/>
  <c r="AD222" i="9"/>
  <c r="E222" i="5" s="1"/>
  <c r="J137" i="5"/>
  <c r="AG137" i="9"/>
  <c r="I137" i="5" s="1"/>
  <c r="F168" i="5"/>
  <c r="AD168" i="9"/>
  <c r="E168" i="5" s="1"/>
  <c r="AG195" i="9"/>
  <c r="I195" i="5" s="1"/>
  <c r="J195" i="5"/>
  <c r="F91" i="5"/>
  <c r="AD91" i="9"/>
  <c r="E91" i="5" s="1"/>
  <c r="L118" i="5"/>
  <c r="AM118" i="9"/>
  <c r="K118" i="5" s="1"/>
  <c r="F51" i="5"/>
  <c r="AD51" i="9"/>
  <c r="E51" i="5" s="1"/>
  <c r="AE70" i="9"/>
  <c r="G70" i="5" s="1"/>
  <c r="H70" i="5"/>
  <c r="J99" i="5"/>
  <c r="AG99" i="9"/>
  <c r="I99" i="5" s="1"/>
  <c r="H57" i="5"/>
  <c r="AE57" i="9"/>
  <c r="G57" i="5" s="1"/>
  <c r="J207" i="5"/>
  <c r="AG207" i="9"/>
  <c r="I207" i="5" s="1"/>
  <c r="J239" i="5"/>
  <c r="AG239" i="9"/>
  <c r="I239" i="5" s="1"/>
  <c r="F238" i="5"/>
  <c r="AD238" i="9"/>
  <c r="E238" i="5" s="1"/>
  <c r="AM201" i="9"/>
  <c r="K201" i="5" s="1"/>
  <c r="L201" i="5"/>
  <c r="F141" i="5"/>
  <c r="AD141" i="9"/>
  <c r="E141" i="5" s="1"/>
  <c r="F49" i="5"/>
  <c r="AD49" i="9"/>
  <c r="E49" i="5" s="1"/>
  <c r="H90" i="5"/>
  <c r="AE90" i="9"/>
  <c r="G90" i="5" s="1"/>
  <c r="F79" i="5"/>
  <c r="AD79" i="9"/>
  <c r="E79" i="5" s="1"/>
  <c r="J210" i="5"/>
  <c r="AG210" i="9"/>
  <c r="I210" i="5" s="1"/>
  <c r="F215" i="5"/>
  <c r="AD215" i="9"/>
  <c r="E215" i="5" s="1"/>
  <c r="F211" i="5"/>
  <c r="AD211" i="9"/>
  <c r="E211" i="5" s="1"/>
  <c r="F151" i="5"/>
  <c r="AD151" i="9"/>
  <c r="E151" i="5" s="1"/>
  <c r="J82" i="5"/>
  <c r="AG82" i="9"/>
  <c r="I82" i="5" s="1"/>
  <c r="L78" i="5"/>
  <c r="AM78" i="9"/>
  <c r="K78" i="5" s="1"/>
  <c r="AD231" i="9"/>
  <c r="E231" i="5" s="1"/>
  <c r="F231" i="5"/>
  <c r="AG224" i="9"/>
  <c r="I224" i="5" s="1"/>
  <c r="J224" i="5"/>
  <c r="AE229" i="9"/>
  <c r="G229" i="5" s="1"/>
  <c r="H229" i="5"/>
  <c r="J163" i="5"/>
  <c r="AG163" i="9"/>
  <c r="I163" i="5" s="1"/>
  <c r="F240" i="5"/>
  <c r="AD240" i="9"/>
  <c r="E240" i="5" s="1"/>
  <c r="F80" i="5"/>
  <c r="AD80" i="9"/>
  <c r="E80" i="5" s="1"/>
  <c r="L71" i="5"/>
  <c r="AM71" i="9"/>
  <c r="K71" i="5" s="1"/>
  <c r="H34" i="5"/>
  <c r="AE34" i="9"/>
  <c r="G34" i="5" s="1"/>
  <c r="H112" i="5"/>
  <c r="AE112" i="9"/>
  <c r="G112" i="5" s="1"/>
  <c r="AM167" i="9"/>
  <c r="K167" i="5" s="1"/>
  <c r="L167" i="5"/>
  <c r="F176" i="5"/>
  <c r="AD176" i="9"/>
  <c r="E176" i="5" s="1"/>
  <c r="AD227" i="9"/>
  <c r="E227" i="5" s="1"/>
  <c r="F227" i="5"/>
  <c r="AG149" i="9"/>
  <c r="I149" i="5" s="1"/>
  <c r="J149" i="5"/>
  <c r="AM18" i="9"/>
  <c r="K18" i="5" s="1"/>
  <c r="L18" i="5"/>
  <c r="F8" i="5"/>
  <c r="AD8" i="9"/>
  <c r="E8" i="5" s="1"/>
  <c r="AD156" i="9"/>
  <c r="E156" i="5" s="1"/>
  <c r="F156" i="5"/>
  <c r="AM56" i="9"/>
  <c r="K56" i="5" s="1"/>
  <c r="L56" i="5"/>
  <c r="L165" i="5"/>
  <c r="AM165" i="9"/>
  <c r="K165" i="5" s="1"/>
  <c r="AG166" i="9"/>
  <c r="J166" i="5"/>
  <c r="J208" i="5"/>
  <c r="AG208" i="9"/>
  <c r="I208" i="5" s="1"/>
  <c r="J123" i="5"/>
  <c r="AG123" i="9"/>
  <c r="I123" i="5" s="1"/>
  <c r="L27" i="5"/>
  <c r="AM27" i="9"/>
  <c r="K27" i="5" s="1"/>
  <c r="H169" i="5"/>
  <c r="AE169" i="9"/>
  <c r="G169" i="5" s="1"/>
  <c r="AG204" i="9"/>
  <c r="I204" i="5" s="1"/>
  <c r="J204" i="5"/>
  <c r="H100" i="5"/>
  <c r="AE100" i="9"/>
  <c r="G100" i="5" s="1"/>
  <c r="F72" i="5"/>
  <c r="AD72" i="9"/>
  <c r="E72" i="5" s="1"/>
  <c r="L144" i="5"/>
  <c r="AM144" i="9"/>
  <c r="K144" i="5" s="1"/>
  <c r="F97" i="5"/>
  <c r="AD97" i="9"/>
  <c r="E97" i="5" s="1"/>
  <c r="H52" i="5"/>
  <c r="AE52" i="9"/>
  <c r="G52" i="5" s="1"/>
  <c r="AE63" i="9"/>
  <c r="G63" i="5" s="1"/>
  <c r="H63" i="5"/>
  <c r="F218" i="5"/>
  <c r="AD218" i="9"/>
  <c r="E218" i="5" s="1"/>
  <c r="J130" i="5"/>
  <c r="AG130" i="9"/>
  <c r="I130" i="5" s="1"/>
  <c r="J16" i="5"/>
  <c r="AG16" i="9"/>
  <c r="I16" i="5" s="1"/>
  <c r="L85" i="5"/>
  <c r="AM85" i="9"/>
  <c r="K85" i="5" s="1"/>
  <c r="F50" i="5"/>
  <c r="AD50" i="9"/>
  <c r="E50" i="5" s="1"/>
  <c r="AM164" i="9"/>
  <c r="K164" i="5" s="1"/>
  <c r="L164" i="5"/>
  <c r="J236" i="5"/>
  <c r="AG236" i="9"/>
  <c r="I236" i="5" s="1"/>
  <c r="L74" i="5"/>
  <c r="AM74" i="9"/>
  <c r="K74" i="5" s="1"/>
  <c r="F150" i="5"/>
  <c r="AD150" i="9"/>
  <c r="E150" i="5" s="1"/>
  <c r="AM137" i="9"/>
  <c r="K137" i="5" s="1"/>
  <c r="L137" i="5"/>
  <c r="AD195" i="9"/>
  <c r="E195" i="5" s="1"/>
  <c r="F195" i="5"/>
  <c r="L226" i="5"/>
  <c r="AM226" i="9"/>
  <c r="K226" i="5" s="1"/>
  <c r="F99" i="5"/>
  <c r="AD99" i="9"/>
  <c r="E99" i="5" s="1"/>
  <c r="J57" i="5"/>
  <c r="AG57" i="9"/>
  <c r="I57" i="5" s="1"/>
  <c r="J189" i="5"/>
  <c r="AG189" i="9"/>
  <c r="I189" i="5" s="1"/>
  <c r="L170" i="5"/>
  <c r="AM170" i="9"/>
  <c r="K170" i="5" s="1"/>
  <c r="J158" i="5"/>
  <c r="AG158" i="9"/>
  <c r="I158" i="5" s="1"/>
  <c r="L35" i="5"/>
  <c r="AM35" i="9"/>
  <c r="K35" i="5" s="1"/>
  <c r="L9" i="5"/>
  <c r="AM9" i="9"/>
  <c r="K9" i="5" s="1"/>
  <c r="H251" i="5"/>
  <c r="AE251" i="9"/>
  <c r="G251" i="5" s="1"/>
  <c r="H125" i="5"/>
  <c r="AE125" i="9"/>
  <c r="G125" i="5" s="1"/>
  <c r="J89" i="5"/>
  <c r="AG89" i="9"/>
  <c r="I89" i="5" s="1"/>
  <c r="H28" i="5"/>
  <c r="AE28" i="9"/>
  <c r="G28" i="5" s="1"/>
  <c r="AG240" i="9"/>
  <c r="I240" i="5" s="1"/>
  <c r="J240" i="5"/>
  <c r="L21" i="5"/>
  <c r="AM21" i="9"/>
  <c r="K21" i="5" s="1"/>
  <c r="J104" i="5"/>
  <c r="AG104" i="9"/>
  <c r="I104" i="5" s="1"/>
  <c r="AE183" i="9"/>
  <c r="G183" i="5" s="1"/>
  <c r="H183" i="5"/>
  <c r="J46" i="5"/>
  <c r="AG46" i="9"/>
  <c r="I46" i="5" s="1"/>
  <c r="L198" i="5"/>
  <c r="AM198" i="9"/>
  <c r="K198" i="5" s="1"/>
  <c r="L224" i="5"/>
  <c r="AM224" i="9"/>
  <c r="K224" i="5" s="1"/>
  <c r="J200" i="5"/>
  <c r="AG200" i="9"/>
  <c r="I200" i="5" s="1"/>
  <c r="J194" i="5"/>
  <c r="AG194" i="9"/>
  <c r="I194" i="5" s="1"/>
  <c r="L128" i="5"/>
  <c r="AM128" i="9"/>
  <c r="K128" i="5" s="1"/>
  <c r="F104" i="5"/>
  <c r="AD104" i="9"/>
  <c r="E104" i="5" s="1"/>
  <c r="J18" i="5"/>
  <c r="AG18" i="9"/>
  <c r="I18" i="5" s="1"/>
  <c r="L183" i="5"/>
  <c r="AM183" i="9"/>
  <c r="K183" i="5" s="1"/>
  <c r="F60" i="5"/>
  <c r="AD60" i="9"/>
  <c r="E60" i="5" s="1"/>
  <c r="H75" i="5"/>
  <c r="AE75" i="9"/>
  <c r="G75" i="5" s="1"/>
  <c r="L46" i="5"/>
  <c r="AM46" i="9"/>
  <c r="K46" i="5" s="1"/>
  <c r="J115" i="5"/>
  <c r="AG115" i="9"/>
  <c r="I115" i="5" s="1"/>
  <c r="J8" i="5"/>
  <c r="AG8" i="9"/>
  <c r="I8" i="5" s="1"/>
  <c r="H22" i="5"/>
  <c r="AE22" i="9"/>
  <c r="G22" i="5" s="1"/>
  <c r="J107" i="5"/>
  <c r="AG107" i="9"/>
  <c r="I107" i="5" s="1"/>
  <c r="L153" i="5"/>
  <c r="AM153" i="9"/>
  <c r="K153" i="5" s="1"/>
  <c r="AD180" i="9"/>
  <c r="E180" i="5" s="1"/>
  <c r="F180" i="5"/>
  <c r="AD24" i="9"/>
  <c r="E24" i="5" s="1"/>
  <c r="F24" i="5"/>
  <c r="F110" i="5"/>
  <c r="AD110" i="9"/>
  <c r="E110" i="5" s="1"/>
  <c r="J127" i="5"/>
  <c r="AG127" i="9"/>
  <c r="I127" i="5" s="1"/>
  <c r="AD143" i="9"/>
  <c r="E143" i="5" s="1"/>
  <c r="F143" i="5"/>
  <c r="F23" i="5"/>
  <c r="AD23" i="9"/>
  <c r="E23" i="5" s="1"/>
  <c r="AM148" i="9"/>
  <c r="K148" i="5" s="1"/>
  <c r="L148" i="5"/>
  <c r="H243" i="5"/>
  <c r="AE243" i="9"/>
  <c r="G243" i="5" s="1"/>
  <c r="AD244" i="9"/>
  <c r="E244" i="5" s="1"/>
  <c r="F244" i="5"/>
  <c r="H129" i="5"/>
  <c r="AE129" i="9"/>
  <c r="G129" i="5" s="1"/>
  <c r="J198" i="5"/>
  <c r="AG198" i="9"/>
  <c r="I198" i="5" s="1"/>
  <c r="H25" i="5"/>
  <c r="AE25" i="9"/>
  <c r="G25" i="5" s="1"/>
  <c r="J116" i="5"/>
  <c r="AG116" i="9"/>
  <c r="I116" i="5" s="1"/>
  <c r="J77" i="5"/>
  <c r="AG77" i="9"/>
  <c r="I77" i="5" s="1"/>
  <c r="AM160" i="9"/>
  <c r="K160" i="5" s="1"/>
  <c r="L160" i="5"/>
  <c r="H230" i="5"/>
  <c r="AE230" i="9"/>
  <c r="G230" i="5" s="1"/>
  <c r="AD134" i="9"/>
  <c r="E134" i="5" s="1"/>
  <c r="F134" i="5"/>
  <c r="J44" i="5"/>
  <c r="AG44" i="9"/>
  <c r="I44" i="5" s="1"/>
  <c r="F249" i="5"/>
  <c r="AD249" i="9"/>
  <c r="E249" i="5" s="1"/>
  <c r="L140" i="5"/>
  <c r="AM140" i="9"/>
  <c r="K140" i="5" s="1"/>
  <c r="F206" i="5"/>
  <c r="AD206" i="9"/>
  <c r="E206" i="5" s="1"/>
  <c r="AE175" i="9"/>
  <c r="G175" i="5" s="1"/>
  <c r="H175" i="5"/>
  <c r="F83" i="5"/>
  <c r="AD83" i="9"/>
  <c r="E83" i="5" s="1"/>
  <c r="F65" i="5"/>
  <c r="AD65" i="9"/>
  <c r="E65" i="5" s="1"/>
  <c r="J124" i="5"/>
  <c r="AG124" i="9"/>
  <c r="I124" i="5" s="1"/>
  <c r="AM192" i="9"/>
  <c r="K192" i="5" s="1"/>
  <c r="L192" i="5"/>
  <c r="AM64" i="9"/>
  <c r="K64" i="5" s="1"/>
  <c r="L64" i="5"/>
  <c r="F145" i="5"/>
  <c r="AD145" i="9"/>
  <c r="E145" i="5" s="1"/>
  <c r="L98" i="5"/>
  <c r="K98" i="5"/>
  <c r="AD59" i="9"/>
  <c r="E59" i="5" s="1"/>
  <c r="F59" i="5"/>
  <c r="AG36" i="9"/>
  <c r="I36" i="5" s="1"/>
  <c r="J36" i="5"/>
  <c r="L246" i="5"/>
  <c r="AM246" i="9"/>
  <c r="K246" i="5" s="1"/>
  <c r="J114" i="5"/>
  <c r="AG114" i="9"/>
  <c r="I114" i="5" s="1"/>
  <c r="H146" i="5"/>
  <c r="AE146" i="9"/>
  <c r="G146" i="5" s="1"/>
  <c r="H81" i="5"/>
  <c r="AE81" i="9"/>
  <c r="G81" i="5" s="1"/>
  <c r="J27" i="5"/>
  <c r="AG27" i="9"/>
  <c r="I27" i="5" s="1"/>
  <c r="J184" i="5"/>
  <c r="AG184" i="9"/>
  <c r="I184" i="5" s="1"/>
  <c r="J169" i="5"/>
  <c r="AG169" i="9"/>
  <c r="I169" i="5" s="1"/>
  <c r="AE142" i="9"/>
  <c r="G142" i="5" s="1"/>
  <c r="H142" i="5"/>
  <c r="F204" i="5"/>
  <c r="AD204" i="9"/>
  <c r="E204" i="5" s="1"/>
  <c r="F100" i="5"/>
  <c r="AD100" i="9"/>
  <c r="E100" i="5" s="1"/>
  <c r="J250" i="5"/>
  <c r="AG250" i="9"/>
  <c r="I250" i="5" s="1"/>
  <c r="H117" i="5"/>
  <c r="AE117" i="9"/>
  <c r="G117" i="5" s="1"/>
  <c r="H196" i="5"/>
  <c r="AE196" i="9"/>
  <c r="G196" i="5" s="1"/>
  <c r="AM43" i="9"/>
  <c r="K43" i="5" s="1"/>
  <c r="L43" i="5"/>
  <c r="L113" i="5"/>
  <c r="AM113" i="9"/>
  <c r="K113" i="5" s="1"/>
  <c r="AE38" i="9"/>
  <c r="H38" i="5"/>
  <c r="AM52" i="9"/>
  <c r="K52" i="5" s="1"/>
  <c r="L52" i="5"/>
  <c r="L63" i="5"/>
  <c r="AM63" i="9"/>
  <c r="K63" i="5" s="1"/>
  <c r="AE218" i="9"/>
  <c r="G218" i="5" s="1"/>
  <c r="H218" i="5"/>
  <c r="F130" i="5"/>
  <c r="AD130" i="9"/>
  <c r="E130" i="5" s="1"/>
  <c r="H16" i="5"/>
  <c r="AE16" i="9"/>
  <c r="G16" i="5" s="1"/>
  <c r="D23" i="18"/>
  <c r="D25" i="18"/>
  <c r="L12" i="5"/>
  <c r="AM12" i="9"/>
  <c r="K12" i="5" s="1"/>
  <c r="F245" i="5"/>
  <c r="AD245" i="9"/>
  <c r="E245" i="5" s="1"/>
  <c r="L55" i="5"/>
  <c r="AM55" i="9"/>
  <c r="K55" i="5" s="1"/>
  <c r="F147" i="5"/>
  <c r="AD147" i="9"/>
  <c r="E147" i="5" s="1"/>
  <c r="AM37" i="9"/>
  <c r="K37" i="5" s="1"/>
  <c r="L37" i="5"/>
  <c r="F126" i="5"/>
  <c r="AD126" i="9"/>
  <c r="E126" i="5" s="1"/>
  <c r="F179" i="5"/>
  <c r="AD179" i="9"/>
  <c r="E179" i="5" s="1"/>
  <c r="F131" i="5"/>
  <c r="AD131" i="9"/>
  <c r="E131" i="5" s="1"/>
  <c r="F187" i="5"/>
  <c r="AD187" i="9"/>
  <c r="E187" i="5" s="1"/>
  <c r="H20" i="5"/>
  <c r="AE20" i="9"/>
  <c r="G20" i="5" s="1"/>
  <c r="F203" i="5"/>
  <c r="AD203" i="9"/>
  <c r="E203" i="5" s="1"/>
  <c r="H150" i="5"/>
  <c r="AE150" i="9"/>
  <c r="G150" i="5" s="1"/>
  <c r="J222" i="5"/>
  <c r="AG222" i="9"/>
  <c r="I222" i="5" s="1"/>
  <c r="AE137" i="9"/>
  <c r="G137" i="5" s="1"/>
  <c r="H137" i="5"/>
  <c r="L168" i="5"/>
  <c r="AM168" i="9"/>
  <c r="K168" i="5" s="1"/>
  <c r="H199" i="5"/>
  <c r="AE199" i="9"/>
  <c r="G199" i="5" s="1"/>
  <c r="F233" i="5"/>
  <c r="AD233" i="9"/>
  <c r="E233" i="5" s="1"/>
  <c r="F217" i="5"/>
  <c r="AD217" i="9"/>
  <c r="E217" i="5" s="1"/>
  <c r="J51" i="5"/>
  <c r="AG51" i="9"/>
  <c r="I51" i="5" s="1"/>
  <c r="F70" i="5"/>
  <c r="AD70" i="9"/>
  <c r="E70" i="5" s="1"/>
  <c r="L99" i="5"/>
  <c r="AM99" i="9"/>
  <c r="K99" i="5" s="1"/>
  <c r="AM193" i="9"/>
  <c r="K193" i="5" s="1"/>
  <c r="L193" i="5"/>
  <c r="AD157" i="9"/>
  <c r="E157" i="5" s="1"/>
  <c r="F157" i="5"/>
  <c r="F239" i="5"/>
  <c r="AD239" i="9"/>
  <c r="E239" i="5" s="1"/>
  <c r="L238" i="5"/>
  <c r="AM238" i="9"/>
  <c r="K238" i="5" s="1"/>
  <c r="H201" i="5"/>
  <c r="AE201" i="9"/>
  <c r="G201" i="5" s="1"/>
  <c r="H141" i="5"/>
  <c r="AE141" i="9"/>
  <c r="G141" i="5" s="1"/>
  <c r="L49" i="5"/>
  <c r="F90" i="5"/>
  <c r="AD90" i="9"/>
  <c r="E90" i="5" s="1"/>
  <c r="J79" i="5"/>
  <c r="AG79" i="9"/>
  <c r="I79" i="5" s="1"/>
  <c r="L210" i="5"/>
  <c r="AM210" i="9"/>
  <c r="K210" i="5" s="1"/>
  <c r="L215" i="5"/>
  <c r="AM215" i="9"/>
  <c r="K215" i="5" s="1"/>
  <c r="AG211" i="9"/>
  <c r="I211" i="5" s="1"/>
  <c r="J211" i="5"/>
  <c r="H151" i="5"/>
  <c r="AE151" i="9"/>
  <c r="G151" i="5" s="1"/>
  <c r="L82" i="5"/>
  <c r="AM82" i="9"/>
  <c r="K82" i="5" s="1"/>
  <c r="J78" i="5"/>
  <c r="AG78" i="9"/>
  <c r="I78" i="5" s="1"/>
  <c r="AE231" i="9"/>
  <c r="G231" i="5" s="1"/>
  <c r="H231" i="5"/>
  <c r="H224" i="5"/>
  <c r="AE224" i="9"/>
  <c r="G224" i="5" s="1"/>
  <c r="F229" i="5"/>
  <c r="AD229" i="9"/>
  <c r="E229" i="5" s="1"/>
  <c r="F163" i="5"/>
  <c r="AD163" i="9"/>
  <c r="E163" i="5" s="1"/>
  <c r="H17" i="5"/>
  <c r="AE17" i="9"/>
  <c r="G17" i="5" s="1"/>
  <c r="H80" i="5"/>
  <c r="AE80" i="9"/>
  <c r="G80" i="5" s="1"/>
  <c r="L161" i="5"/>
  <c r="AM161" i="9"/>
  <c r="K161" i="5" s="1"/>
  <c r="F190" i="5"/>
  <c r="AD190" i="9"/>
  <c r="E190" i="5" s="1"/>
  <c r="J101" i="5"/>
  <c r="AG101" i="9"/>
  <c r="I101" i="5" s="1"/>
  <c r="H167" i="5"/>
  <c r="AE167" i="9"/>
  <c r="G167" i="5" s="1"/>
  <c r="H176" i="5"/>
  <c r="AE176" i="9"/>
  <c r="G176" i="5" s="1"/>
  <c r="AE227" i="9"/>
  <c r="G227" i="5" s="1"/>
  <c r="H227" i="5"/>
  <c r="F149" i="5"/>
  <c r="AD149" i="9"/>
  <c r="E149" i="5" s="1"/>
  <c r="J205" i="5"/>
  <c r="AG205" i="9"/>
  <c r="I205" i="5" s="1"/>
  <c r="L60" i="5"/>
  <c r="AM60" i="9"/>
  <c r="K60" i="5" s="1"/>
  <c r="H115" i="5"/>
  <c r="AE115" i="9"/>
  <c r="G115" i="5" s="1"/>
  <c r="F228" i="5"/>
  <c r="AD228" i="9"/>
  <c r="E228" i="5" s="1"/>
  <c r="AG11" i="9"/>
  <c r="I11" i="5" s="1"/>
  <c r="J11" i="5"/>
  <c r="J178" i="5"/>
  <c r="AG178" i="9"/>
  <c r="I178" i="5" s="1"/>
  <c r="AG48" i="9"/>
  <c r="I48" i="5" s="1"/>
  <c r="J48" i="5"/>
  <c r="F160" i="5"/>
  <c r="AD160" i="9"/>
  <c r="E160" i="5" s="1"/>
  <c r="AD42" i="9"/>
  <c r="E42" i="5" s="1"/>
  <c r="F42" i="5"/>
  <c r="AD31" i="9"/>
  <c r="E31" i="5" s="1"/>
  <c r="F31" i="5"/>
  <c r="H67" i="5"/>
  <c r="AE67" i="9"/>
  <c r="G67" i="5" s="1"/>
  <c r="AE69" i="9"/>
  <c r="G69" i="5" s="1"/>
  <c r="H69" i="5"/>
  <c r="F81" i="5"/>
  <c r="AD81" i="9"/>
  <c r="E81" i="5" s="1"/>
  <c r="AD159" i="9"/>
  <c r="E159" i="5" s="1"/>
  <c r="F159" i="5"/>
  <c r="H232" i="5"/>
  <c r="AE232" i="9"/>
  <c r="G232" i="5" s="1"/>
  <c r="J128" i="5"/>
  <c r="AG128" i="9"/>
  <c r="I128" i="5" s="1"/>
  <c r="L200" i="5"/>
  <c r="AM200" i="9"/>
  <c r="K200" i="5" s="1"/>
  <c r="H128" i="5"/>
  <c r="AE128" i="9"/>
  <c r="G128" i="5" s="1"/>
  <c r="L94" i="5"/>
  <c r="AM94" i="9"/>
  <c r="K94" i="5" s="1"/>
  <c r="H45" i="5"/>
  <c r="AE45" i="9"/>
  <c r="G45" i="5" s="1"/>
  <c r="L73" i="5"/>
  <c r="AM73" i="9"/>
  <c r="K73" i="5" s="1"/>
  <c r="F241" i="5"/>
  <c r="AD241" i="9"/>
  <c r="E241" i="5" s="1"/>
  <c r="F107" i="5"/>
  <c r="AD107" i="9"/>
  <c r="E107" i="5" s="1"/>
  <c r="J180" i="5"/>
  <c r="AG180" i="9"/>
  <c r="I180" i="5" s="1"/>
  <c r="L110" i="5"/>
  <c r="AM110" i="9"/>
  <c r="K110" i="5" s="1"/>
  <c r="F127" i="5"/>
  <c r="AD127" i="9"/>
  <c r="E127" i="5" s="1"/>
  <c r="H23" i="5"/>
  <c r="AE23" i="9"/>
  <c r="G23" i="5" s="1"/>
  <c r="AM243" i="9"/>
  <c r="K243" i="5" s="1"/>
  <c r="L243" i="5"/>
  <c r="AG244" i="9"/>
  <c r="I244" i="5" s="1"/>
  <c r="J244" i="5"/>
  <c r="F198" i="5"/>
  <c r="AD198" i="9"/>
  <c r="E198" i="5" s="1"/>
  <c r="L116" i="5"/>
  <c r="AM116" i="9"/>
  <c r="K116" i="5" s="1"/>
  <c r="F119" i="5"/>
  <c r="AD119" i="9"/>
  <c r="E119" i="5" s="1"/>
  <c r="L134" i="5"/>
  <c r="AM134" i="9"/>
  <c r="K134" i="5" s="1"/>
  <c r="L249" i="5"/>
  <c r="AM249" i="9"/>
  <c r="K249" i="5" s="1"/>
  <c r="L175" i="5"/>
  <c r="AM175" i="9"/>
  <c r="K175" i="5" s="1"/>
  <c r="L65" i="5"/>
  <c r="AM65" i="9"/>
  <c r="K65" i="5" s="1"/>
  <c r="F124" i="5"/>
  <c r="AD124" i="9"/>
  <c r="E124" i="5" s="1"/>
  <c r="J64" i="5"/>
  <c r="AG64" i="9"/>
  <c r="I64" i="5" s="1"/>
  <c r="F98" i="5"/>
  <c r="AD98" i="9"/>
  <c r="E98" i="5" s="1"/>
  <c r="H36" i="5"/>
  <c r="AE36" i="9"/>
  <c r="G36" i="5" s="1"/>
  <c r="AE191" i="9"/>
  <c r="G191" i="5" s="1"/>
  <c r="H191" i="5"/>
  <c r="J120" i="5"/>
  <c r="AG120" i="9"/>
  <c r="I120" i="5" s="1"/>
  <c r="L108" i="5"/>
  <c r="AM108" i="9"/>
  <c r="K108" i="5" s="1"/>
  <c r="AE41" i="9"/>
  <c r="G41" i="5" s="1"/>
  <c r="H41" i="5"/>
  <c r="AG117" i="9"/>
  <c r="I117" i="5" s="1"/>
  <c r="J117" i="5"/>
  <c r="J43" i="5"/>
  <c r="AG43" i="9"/>
  <c r="I43" i="5" s="1"/>
  <c r="J95" i="5"/>
  <c r="AG95" i="9"/>
  <c r="I95" i="5" s="1"/>
  <c r="F96" i="5"/>
  <c r="AD96" i="9"/>
  <c r="E96" i="5" s="1"/>
  <c r="F58" i="5"/>
  <c r="AD58" i="9"/>
  <c r="E58" i="5" s="1"/>
  <c r="L87" i="5"/>
  <c r="AM87" i="9"/>
  <c r="K87" i="5" s="1"/>
  <c r="L245" i="5"/>
  <c r="AM245" i="9"/>
  <c r="K245" i="5" s="1"/>
  <c r="H147" i="5"/>
  <c r="AE147" i="9"/>
  <c r="G147" i="5" s="1"/>
  <c r="AE179" i="9"/>
  <c r="G179" i="5" s="1"/>
  <c r="H179" i="5"/>
  <c r="L20" i="5"/>
  <c r="AM20" i="9"/>
  <c r="K20" i="5" s="1"/>
  <c r="J177" i="5"/>
  <c r="AG177" i="9"/>
  <c r="I177" i="5" s="1"/>
  <c r="AG233" i="9"/>
  <c r="I233" i="5" s="1"/>
  <c r="J233" i="5"/>
  <c r="J193" i="5"/>
  <c r="AG193" i="9"/>
  <c r="I193" i="5" s="1"/>
  <c r="AM33" i="9"/>
  <c r="K33" i="5" s="1"/>
  <c r="L33" i="5"/>
  <c r="F205" i="5"/>
  <c r="AD205" i="9"/>
  <c r="E205" i="5" s="1"/>
  <c r="AD247" i="9"/>
  <c r="E247" i="5" s="1"/>
  <c r="F247" i="5"/>
  <c r="H173" i="5"/>
  <c r="AE173" i="9"/>
  <c r="G173" i="5" s="1"/>
  <c r="F234" i="5"/>
  <c r="AD234" i="9"/>
  <c r="E234" i="5" s="1"/>
  <c r="F94" i="5"/>
  <c r="AD94" i="9"/>
  <c r="E94" i="5" s="1"/>
  <c r="F88" i="5"/>
  <c r="AD88" i="9"/>
  <c r="E88" i="5" s="1"/>
  <c r="H188" i="5"/>
  <c r="AE188" i="9"/>
  <c r="G188" i="5" s="1"/>
  <c r="F45" i="5"/>
  <c r="AD45" i="9"/>
  <c r="E45" i="5" s="1"/>
  <c r="H73" i="5"/>
  <c r="AE73" i="9"/>
  <c r="G73" i="5" s="1"/>
  <c r="J213" i="5"/>
  <c r="AG213" i="9"/>
  <c r="I213" i="5" s="1"/>
  <c r="J241" i="5"/>
  <c r="AG241" i="9"/>
  <c r="I241" i="5" s="1"/>
  <c r="J22" i="5"/>
  <c r="AG22" i="9"/>
  <c r="I22" i="5" s="1"/>
  <c r="AE107" i="9"/>
  <c r="G107" i="5" s="1"/>
  <c r="H107" i="5"/>
  <c r="F153" i="5"/>
  <c r="AD153" i="9"/>
  <c r="E153" i="5" s="1"/>
  <c r="H180" i="5"/>
  <c r="AE180" i="9"/>
  <c r="G180" i="5" s="1"/>
  <c r="F214" i="5"/>
  <c r="AD214" i="9"/>
  <c r="E214" i="5" s="1"/>
  <c r="F11" i="5"/>
  <c r="AD11" i="9"/>
  <c r="E11" i="5" s="1"/>
  <c r="L122" i="5"/>
  <c r="AM122" i="9"/>
  <c r="K122" i="5" s="1"/>
  <c r="J23" i="5"/>
  <c r="AG23" i="9"/>
  <c r="I23" i="5" s="1"/>
  <c r="F148" i="5"/>
  <c r="AD148" i="9"/>
  <c r="E148" i="5" s="1"/>
  <c r="AG156" i="9"/>
  <c r="I156" i="5" s="1"/>
  <c r="J156" i="5"/>
  <c r="L102" i="5"/>
  <c r="AM102" i="9"/>
  <c r="K102" i="5" s="1"/>
  <c r="H171" i="5"/>
  <c r="AE171" i="9"/>
  <c r="G171" i="5" s="1"/>
  <c r="H48" i="5"/>
  <c r="AE48" i="9"/>
  <c r="G48" i="5" s="1"/>
  <c r="AM19" i="9"/>
  <c r="K19" i="5" s="1"/>
  <c r="L19" i="5"/>
  <c r="L248" i="5"/>
  <c r="AM248" i="9"/>
  <c r="K248" i="5" s="1"/>
  <c r="F109" i="5"/>
  <c r="AD109" i="9"/>
  <c r="E109" i="5" s="1"/>
  <c r="J119" i="5"/>
  <c r="AG119" i="9"/>
  <c r="I119" i="5" s="1"/>
  <c r="F230" i="5"/>
  <c r="AD230" i="9"/>
  <c r="E230" i="5" s="1"/>
  <c r="J134" i="5"/>
  <c r="AG134" i="9"/>
  <c r="I134" i="5" s="1"/>
  <c r="F44" i="5"/>
  <c r="AD44" i="9"/>
  <c r="E44" i="5" s="1"/>
  <c r="H249" i="5"/>
  <c r="AE249" i="9"/>
  <c r="G249" i="5" s="1"/>
  <c r="AG140" i="9"/>
  <c r="I140" i="5" s="1"/>
  <c r="J140" i="5"/>
  <c r="H206" i="5"/>
  <c r="AE206" i="9"/>
  <c r="G206" i="5" s="1"/>
  <c r="J175" i="5"/>
  <c r="AG175" i="9"/>
  <c r="I175" i="5" s="1"/>
  <c r="H83" i="5"/>
  <c r="AE83" i="9"/>
  <c r="G83" i="5" s="1"/>
  <c r="J65" i="5"/>
  <c r="AG65" i="9"/>
  <c r="I65" i="5" s="1"/>
  <c r="L124" i="5"/>
  <c r="AM124" i="9"/>
  <c r="K124" i="5" s="1"/>
  <c r="H192" i="5"/>
  <c r="AE192" i="9"/>
  <c r="G192" i="5" s="1"/>
  <c r="F64" i="5"/>
  <c r="AD64" i="9"/>
  <c r="E64" i="5" s="1"/>
  <c r="J145" i="5"/>
  <c r="AG145" i="9"/>
  <c r="I145" i="5" s="1"/>
  <c r="AE98" i="9"/>
  <c r="G98" i="5" s="1"/>
  <c r="H98" i="5"/>
  <c r="L59" i="5"/>
  <c r="AM59" i="9"/>
  <c r="K59" i="5" s="1"/>
  <c r="L36" i="5"/>
  <c r="AM36" i="9"/>
  <c r="K36" i="5" s="1"/>
  <c r="J246" i="5"/>
  <c r="AG246" i="9"/>
  <c r="I246" i="5" s="1"/>
  <c r="J191" i="5"/>
  <c r="AG191" i="9"/>
  <c r="I191" i="5" s="1"/>
  <c r="AD103" i="9"/>
  <c r="E103" i="5" s="1"/>
  <c r="F103" i="5"/>
  <c r="AM120" i="9"/>
  <c r="K120" i="5" s="1"/>
  <c r="L120" i="5"/>
  <c r="J235" i="5"/>
  <c r="AG235" i="9"/>
  <c r="I235" i="5" s="1"/>
  <c r="H14" i="5"/>
  <c r="AE14" i="9"/>
  <c r="G14" i="5" s="1"/>
  <c r="H86" i="5"/>
  <c r="AE86" i="9"/>
  <c r="G86" i="5" s="1"/>
  <c r="AE108" i="9"/>
  <c r="G108" i="5" s="1"/>
  <c r="H108" i="5"/>
  <c r="AM105" i="9"/>
  <c r="K105" i="5" s="1"/>
  <c r="L105" i="5"/>
  <c r="AG41" i="9"/>
  <c r="I41" i="5" s="1"/>
  <c r="J41" i="5"/>
  <c r="F250" i="5"/>
  <c r="AD250" i="9"/>
  <c r="E250" i="5" s="1"/>
  <c r="AD117" i="9"/>
  <c r="E117" i="5" s="1"/>
  <c r="F117" i="5"/>
  <c r="F144" i="5"/>
  <c r="AD144" i="9"/>
  <c r="E144" i="5" s="1"/>
  <c r="H97" i="5"/>
  <c r="AE97" i="9"/>
  <c r="G97" i="5" s="1"/>
  <c r="H111" i="5"/>
  <c r="AE111" i="9"/>
  <c r="G111" i="5" s="1"/>
  <c r="F95" i="5"/>
  <c r="AD95" i="9"/>
  <c r="E95" i="5" s="1"/>
  <c r="J96" i="5"/>
  <c r="AG96" i="9"/>
  <c r="I96" i="5" s="1"/>
  <c r="AM66" i="9"/>
  <c r="K66" i="5" s="1"/>
  <c r="L66" i="5"/>
  <c r="L58" i="5"/>
  <c r="AM58" i="9"/>
  <c r="K58" i="5" s="1"/>
  <c r="F174" i="5"/>
  <c r="AD174" i="9"/>
  <c r="E174" i="5" s="1"/>
  <c r="H87" i="5"/>
  <c r="AE87" i="9"/>
  <c r="G87" i="5" s="1"/>
  <c r="F85" i="5"/>
  <c r="AD85" i="9"/>
  <c r="E85" i="5" s="1"/>
  <c r="J12" i="5"/>
  <c r="AG12" i="9"/>
  <c r="I12" i="5" s="1"/>
  <c r="H245" i="5"/>
  <c r="AE245" i="9"/>
  <c r="G245" i="5" s="1"/>
  <c r="AD55" i="9"/>
  <c r="E55" i="5" s="1"/>
  <c r="F55" i="5"/>
  <c r="AM147" i="9"/>
  <c r="K147" i="5" s="1"/>
  <c r="L147" i="5"/>
  <c r="AE37" i="9"/>
  <c r="G37" i="5" s="1"/>
  <c r="H37" i="5"/>
  <c r="L126" i="5"/>
  <c r="AM126" i="9"/>
  <c r="K126" i="5" s="1"/>
  <c r="J179" i="5"/>
  <c r="AG179" i="9"/>
  <c r="I179" i="5" s="1"/>
  <c r="AM131" i="9"/>
  <c r="K131" i="5" s="1"/>
  <c r="L131" i="5"/>
  <c r="H187" i="5"/>
  <c r="AE187" i="9"/>
  <c r="G187" i="5" s="1"/>
  <c r="AE209" i="9"/>
  <c r="G209" i="5" s="1"/>
  <c r="H209" i="5"/>
  <c r="J197" i="5"/>
  <c r="AG197" i="9"/>
  <c r="I197" i="5" s="1"/>
  <c r="H29" i="5"/>
  <c r="AE29" i="9"/>
  <c r="G29" i="5" s="1"/>
  <c r="F177" i="5"/>
  <c r="AD177" i="9"/>
  <c r="E177" i="5" s="1"/>
  <c r="L212" i="5"/>
  <c r="AM212" i="9"/>
  <c r="K212" i="5" s="1"/>
  <c r="L62" i="5"/>
  <c r="AM62" i="9"/>
  <c r="K62" i="5" s="1"/>
  <c r="AM199" i="9"/>
  <c r="K199" i="5" s="1"/>
  <c r="L199" i="5"/>
  <c r="AE233" i="9"/>
  <c r="G233" i="5" s="1"/>
  <c r="H233" i="5"/>
  <c r="H217" i="5"/>
  <c r="AE217" i="9"/>
  <c r="G217" i="5" s="1"/>
  <c r="H225" i="5"/>
  <c r="AE225" i="9"/>
  <c r="G225" i="5" s="1"/>
  <c r="H135" i="5"/>
  <c r="AE135" i="9"/>
  <c r="G135" i="5" s="1"/>
  <c r="AD182" i="9"/>
  <c r="E182" i="5" s="1"/>
  <c r="F182" i="5"/>
  <c r="AE193" i="9"/>
  <c r="G193" i="5" s="1"/>
  <c r="H193" i="5"/>
  <c r="H157" i="5"/>
  <c r="AE157" i="9"/>
  <c r="G157" i="5" s="1"/>
  <c r="L239" i="5"/>
  <c r="AM239" i="9"/>
  <c r="K239" i="5" s="1"/>
  <c r="J238" i="5"/>
  <c r="AG238" i="9"/>
  <c r="I238" i="5" s="1"/>
  <c r="F201" i="5"/>
  <c r="AD201" i="9"/>
  <c r="E201" i="5" s="1"/>
  <c r="F162" i="5"/>
  <c r="AD162" i="9"/>
  <c r="E162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1" i="5"/>
  <c r="AG251" i="9"/>
  <c r="I251" i="5" s="1"/>
  <c r="L138" i="5"/>
  <c r="AM138" i="9"/>
  <c r="K138" i="5" s="1"/>
  <c r="F125" i="5"/>
  <c r="AD125" i="9"/>
  <c r="E125" i="5" s="1"/>
  <c r="L61" i="5"/>
  <c r="AM61" i="9"/>
  <c r="K61" i="5" s="1"/>
  <c r="AE89" i="9"/>
  <c r="G89" i="5" s="1"/>
  <c r="H89" i="5"/>
  <c r="F28" i="5"/>
  <c r="AD28" i="9"/>
  <c r="E28" i="5" s="1"/>
  <c r="AE136" i="9"/>
  <c r="G136" i="5" s="1"/>
  <c r="H136" i="5"/>
  <c r="J223" i="5"/>
  <c r="AG223" i="9"/>
  <c r="I223" i="5" s="1"/>
  <c r="H132" i="5"/>
  <c r="AE132" i="9"/>
  <c r="G132" i="5" s="1"/>
  <c r="F17" i="5"/>
  <c r="AD17" i="9"/>
  <c r="E17" i="5" s="1"/>
  <c r="AE181" i="9"/>
  <c r="G181" i="5" s="1"/>
  <c r="H181" i="5"/>
  <c r="AD216" i="9"/>
  <c r="E216" i="5" s="1"/>
  <c r="F216" i="5"/>
  <c r="F161" i="5"/>
  <c r="AD161" i="9"/>
  <c r="E161" i="5" s="1"/>
  <c r="AE190" i="9"/>
  <c r="G190" i="5" s="1"/>
  <c r="H190" i="5"/>
  <c r="AM101" i="9"/>
  <c r="K101" i="5" s="1"/>
  <c r="L101" i="5"/>
  <c r="F167" i="5"/>
  <c r="AD167" i="9"/>
  <c r="E167" i="5" s="1"/>
  <c r="H21" i="5"/>
  <c r="AE21" i="9"/>
  <c r="G21" i="5" s="1"/>
  <c r="J202" i="5"/>
  <c r="AG202" i="9"/>
  <c r="I202" i="5" s="1"/>
  <c r="H33" i="5"/>
  <c r="AE33" i="9"/>
  <c r="G33" i="5" s="1"/>
  <c r="AM173" i="9"/>
  <c r="K173" i="5" s="1"/>
  <c r="L173" i="5"/>
  <c r="F183" i="5"/>
  <c r="AD183" i="9"/>
  <c r="E183" i="5" s="1"/>
  <c r="H46" i="5"/>
  <c r="AE46" i="9"/>
  <c r="G46" i="5" s="1"/>
  <c r="F93" i="5"/>
  <c r="AD93" i="9"/>
  <c r="E93" i="5" s="1"/>
  <c r="AM214" i="9"/>
  <c r="K214" i="5" s="1"/>
  <c r="L214" i="5"/>
  <c r="AG252" i="9"/>
  <c r="I252" i="5" s="1"/>
  <c r="J252" i="5"/>
  <c r="AD102" i="9"/>
  <c r="E102" i="5" s="1"/>
  <c r="F102" i="5"/>
  <c r="AD19" i="9"/>
  <c r="E19" i="5" s="1"/>
  <c r="F19" i="5"/>
  <c r="AD40" i="9"/>
  <c r="F40" i="5"/>
  <c r="L152" i="5"/>
  <c r="AM152" i="9"/>
  <c r="K152" i="5" s="1"/>
  <c r="H68" i="5"/>
  <c r="AE68" i="9"/>
  <c r="G68" i="5" s="1"/>
  <c r="J220" i="5"/>
  <c r="AG220" i="9"/>
  <c r="L30" i="5"/>
  <c r="AM30" i="9"/>
  <c r="K30" i="5" s="1"/>
  <c r="J121" i="5"/>
  <c r="AG121" i="9"/>
  <c r="I121" i="5" s="1"/>
  <c r="AG55" i="9"/>
  <c r="I55" i="5" s="1"/>
  <c r="J55" i="5"/>
  <c r="AG126" i="9"/>
  <c r="I126" i="5" s="1"/>
  <c r="J126" i="5"/>
  <c r="H131" i="5"/>
  <c r="AE131" i="9"/>
  <c r="G131" i="5" s="1"/>
  <c r="AD197" i="9"/>
  <c r="E197" i="5" s="1"/>
  <c r="F197" i="5"/>
  <c r="AD62" i="9"/>
  <c r="E62" i="5" s="1"/>
  <c r="F62" i="5"/>
  <c r="AG217" i="9"/>
  <c r="I217" i="5" s="1"/>
  <c r="J217" i="5"/>
  <c r="F135" i="5"/>
  <c r="AD135" i="9"/>
  <c r="E135" i="5" s="1"/>
  <c r="H239" i="5"/>
  <c r="AE239" i="9"/>
  <c r="G239" i="5" s="1"/>
  <c r="H202" i="5"/>
  <c r="AE202" i="9"/>
  <c r="G202" i="5" s="1"/>
  <c r="L205" i="5"/>
  <c r="AM205" i="9"/>
  <c r="K205" i="5" s="1"/>
  <c r="J247" i="5"/>
  <c r="AG247" i="9"/>
  <c r="I247" i="5" s="1"/>
  <c r="AG173" i="9"/>
  <c r="I173" i="5" s="1"/>
  <c r="J173" i="5"/>
  <c r="J234" i="5"/>
  <c r="AG234" i="9"/>
  <c r="I234" i="5" s="1"/>
  <c r="H94" i="5"/>
  <c r="AE94" i="9"/>
  <c r="G94" i="5" s="1"/>
  <c r="H88" i="5"/>
  <c r="AE88" i="9"/>
  <c r="G88" i="5" s="1"/>
  <c r="J188" i="5"/>
  <c r="AG188" i="9"/>
  <c r="I188" i="5" s="1"/>
  <c r="AG45" i="9"/>
  <c r="I45" i="5" s="1"/>
  <c r="J45" i="5"/>
  <c r="F73" i="5"/>
  <c r="AD73" i="9"/>
  <c r="E73" i="5" s="1"/>
  <c r="H213" i="5"/>
  <c r="AE213" i="9"/>
  <c r="G213" i="5" s="1"/>
  <c r="H241" i="5"/>
  <c r="AE241" i="9"/>
  <c r="G241" i="5" s="1"/>
  <c r="L22" i="5"/>
  <c r="AM22" i="9"/>
  <c r="K22" i="5" s="1"/>
  <c r="L107" i="5"/>
  <c r="AM107" i="9"/>
  <c r="K107" i="5" s="1"/>
  <c r="H153" i="5"/>
  <c r="AE153" i="9"/>
  <c r="G153" i="5" s="1"/>
  <c r="AE228" i="9"/>
  <c r="G228" i="5" s="1"/>
  <c r="H228" i="5"/>
  <c r="H214" i="5"/>
  <c r="AE214" i="9"/>
  <c r="G214" i="5" s="1"/>
  <c r="AM11" i="9"/>
  <c r="K11" i="5" s="1"/>
  <c r="L11" i="5"/>
  <c r="H122" i="5"/>
  <c r="AE122" i="9"/>
  <c r="G122" i="5" s="1"/>
  <c r="H252" i="5"/>
  <c r="AE252" i="9"/>
  <c r="G252" i="5" s="1"/>
  <c r="H178" i="5"/>
  <c r="AE178" i="9"/>
  <c r="G178" i="5" s="1"/>
  <c r="L156" i="5"/>
  <c r="AM156" i="9"/>
  <c r="K156" i="5" s="1"/>
  <c r="J102" i="5"/>
  <c r="AG102" i="9"/>
  <c r="I102" i="5" s="1"/>
  <c r="F171" i="5"/>
  <c r="AD171" i="9"/>
  <c r="E171" i="5" s="1"/>
  <c r="AM48" i="9"/>
  <c r="K48" i="5" s="1"/>
  <c r="L48" i="5"/>
  <c r="AG19" i="9"/>
  <c r="I19" i="5" s="1"/>
  <c r="J19" i="5"/>
  <c r="H248" i="5"/>
  <c r="AE248" i="9"/>
  <c r="G248" i="5" s="1"/>
  <c r="J109" i="5"/>
  <c r="AG109" i="9"/>
  <c r="I109" i="5" s="1"/>
  <c r="H119" i="5"/>
  <c r="AE119" i="9"/>
  <c r="G119" i="5" s="1"/>
  <c r="AM230" i="9"/>
  <c r="K230" i="5" s="1"/>
  <c r="L230" i="5"/>
  <c r="AE134" i="9"/>
  <c r="G134" i="5" s="1"/>
  <c r="H134" i="5"/>
  <c r="AG40" i="9"/>
  <c r="I40" i="5" s="1"/>
  <c r="J40" i="5"/>
  <c r="L10" i="5"/>
  <c r="AM10" i="9"/>
  <c r="K10" i="5" s="1"/>
  <c r="AG165" i="9"/>
  <c r="I165" i="5" s="1"/>
  <c r="J165" i="5"/>
  <c r="F152" i="5"/>
  <c r="AD152" i="9"/>
  <c r="E152" i="5" s="1"/>
  <c r="H31" i="5"/>
  <c r="AE31" i="9"/>
  <c r="G31" i="5" s="1"/>
  <c r="F84" i="5"/>
  <c r="AD84" i="9"/>
  <c r="E84" i="5" s="1"/>
  <c r="AE166" i="9"/>
  <c r="H166" i="5"/>
  <c r="J68" i="5"/>
  <c r="AG68" i="9"/>
  <c r="I68" i="5" s="1"/>
  <c r="F67" i="5"/>
  <c r="AD67" i="9"/>
  <c r="E67" i="5" s="1"/>
  <c r="F208" i="5"/>
  <c r="AD208" i="9"/>
  <c r="E208" i="5" s="1"/>
  <c r="L186" i="5"/>
  <c r="AM186" i="9"/>
  <c r="K186" i="5" s="1"/>
  <c r="L69" i="5"/>
  <c r="AM69" i="9"/>
  <c r="K69" i="5" s="1"/>
  <c r="H123" i="5"/>
  <c r="AE123" i="9"/>
  <c r="G123" i="5" s="1"/>
  <c r="AD220" i="9"/>
  <c r="F220" i="5"/>
  <c r="AM191" i="9"/>
  <c r="K191" i="5" s="1"/>
  <c r="L191" i="5"/>
  <c r="H103" i="5"/>
  <c r="AE103" i="9"/>
  <c r="G103" i="5" s="1"/>
  <c r="H120" i="5"/>
  <c r="AE120" i="9"/>
  <c r="G120" i="5" s="1"/>
  <c r="AE235" i="9"/>
  <c r="G235" i="5" s="1"/>
  <c r="H235" i="5"/>
  <c r="J14" i="5"/>
  <c r="AG14" i="9"/>
  <c r="I14" i="5" s="1"/>
  <c r="L86" i="5"/>
  <c r="AM86" i="9"/>
  <c r="K86" i="5" s="1"/>
  <c r="J108" i="5"/>
  <c r="AG108" i="9"/>
  <c r="I108" i="5" s="1"/>
  <c r="H105" i="5"/>
  <c r="AE105" i="9"/>
  <c r="G105" i="5" s="1"/>
  <c r="F41" i="5"/>
  <c r="AD41" i="9"/>
  <c r="E41" i="5" s="1"/>
  <c r="H250" i="5"/>
  <c r="AE250" i="9"/>
  <c r="G250" i="5" s="1"/>
  <c r="H159" i="5"/>
  <c r="AE159" i="9"/>
  <c r="G159" i="5" s="1"/>
  <c r="J144" i="5"/>
  <c r="AG144" i="9"/>
  <c r="I144" i="5" s="1"/>
  <c r="L97" i="5"/>
  <c r="AM97" i="9"/>
  <c r="K97" i="5" s="1"/>
  <c r="L111" i="5"/>
  <c r="AM111" i="9"/>
  <c r="K111" i="5" s="1"/>
  <c r="L95" i="5"/>
  <c r="AM95" i="9"/>
  <c r="K95" i="5" s="1"/>
  <c r="AE96" i="9"/>
  <c r="G96" i="5" s="1"/>
  <c r="H96" i="5"/>
  <c r="H66" i="5"/>
  <c r="AE66" i="9"/>
  <c r="G66" i="5" s="1"/>
  <c r="H58" i="5"/>
  <c r="AE58" i="9"/>
  <c r="G58" i="5" s="1"/>
  <c r="J174" i="5"/>
  <c r="AG174" i="9"/>
  <c r="I174" i="5" s="1"/>
  <c r="AD87" i="9"/>
  <c r="E87" i="5" s="1"/>
  <c r="F87" i="5"/>
  <c r="J85" i="5"/>
  <c r="AG85" i="9"/>
  <c r="I85" i="5" s="1"/>
  <c r="F12" i="5"/>
  <c r="AD12" i="9"/>
  <c r="E12" i="5" s="1"/>
  <c r="J245" i="5"/>
  <c r="AG245" i="9"/>
  <c r="I245" i="5" s="1"/>
  <c r="H55" i="5"/>
  <c r="AE55" i="9"/>
  <c r="G55" i="5" s="1"/>
  <c r="J147" i="5"/>
  <c r="AG147" i="9"/>
  <c r="I147" i="5" s="1"/>
  <c r="AG37" i="9"/>
  <c r="I37" i="5" s="1"/>
  <c r="J37" i="5"/>
  <c r="H126" i="5"/>
  <c r="AE126" i="9"/>
  <c r="G126" i="5" s="1"/>
  <c r="AM179" i="9"/>
  <c r="K179" i="5" s="1"/>
  <c r="L179" i="5"/>
  <c r="J131" i="5"/>
  <c r="AG131" i="9"/>
  <c r="I131" i="5" s="1"/>
  <c r="H242" i="5"/>
  <c r="AE242" i="9"/>
  <c r="G242" i="5" s="1"/>
  <c r="J209" i="5"/>
  <c r="AG209" i="9"/>
  <c r="I209" i="5" s="1"/>
  <c r="L197" i="5"/>
  <c r="AM197" i="9"/>
  <c r="K197" i="5" s="1"/>
  <c r="J29" i="5"/>
  <c r="AG29" i="9"/>
  <c r="I29" i="5" s="1"/>
  <c r="H177" i="5"/>
  <c r="AE177" i="9"/>
  <c r="G177" i="5" s="1"/>
  <c r="J212" i="5"/>
  <c r="AG212" i="9"/>
  <c r="I212" i="5" s="1"/>
  <c r="AG62" i="9"/>
  <c r="I62" i="5" s="1"/>
  <c r="J62" i="5"/>
  <c r="F199" i="5"/>
  <c r="AD199" i="9"/>
  <c r="E199" i="5" s="1"/>
  <c r="L233" i="5"/>
  <c r="AM233" i="9"/>
  <c r="K233" i="5" s="1"/>
  <c r="AD226" i="9"/>
  <c r="E226" i="5" s="1"/>
  <c r="F226" i="5"/>
  <c r="F225" i="5"/>
  <c r="AD225" i="9"/>
  <c r="E225" i="5" s="1"/>
  <c r="AG135" i="9"/>
  <c r="I135" i="5" s="1"/>
  <c r="J135" i="5"/>
  <c r="AG182" i="9"/>
  <c r="I182" i="5" s="1"/>
  <c r="J182" i="5"/>
  <c r="F193" i="5"/>
  <c r="AD193" i="9"/>
  <c r="E193" i="5" s="1"/>
  <c r="F189" i="5"/>
  <c r="AD189" i="9"/>
  <c r="E189" i="5" s="1"/>
  <c r="H185" i="5"/>
  <c r="AE185" i="9"/>
  <c r="G185" i="5" s="1"/>
  <c r="J170" i="5"/>
  <c r="AG170" i="9"/>
  <c r="I170" i="5" s="1"/>
  <c r="AE158" i="9"/>
  <c r="G158" i="5" s="1"/>
  <c r="H158" i="5"/>
  <c r="AG162" i="9"/>
  <c r="I162" i="5" s="1"/>
  <c r="J162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1" i="9"/>
  <c r="E251" i="5" s="1"/>
  <c r="F251" i="5"/>
  <c r="J138" i="5"/>
  <c r="AG138" i="9"/>
  <c r="I138" i="5" s="1"/>
  <c r="J125" i="5"/>
  <c r="AG125" i="9"/>
  <c r="I125" i="5" s="1"/>
  <c r="AG61" i="9"/>
  <c r="I61" i="5" s="1"/>
  <c r="J61" i="5"/>
  <c r="AM89" i="9"/>
  <c r="K89" i="5" s="1"/>
  <c r="L89" i="5"/>
  <c r="L28" i="5"/>
  <c r="AM28" i="9"/>
  <c r="K28" i="5" s="1"/>
  <c r="F136" i="5"/>
  <c r="AD136" i="9"/>
  <c r="E136" i="5" s="1"/>
  <c r="F223" i="5"/>
  <c r="AD223" i="9"/>
  <c r="E223" i="5" s="1"/>
  <c r="J132" i="5"/>
  <c r="AG132" i="9"/>
  <c r="I132" i="5" s="1"/>
  <c r="AG17" i="9"/>
  <c r="I17" i="5" s="1"/>
  <c r="J17" i="5"/>
  <c r="J181" i="5"/>
  <c r="AG181" i="9"/>
  <c r="I181" i="5" s="1"/>
  <c r="J216" i="5"/>
  <c r="AG216" i="9"/>
  <c r="I216" i="5" s="1"/>
  <c r="H161" i="5"/>
  <c r="AE161" i="9"/>
  <c r="G161" i="5" s="1"/>
  <c r="J190" i="5"/>
  <c r="AG190" i="9"/>
  <c r="I190" i="5" s="1"/>
  <c r="H101" i="5"/>
  <c r="AE101" i="9"/>
  <c r="G101" i="5" s="1"/>
  <c r="F121" i="5"/>
  <c r="AD121" i="9"/>
  <c r="E121" i="5" s="1"/>
  <c r="J21" i="5"/>
  <c r="AG21" i="9"/>
  <c r="I21" i="5" s="1"/>
  <c r="L202" i="5"/>
  <c r="AM202" i="9"/>
  <c r="K202" i="5" s="1"/>
  <c r="AG33" i="9"/>
  <c r="I33" i="5" s="1"/>
  <c r="J33" i="5"/>
  <c r="H247" i="5"/>
  <c r="AE247" i="9"/>
  <c r="G247" i="5" s="1"/>
  <c r="F75" i="5"/>
  <c r="AD75" i="9"/>
  <c r="E75" i="5" s="1"/>
  <c r="F219" i="5"/>
  <c r="AD219" i="9"/>
  <c r="E219" i="5" s="1"/>
  <c r="F92" i="5"/>
  <c r="AD92" i="9"/>
  <c r="E92" i="5" s="1"/>
  <c r="J221" i="5"/>
  <c r="AG221" i="9"/>
  <c r="AM171" i="9"/>
  <c r="K171" i="5" s="1"/>
  <c r="L171" i="5"/>
  <c r="J248" i="5"/>
  <c r="AG248" i="9"/>
  <c r="I248" i="5" s="1"/>
  <c r="F32" i="5"/>
  <c r="AD32" i="9"/>
  <c r="E32" i="5" s="1"/>
  <c r="J10" i="5"/>
  <c r="AG10" i="9"/>
  <c r="I10" i="5" s="1"/>
  <c r="J84" i="5"/>
  <c r="AG84" i="9"/>
  <c r="I84" i="5" s="1"/>
  <c r="AG186" i="9"/>
  <c r="I186" i="5" s="1"/>
  <c r="J186" i="5"/>
  <c r="L146" i="5"/>
  <c r="AM146" i="9"/>
  <c r="K146" i="5" s="1"/>
  <c r="I7" i="8"/>
  <c r="L184" i="5"/>
  <c r="AM184" i="9"/>
  <c r="J142" i="5"/>
  <c r="AG142" i="9"/>
  <c r="I142" i="5" s="1"/>
  <c r="F111" i="5"/>
  <c r="AD111" i="9"/>
  <c r="E111" i="5" s="1"/>
  <c r="J112" i="5"/>
  <c r="AG112" i="9"/>
  <c r="I112" i="5" s="1"/>
  <c r="H200" i="5"/>
  <c r="AE200" i="9"/>
  <c r="G200" i="5" s="1"/>
  <c r="F194" i="5"/>
  <c r="AD194" i="9"/>
  <c r="E194" i="5" s="1"/>
  <c r="L234" i="5"/>
  <c r="AM234" i="9"/>
  <c r="K234" i="5" s="1"/>
  <c r="J88" i="5"/>
  <c r="AG88" i="9"/>
  <c r="I88" i="5" s="1"/>
  <c r="F188" i="5"/>
  <c r="AD188" i="9"/>
  <c r="E188" i="5" s="1"/>
  <c r="L213" i="5"/>
  <c r="AM213" i="9"/>
  <c r="K213" i="5" s="1"/>
  <c r="F22" i="5"/>
  <c r="AD22" i="9"/>
  <c r="E22" i="5" s="1"/>
  <c r="J153" i="5"/>
  <c r="AG153" i="9"/>
  <c r="I153" i="5" s="1"/>
  <c r="H24" i="5"/>
  <c r="AE24" i="9"/>
  <c r="G24" i="5" s="1"/>
  <c r="AD122" i="9"/>
  <c r="E122" i="5" s="1"/>
  <c r="F122" i="5"/>
  <c r="J148" i="5"/>
  <c r="AG148" i="9"/>
  <c r="I148" i="5" s="1"/>
  <c r="AM129" i="9"/>
  <c r="K129" i="5" s="1"/>
  <c r="L129" i="5"/>
  <c r="AM25" i="9"/>
  <c r="K25" i="5" s="1"/>
  <c r="L25" i="5"/>
  <c r="L77" i="5"/>
  <c r="AM77" i="9"/>
  <c r="K77" i="5" s="1"/>
  <c r="AG230" i="9"/>
  <c r="I230" i="5" s="1"/>
  <c r="J230" i="5"/>
  <c r="AM44" i="9"/>
  <c r="K44" i="5" s="1"/>
  <c r="L44" i="5"/>
  <c r="H140" i="5"/>
  <c r="AE140" i="9"/>
  <c r="G140" i="5" s="1"/>
  <c r="J206" i="5"/>
  <c r="AG206" i="9"/>
  <c r="I206" i="5" s="1"/>
  <c r="L83" i="5"/>
  <c r="AM83" i="9"/>
  <c r="K83" i="5" s="1"/>
  <c r="J192" i="5"/>
  <c r="AG192" i="9"/>
  <c r="I192" i="5" s="1"/>
  <c r="H145" i="5"/>
  <c r="AE145" i="9"/>
  <c r="G145" i="5" s="1"/>
  <c r="H59" i="5"/>
  <c r="AE59" i="9"/>
  <c r="G59" i="5" s="1"/>
  <c r="H246" i="5"/>
  <c r="AE246" i="9"/>
  <c r="G246" i="5" s="1"/>
  <c r="AG103" i="9"/>
  <c r="I103" i="5" s="1"/>
  <c r="J103" i="5"/>
  <c r="F235" i="5"/>
  <c r="AD235" i="9"/>
  <c r="E235" i="5" s="1"/>
  <c r="F14" i="5"/>
  <c r="AD14" i="9"/>
  <c r="E14" i="5" s="1"/>
  <c r="J86" i="5"/>
  <c r="AG86" i="9"/>
  <c r="I86" i="5" s="1"/>
  <c r="J105" i="5"/>
  <c r="AG105" i="9"/>
  <c r="I105" i="5" s="1"/>
  <c r="L250" i="5"/>
  <c r="AM250" i="9"/>
  <c r="K250" i="5" s="1"/>
  <c r="J196" i="5"/>
  <c r="AG196" i="9"/>
  <c r="I196" i="5" s="1"/>
  <c r="J113" i="5"/>
  <c r="AG113" i="9"/>
  <c r="I113" i="5" s="1"/>
  <c r="AG66" i="9"/>
  <c r="I66" i="5" s="1"/>
  <c r="J66" i="5"/>
  <c r="H174" i="5"/>
  <c r="AE174" i="9"/>
  <c r="G174" i="5" s="1"/>
  <c r="H12" i="5"/>
  <c r="AE12" i="9"/>
  <c r="G12" i="5" s="1"/>
  <c r="F37" i="5"/>
  <c r="AD37" i="9"/>
  <c r="E37" i="5" s="1"/>
  <c r="AG187" i="9"/>
  <c r="I187" i="5" s="1"/>
  <c r="J187" i="5"/>
  <c r="F29" i="5"/>
  <c r="AD29" i="9"/>
  <c r="E29" i="5" s="1"/>
  <c r="H212" i="5"/>
  <c r="AE212" i="9"/>
  <c r="G212" i="5" s="1"/>
  <c r="J199" i="5"/>
  <c r="AG199" i="9"/>
  <c r="I199" i="5" s="1"/>
  <c r="AE51" i="9"/>
  <c r="G51" i="5" s="1"/>
  <c r="H51" i="5"/>
  <c r="H182" i="5"/>
  <c r="AE182" i="9"/>
  <c r="G182" i="5" s="1"/>
  <c r="AG157" i="9"/>
  <c r="I157" i="5" s="1"/>
  <c r="J157" i="5"/>
  <c r="H238" i="5"/>
  <c r="AE238" i="9"/>
  <c r="G238" i="5" s="1"/>
  <c r="J201" i="5"/>
  <c r="AG201" i="9"/>
  <c r="I201" i="5" s="1"/>
  <c r="J141" i="5"/>
  <c r="AG141" i="9"/>
  <c r="I141" i="5" s="1"/>
  <c r="H49" i="5"/>
  <c r="AE49" i="9"/>
  <c r="G49" i="5" s="1"/>
  <c r="J90" i="5"/>
  <c r="AG90" i="9"/>
  <c r="I90" i="5" s="1"/>
  <c r="L79" i="5"/>
  <c r="AM79" i="9"/>
  <c r="K79" i="5" s="1"/>
  <c r="AE210" i="9"/>
  <c r="G210" i="5" s="1"/>
  <c r="H210" i="5"/>
  <c r="J215" i="5"/>
  <c r="AG215" i="9"/>
  <c r="I215" i="5" s="1"/>
  <c r="H211" i="5"/>
  <c r="AE211" i="9"/>
  <c r="G211" i="5" s="1"/>
  <c r="J151" i="5"/>
  <c r="AG151" i="9"/>
  <c r="I151" i="5" s="1"/>
  <c r="F82" i="5"/>
  <c r="AD82" i="9"/>
  <c r="E82" i="5" s="1"/>
  <c r="F78" i="5"/>
  <c r="AD78" i="9"/>
  <c r="E78" i="5" s="1"/>
  <c r="AM231" i="9"/>
  <c r="K231" i="5" s="1"/>
  <c r="L231" i="5"/>
  <c r="F224" i="5"/>
  <c r="AD224" i="9"/>
  <c r="E224" i="5" s="1"/>
  <c r="H223" i="5"/>
  <c r="AE223" i="9"/>
  <c r="G223" i="5" s="1"/>
  <c r="L132" i="5"/>
  <c r="AM132" i="9"/>
  <c r="K132" i="5" s="1"/>
  <c r="L17" i="5"/>
  <c r="AM17" i="9"/>
  <c r="K17" i="5" s="1"/>
  <c r="J80" i="5"/>
  <c r="AG80" i="9"/>
  <c r="I80" i="5" s="1"/>
  <c r="H216" i="5"/>
  <c r="AE216" i="9"/>
  <c r="G216" i="5" s="1"/>
  <c r="J161" i="5"/>
  <c r="AG161" i="9"/>
  <c r="I161" i="5" s="1"/>
  <c r="AM190" i="9"/>
  <c r="K190" i="5" s="1"/>
  <c r="L190" i="5"/>
  <c r="F101" i="5"/>
  <c r="AD101" i="9"/>
  <c r="E101" i="5" s="1"/>
  <c r="J167" i="5"/>
  <c r="AG167" i="9"/>
  <c r="I167" i="5" s="1"/>
  <c r="J176" i="5"/>
  <c r="AG176" i="9"/>
  <c r="I176" i="5" s="1"/>
  <c r="H205" i="5"/>
  <c r="AE205" i="9"/>
  <c r="G205" i="5" s="1"/>
  <c r="L247" i="5"/>
  <c r="AM247" i="9"/>
  <c r="K247" i="5" s="1"/>
  <c r="F173" i="5"/>
  <c r="AD173" i="9"/>
  <c r="E173" i="5" s="1"/>
  <c r="H234" i="5"/>
  <c r="AE234" i="9"/>
  <c r="G234" i="5" s="1"/>
  <c r="J94" i="5"/>
  <c r="AG94" i="9"/>
  <c r="I94" i="5" s="1"/>
  <c r="L88" i="5"/>
  <c r="AM88" i="9"/>
  <c r="K88" i="5" s="1"/>
  <c r="AM188" i="9"/>
  <c r="K188" i="5" s="1"/>
  <c r="L188" i="5"/>
  <c r="AM45" i="9"/>
  <c r="K45" i="5" s="1"/>
  <c r="L45" i="5"/>
  <c r="J73" i="5"/>
  <c r="AG73" i="9"/>
  <c r="I73" i="5" s="1"/>
  <c r="F213" i="5"/>
  <c r="AD213" i="9"/>
  <c r="E213" i="5" s="1"/>
  <c r="AM241" i="9"/>
  <c r="K241" i="5" s="1"/>
  <c r="L241" i="5"/>
  <c r="H253" i="5"/>
  <c r="AE253" i="9"/>
  <c r="G253" i="5" s="1"/>
  <c r="J93" i="5"/>
  <c r="AG93" i="9"/>
  <c r="I93" i="5" s="1"/>
  <c r="AM92" i="9"/>
  <c r="K92" i="5" s="1"/>
  <c r="L92" i="5"/>
  <c r="J228" i="5"/>
  <c r="AG228" i="9"/>
  <c r="I228" i="5" s="1"/>
  <c r="J214" i="5"/>
  <c r="AG214" i="9"/>
  <c r="I214" i="5" s="1"/>
  <c r="H11" i="5"/>
  <c r="AE11" i="9"/>
  <c r="G11" i="5" s="1"/>
  <c r="AG122" i="9"/>
  <c r="I122" i="5" s="1"/>
  <c r="J122" i="5"/>
  <c r="L252" i="5"/>
  <c r="AM252" i="9"/>
  <c r="K252" i="5" s="1"/>
  <c r="F178" i="5"/>
  <c r="AD178" i="9"/>
  <c r="E178" i="5" s="1"/>
  <c r="AE156" i="9"/>
  <c r="G156" i="5" s="1"/>
  <c r="H156" i="5"/>
  <c r="H102" i="5"/>
  <c r="AE102" i="9"/>
  <c r="G102" i="5" s="1"/>
  <c r="J171" i="5"/>
  <c r="AG171" i="9"/>
  <c r="I171" i="5" s="1"/>
  <c r="F48" i="5"/>
  <c r="AD48" i="9"/>
  <c r="E48" i="5" s="1"/>
  <c r="H19" i="5"/>
  <c r="AE19" i="9"/>
  <c r="G19" i="5" s="1"/>
  <c r="F248" i="5"/>
  <c r="AD248" i="9"/>
  <c r="E248" i="5" s="1"/>
  <c r="H109" i="5"/>
  <c r="AE109" i="9"/>
  <c r="G109" i="5" s="1"/>
  <c r="H56" i="5"/>
  <c r="AE56" i="9"/>
  <c r="G56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5" i="5"/>
  <c r="AE165" i="9"/>
  <c r="G165" i="5" s="1"/>
  <c r="AE152" i="9"/>
  <c r="G152" i="5" s="1"/>
  <c r="H152" i="5"/>
  <c r="J31" i="5"/>
  <c r="AG31" i="9"/>
  <c r="I31" i="5" s="1"/>
  <c r="H84" i="5"/>
  <c r="AE84" i="9"/>
  <c r="G84" i="5" s="1"/>
  <c r="AM166" i="9"/>
  <c r="L166" i="5"/>
  <c r="F68" i="5"/>
  <c r="AD68" i="9"/>
  <c r="E68" i="5" s="1"/>
  <c r="L67" i="5"/>
  <c r="AM67" i="9"/>
  <c r="K67" i="5" s="1"/>
  <c r="H208" i="5"/>
  <c r="AE208" i="9"/>
  <c r="G208" i="5" s="1"/>
  <c r="H186" i="5"/>
  <c r="AE186" i="9"/>
  <c r="G186" i="5" s="1"/>
  <c r="J69" i="5"/>
  <c r="AG69" i="9"/>
  <c r="I69" i="5" s="1"/>
  <c r="F123" i="5"/>
  <c r="AD123" i="9"/>
  <c r="E123" i="5" s="1"/>
  <c r="H220" i="5"/>
  <c r="AE220" i="9"/>
  <c r="F191" i="5"/>
  <c r="AD191" i="9"/>
  <c r="E191" i="5" s="1"/>
  <c r="AM103" i="9"/>
  <c r="K103" i="5" s="1"/>
  <c r="L103" i="5"/>
  <c r="F120" i="5"/>
  <c r="AD120" i="9"/>
  <c r="E120" i="5" s="1"/>
  <c r="L235" i="5"/>
  <c r="AM235" i="9"/>
  <c r="K235" i="5" s="1"/>
  <c r="L14" i="5"/>
  <c r="AM14" i="9"/>
  <c r="K14" i="5" s="1"/>
  <c r="F86" i="5"/>
  <c r="AD86" i="9"/>
  <c r="E86" i="5" s="1"/>
  <c r="F108" i="5"/>
  <c r="AD108" i="9"/>
  <c r="E108" i="5" s="1"/>
  <c r="F105" i="5"/>
  <c r="AD105" i="9"/>
  <c r="E105" i="5" s="1"/>
  <c r="AM41" i="9"/>
  <c r="K41" i="5" s="1"/>
  <c r="L41" i="5"/>
  <c r="AE30" i="9"/>
  <c r="G30" i="5" s="1"/>
  <c r="H30" i="5"/>
  <c r="J159" i="5"/>
  <c r="AG159" i="9"/>
  <c r="I159" i="5" s="1"/>
  <c r="H144" i="5"/>
  <c r="AE144" i="9"/>
  <c r="G144" i="5" s="1"/>
  <c r="J97" i="5"/>
  <c r="AG97" i="9"/>
  <c r="I97" i="5" s="1"/>
  <c r="AG111" i="9"/>
  <c r="I111" i="5" s="1"/>
  <c r="J111" i="5"/>
  <c r="H95" i="5"/>
  <c r="AE95" i="9"/>
  <c r="G95" i="5" s="1"/>
  <c r="AM96" i="9"/>
  <c r="K96" i="5" s="1"/>
  <c r="L96" i="5"/>
  <c r="F66" i="5"/>
  <c r="AD66" i="9"/>
  <c r="E66" i="5" s="1"/>
  <c r="J58" i="5"/>
  <c r="AG58" i="9"/>
  <c r="I58" i="5" s="1"/>
  <c r="L174" i="5"/>
  <c r="AM174" i="9"/>
  <c r="K174" i="5" s="1"/>
  <c r="J87" i="5"/>
  <c r="AG87" i="9"/>
  <c r="I87" i="5" s="1"/>
  <c r="H85" i="5"/>
  <c r="AE85" i="9"/>
  <c r="G85" i="5" s="1"/>
  <c r="L50" i="5"/>
  <c r="AM50" i="9"/>
  <c r="K50" i="5" s="1"/>
  <c r="J139" i="5"/>
  <c r="AG139" i="9"/>
  <c r="I139" i="5" s="1"/>
  <c r="H164" i="5"/>
  <c r="AE164" i="9"/>
  <c r="G164" i="5" s="1"/>
  <c r="H133" i="5"/>
  <c r="AE133" i="9"/>
  <c r="G133" i="5" s="1"/>
  <c r="F236" i="5"/>
  <c r="AD236" i="9"/>
  <c r="E236" i="5" s="1"/>
  <c r="F237" i="5"/>
  <c r="AD237" i="9"/>
  <c r="E237" i="5" s="1"/>
  <c r="J106" i="5"/>
  <c r="AG106" i="9"/>
  <c r="I106" i="5" s="1"/>
  <c r="AG74" i="9"/>
  <c r="I74" i="5" s="1"/>
  <c r="J74" i="5"/>
  <c r="F242" i="5"/>
  <c r="AD242" i="9"/>
  <c r="E242" i="5" s="1"/>
  <c r="F209" i="5"/>
  <c r="AD209" i="9"/>
  <c r="E209" i="5" s="1"/>
  <c r="AE197" i="9"/>
  <c r="G197" i="5" s="1"/>
  <c r="H197" i="5"/>
  <c r="L29" i="5"/>
  <c r="AM29" i="9"/>
  <c r="K29" i="5" s="1"/>
  <c r="AM177" i="9"/>
  <c r="K177" i="5" s="1"/>
  <c r="L177" i="5"/>
  <c r="F212" i="5"/>
  <c r="AD212" i="9"/>
  <c r="E212" i="5" s="1"/>
  <c r="H62" i="5"/>
  <c r="AE62" i="9"/>
  <c r="G62" i="5" s="1"/>
  <c r="L91" i="5"/>
  <c r="AM91" i="9"/>
  <c r="K91" i="5" s="1"/>
  <c r="J118" i="5"/>
  <c r="AG118" i="9"/>
  <c r="I118" i="5" s="1"/>
  <c r="H226" i="5"/>
  <c r="AE226" i="9"/>
  <c r="G226" i="5" s="1"/>
  <c r="J225" i="5"/>
  <c r="AG225" i="9"/>
  <c r="I225" i="5" s="1"/>
  <c r="AM135" i="9"/>
  <c r="K135" i="5" s="1"/>
  <c r="L135" i="5"/>
  <c r="F57" i="5"/>
  <c r="AD57" i="9"/>
  <c r="E57" i="5" s="1"/>
  <c r="F207" i="5"/>
  <c r="AD207" i="9"/>
  <c r="E207" i="5" s="1"/>
  <c r="AM189" i="9"/>
  <c r="K189" i="5" s="1"/>
  <c r="L189" i="5"/>
  <c r="J185" i="5"/>
  <c r="AG185" i="9"/>
  <c r="I185" i="5" s="1"/>
  <c r="F170" i="5"/>
  <c r="AD170" i="9"/>
  <c r="E170" i="5" s="1"/>
  <c r="F158" i="5"/>
  <c r="AD158" i="9"/>
  <c r="E158" i="5" s="1"/>
  <c r="H162" i="5"/>
  <c r="AE162" i="9"/>
  <c r="G162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1" i="9"/>
  <c r="K251" i="5" s="1"/>
  <c r="L251" i="5"/>
  <c r="H138" i="5"/>
  <c r="AE138" i="9"/>
  <c r="G138" i="5" s="1"/>
  <c r="L125" i="5"/>
  <c r="AM125" i="9"/>
  <c r="K125" i="5" s="1"/>
  <c r="H61" i="5"/>
  <c r="AE61" i="9"/>
  <c r="G61" i="5" s="1"/>
  <c r="F89" i="5"/>
  <c r="AD89" i="9"/>
  <c r="E89" i="5" s="1"/>
  <c r="J28" i="5"/>
  <c r="AG28" i="9"/>
  <c r="I28" i="5" s="1"/>
  <c r="AG136" i="9"/>
  <c r="I136" i="5" s="1"/>
  <c r="J136" i="5"/>
  <c r="L223" i="5"/>
  <c r="AM223" i="9"/>
  <c r="K223" i="5" s="1"/>
  <c r="F132" i="5"/>
  <c r="AD132" i="9"/>
  <c r="E132" i="5" s="1"/>
  <c r="F154" i="5"/>
  <c r="AD154" i="9"/>
  <c r="E154" i="5" s="1"/>
  <c r="AD181" i="9"/>
  <c r="E181" i="5" s="1"/>
  <c r="F181" i="5"/>
  <c r="J71" i="5"/>
  <c r="AG71" i="9"/>
  <c r="I71" i="5" s="1"/>
  <c r="AM34" i="9"/>
  <c r="K34" i="5" s="1"/>
  <c r="L34" i="5"/>
  <c r="L112" i="5"/>
  <c r="AM112" i="9"/>
  <c r="K112" i="5" s="1"/>
  <c r="F232" i="5"/>
  <c r="AD232" i="9"/>
  <c r="E232" i="5" s="1"/>
  <c r="H121" i="5"/>
  <c r="AE121" i="9"/>
  <c r="G121" i="5" s="1"/>
  <c r="F21" i="5"/>
  <c r="AD21" i="9"/>
  <c r="E21" i="5" s="1"/>
  <c r="AD202" i="9"/>
  <c r="E202" i="5" s="1"/>
  <c r="F202" i="5"/>
  <c r="F33" i="5"/>
  <c r="AD33" i="9"/>
  <c r="E33" i="5" s="1"/>
  <c r="C7" i="8" l="1"/>
  <c r="G6" i="8"/>
  <c r="I6" i="8"/>
  <c r="C6" i="8"/>
  <c r="C257" i="10" s="1"/>
  <c r="D257" i="10" s="1"/>
  <c r="E7" i="8"/>
  <c r="J53" i="5"/>
  <c r="AD53" i="9"/>
  <c r="E53" i="5" s="1"/>
  <c r="AM53" i="9"/>
  <c r="K53" i="5" s="1"/>
  <c r="AE54" i="9"/>
  <c r="G54" i="5" s="1"/>
  <c r="H53" i="5"/>
  <c r="L54" i="5"/>
  <c r="J54" i="5"/>
  <c r="AD54" i="9"/>
  <c r="E54" i="5" s="1"/>
  <c r="G40" i="5"/>
  <c r="G39" i="5"/>
  <c r="E40" i="5"/>
  <c r="E39" i="5"/>
  <c r="I39" i="5"/>
  <c r="J253" i="5"/>
  <c r="F253" i="5"/>
  <c r="AM253" i="9"/>
  <c r="K253" i="5" s="1"/>
  <c r="D20" i="14"/>
  <c r="D25" i="14" s="1"/>
  <c r="D33" i="14" s="1"/>
  <c r="K204" i="5"/>
  <c r="H8" i="8"/>
  <c r="G220" i="5"/>
  <c r="D8" i="8"/>
  <c r="I221" i="5"/>
  <c r="F9" i="8"/>
  <c r="E220" i="5"/>
  <c r="B8" i="8"/>
  <c r="I220" i="5"/>
  <c r="F8" i="8"/>
  <c r="G221" i="5"/>
  <c r="D9" i="8"/>
  <c r="E221" i="5"/>
  <c r="B9" i="8"/>
  <c r="C271" i="10"/>
  <c r="D271" i="10" s="1"/>
  <c r="C266" i="10"/>
  <c r="D266" i="10" s="1"/>
  <c r="C262" i="10"/>
  <c r="D262" i="10" s="1"/>
  <c r="G38" i="5"/>
  <c r="D7" i="8"/>
  <c r="E38" i="5"/>
  <c r="B7" i="8"/>
  <c r="I38" i="5"/>
  <c r="F7" i="8"/>
  <c r="K166" i="5"/>
  <c r="G166" i="5"/>
  <c r="D6" i="8"/>
  <c r="I166" i="5"/>
  <c r="F6" i="8"/>
  <c r="E166" i="5"/>
  <c r="B6" i="8"/>
  <c r="K184" i="5"/>
  <c r="C265" i="10" l="1"/>
  <c r="D265" i="10" s="1"/>
  <c r="C258" i="10"/>
  <c r="D258" i="10" s="1"/>
  <c r="C269" i="10"/>
  <c r="D269" i="10" s="1"/>
  <c r="C259" i="10"/>
  <c r="D259" i="10" s="1"/>
  <c r="C268" i="10"/>
  <c r="D268" i="10" s="1"/>
  <c r="C267" i="10"/>
  <c r="D267" i="10" s="1"/>
  <c r="C260" i="10"/>
  <c r="D260" i="10" s="1"/>
  <c r="C270" i="10"/>
  <c r="D270" i="10" s="1"/>
  <c r="C264" i="10"/>
  <c r="D264" i="10" s="1"/>
  <c r="C261" i="10"/>
  <c r="D261" i="10" s="1"/>
  <c r="C263" i="10"/>
  <c r="D263" i="10" s="1"/>
  <c r="H7" i="8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tc={35E9638A-0C90-4D0F-B5E5-87028092C31A}</author>
    <author>tc={E2B4C7AA-0613-4278-92E5-AF6CB8926D2A}</author>
  </authors>
  <commentList>
    <comment ref="K48" authorId="0" shapeId="0" xr:uid="{35E9638A-0C90-4D0F-B5E5-87028092C31A}">
      <text>
        <t>[Threaded comment]
Your version of Excel allows you to read this threaded comment; however, any edits to it will get removed if the file is opened in a newer version of Excel. Learn more: https://go.microsoft.com/fwlink/?linkid=870924
Comment:
    Systems linked to BSHN07 to show on Crown, but cover mulitple rooms so cooling doesn't work out</t>
      </text>
    </comment>
    <comment ref="K197" authorId="1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tc={B799F618-5653-40D1-912C-29E767505283}</author>
    <author>tc={E9489508-5701-456A-97D9-662D462EABD8}</author>
    <author>tc={322D4069-AA02-42AB-B193-3F9C6B4B4E9C}</author>
    <author>tc={866D5FAD-2F78-439B-A957-692556D44432}</author>
    <author>tc={5794F8ED-754E-41CB-8FC5-E679EE746B43}</author>
    <author>tc={DE518FBD-AFA3-47F9-B250-89BE63A2DEDB}</author>
    <author>tc={A3B9B200-EF4E-4DA9-BFE7-1A921E1FBC65}</author>
    <author>tc={464B4156-14C7-48BC-B356-F04F700678DA}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tc={0B0EE341-11DE-4BC8-88FF-6C75B556D925}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tc={BC746B48-A3B0-41E6-A65F-BF3D787A4851}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tc={8D579D89-C061-4CBE-92C4-9F725FBDBDA1}</author>
    <author>tc={3057499C-D80B-48EF-AA59-AD58526FFB51}</author>
    <author>tc={D844858F-0605-4FDD-AF40-DFDED6DD3F77}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tc={22B86E6A-F218-4B87-92FF-1AE0202B69E8}</author>
    <author>tc={F68256EF-317F-4EA4-9D67-CF4F17ED683C}</author>
    <author>tc={3CDE350D-AADF-40E5-A33C-2CBE733FD82B}</author>
    <author>tc={3B8167EC-FB4E-444C-9D05-D21E111720F0}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tc={21277964-AF7F-4C52-92FF-4651E5754EDE}</author>
    <author>tc={C13D477D-0663-4641-A7F1-723929696CC7}</author>
    <author>tc={1DD6DA1A-ED11-4C31-BB28-D77457AD9E33}</author>
    <author>tc={ABA34852-E2C6-47EA-9ACB-285C172E1F30}</author>
    <author>tc={C3ADAB3A-7D5F-459B-A5BA-82726305D972}</author>
    <author>tc={1828534A-FB48-4B2D-BCB3-3F97F0AA67C4}</author>
    <author>tc={6E7BE9F4-725B-423A-87CD-4FB20962D753}</author>
    <author>tc={8C99A49F-8782-4256-BFAD-4627AB00E89F}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tc={1AC90AB7-4F98-4017-AF84-3A59288D51BC}</author>
    <author>tc={75D88D1E-F0F2-4678-A5C0-4A981D498B56}</author>
    <author>tc={B8F5A2D6-F275-4883-B3A5-B52CFE741476}</author>
    <author>tc={62E82C51-23B1-49EA-A2FA-62AC00E855E8}</author>
    <author>tc={489A018B-7735-40CF-B751-155E579DBFAB}</author>
    <author>tc={AE85584D-1ACE-4122-86C1-CECF9F11B3EA}</author>
    <author>tc={CCA61A88-EC1B-455B-9948-2CF283D39C8C}</author>
    <author>tc={0D1A177B-103D-475B-9131-43CDE1DBA706}</author>
    <author>tc={8F805418-C919-4C2C-9AA9-091E2D380BB1}</author>
    <author>tc={B31DCD22-756B-4DC1-A410-EC88E314F3A6}</author>
    <author>tc={CC86A1A4-D724-4AC5-88FE-735763E2EF99}</author>
    <author>tc={12D27023-02DC-457D-B546-08A74FCB015E}</author>
    <author>tc={0FEF28DC-B3DA-4090-B6CC-7DD3DE77F2D9}</author>
    <author>tc={7A149BE2-A166-4AF7-8C7F-E1EA26D67C9C}</author>
    <author>tc={9627AEB7-48D8-4567-9699-D77E88AA0208}</author>
    <author>tc={873D90AC-3037-4314-8BC6-F6F5E5DF6860}</author>
    <author>tc={35BCA058-C988-4707-B96B-3C571501E65F}</author>
    <author>tc={258DBC26-043B-42A1-BEC6-BE5575670661}</author>
    <author>tc={6BEE253A-7840-4C23-B4EA-7A303AB27199}</author>
    <author>tc={7722FFD4-11AC-4A11-93CE-AE539F441C36}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tc={F7A8451C-45B3-4E8D-9806-EA2831C107B4}</author>
    <author>tc={433C9ADD-0041-4FDA-98B6-A91D03802C35}</author>
    <author>tc={346FE4A6-4102-4F5B-952A-CCC1964837DC}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tc={170649B7-93C9-411A-971C-0F944A2EC56C}</author>
    <author>tc={0D9E80B9-C964-415F-B400-8382240C7015}</author>
    <author>tc={D29EFAB7-60EB-4290-AD26-0D1ED4BBD0F2}</author>
    <author>tc={96C9906F-33AC-4AEA-AEF0-CA08C2DA0515}</author>
    <author>tc={CF8B47B3-9169-4969-8215-7AE3E95CB53F}</author>
    <author>tc={35BF8656-A402-4A0D-9035-A106D84E4629}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tc={C34C8E20-B6E6-4C64-B18C-573A59D1E089}</author>
    <author>tc={588B00FE-0E52-44E2-88FB-FFA43FFCCF30}</author>
    <author>tc={DF3E25C3-A370-4F91-AFF4-B71E067B9B70}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tc={5CAE69C5-D8D7-4986-A36D-5913A3907878}</author>
    <author>tc={18F4D1AC-AFA9-4FD1-8F83-C63943CFE4BF}</author>
    <author>tc={0F2B1766-1F97-4BDA-AEC2-CE0C7052B785}</author>
    <author>tc={EA040513-6BE5-4217-96A2-C4660F4AE60F}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tc={58E25DAF-DEE8-42E5-A78D-282646D3BA73}</author>
    <author>tc={D937C33F-3041-4695-AA0C-9A09F4755728}</author>
    <author>tc={63443C90-B22A-4EC0-8D73-F9E1EFE1BE30}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tc={6CDE8285-C462-4230-8892-D9B8E42C749B}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tc={7758C971-B3DD-41AC-9C00-7F528257CA73}</author>
    <author>tc={13FA675A-7E0F-4A17-BE63-093EC3A86618}</author>
    <author>tc={A1B60126-11E2-46B1-8A29-E6C018275447}</author>
    <author>tc={2519FDBC-DEF0-4DDD-A987-9C019E9F9A39}</author>
    <author>tc={E20022F0-85A2-47FF-8FFF-4E872759FBF6}</author>
    <author>tc={2B9D746C-4AF9-4178-B288-7DAFFE59C797}</author>
    <author>tc={EAC96642-6471-4529-B087-731946B27B4D}</author>
    <author>tc={2F304EBF-8130-4666-A22E-4EF5AC572A51}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tc={2E2245A7-D810-4643-81EC-95838D14346A}</author>
    <author>tc={6D908517-FF86-4611-A06A-2C94FB89B879}</author>
    <author>tc={18651EEE-19D0-4489-A6C0-A5F0E1480D5D}</author>
    <author>tc={AC641F5E-4A92-44F6-9008-D3C8D84D317A}</author>
    <author>tc={4B9C97E2-540A-418B-8AE6-1EF249874183}</author>
    <author>tc={2307D775-B2AA-438F-8CFC-6B5E4B08982F}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tc={9A69B2C4-C483-4F7F-8777-92A26DB017ED}</author>
    <author>tc={6B9D0745-A894-4D93-B16E-00F31EEDEB4E}</author>
    <author>tc={F59C7CCF-D919-44B6-9BA5-555EFC579D30}</author>
    <author>tc={3B03B372-6FC1-497E-B71C-CE467AD6DE39}</author>
    <author>tc={C3E6D4C4-93BB-437E-B3B7-397EEB202FF8}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tc={1320CD95-E0CD-4DE8-8ADE-F0D1D077B697}</author>
    <author>tc={CABBE1CA-C428-4216-A070-A7289BE740EB}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tc={3689783D-6573-45B5-9031-11205A199D83}</author>
    <author>tc={9BE858F5-D6ED-4133-9181-2F46EBBEA77C}</author>
    <author>tc={5DCCB260-FD64-4D67-8BCE-8B64FBEFE58C}</author>
    <author>tc={2A3326CB-D634-4DB9-81C6-9AB9C65BF961}</author>
    <author>tc={4C787568-7D07-4E05-B313-0E0721368BAF}</author>
    <author>tc={45A9F567-A4D0-48CC-94BC-750E36722776}</author>
    <author>tc={6F8BA170-4633-4B54-AE1E-3EBB661A9E85}</author>
    <author>tc={A0F279AE-C97A-4C73-9E93-A053F8DBAC7D}</author>
    <author>tc={3E5DA487-29F7-4ED6-AAE9-113F0A1142CC}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tc={2DD46D39-D7E7-41B0-8C3C-C668AA2B37A8}</author>
    <author>tc={E1FC815E-66C3-40B1-B590-C415DDF2D154}</author>
    <author>tc={050CB2F0-473E-4DF6-B217-95F525080D7F}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tc={AA256714-081A-400C-8E10-68D2D071FB8F}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
Reply:
    2.5kW allocation reduced due to live reading of 0.9KW
Reply:
    2.5kW allocation reduced due to live reading of 1.1KW
Reply:
    2.5kW allocation reduced due to live reading of 1.6KW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
Reply:
    4.25kW allocation reduced due to live reading of 1.2KW
Reply:
    4.25kW allocation reduced due to live reading of 1.3KW
Reply:
    4.25kW allocation reduced due to live reading of 1.5KW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2" authorId="8" shapeId="0" xr:uid="{B799F618-5653-40D1-912C-29E7675052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</text>
    </comment>
    <comment ref="J13" authorId="9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
Reply:
    2.5kW allocation reduced due to live reading of 2.2KW
Reply:
    2.5kW allocation reduced due to live reading of 2.1KW
Reply:
    2.5kW allocation reduced due to live reading of 1.5KW</t>
      </text>
    </comment>
    <comment ref="L13" authorId="10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
Reply:
    4.25kW allocation reduced due to live reading of 2.1KW
Reply:
    4.25kW allocation reduced due to live reading of 2.1KW
Reply:
    4.25kW allocation reduced due to live reading of 1.8KW</t>
      </text>
    </comment>
    <comment ref="N13" authorId="11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3" authorId="12" shapeId="0" xr:uid="{5794F8ED-754E-41CB-8FC5-E679EE746B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Under this ORMT_SAP_240904_13_W859570 allocated power 1KW </t>
      </text>
    </comment>
    <comment ref="J14" authorId="13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4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K21" authorId="15" shapeId="0" xr:uid="{464B4156-14C7-48BC-B356-F04F700678DA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L22" authorId="16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3.6KW</t>
      </text>
    </comment>
    <comment ref="N22" authorId="17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
Reply:
    2.5KW allocation reduced to live reading of 1.4KW
Reply:
    2.5KW allocation reduced to live reading of 0.9KW</t>
      </text>
    </comment>
    <comment ref="P22" authorId="18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
Reply:
    2.25kW allocation reduced due to
live reading of 0.9KW
Reply:
    2.25kW allocation reduced due to
live reading of 0.8KW</t>
      </text>
    </comment>
    <comment ref="R22" authorId="19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1.1KW</t>
      </text>
    </comment>
    <comment ref="T22" authorId="20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21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22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
Reply:
    2kW allocation reduced due to live reading of 0.5KW
Reply:
    2kW allocation reduced due to live reading of 0.8KW</t>
      </text>
    </comment>
    <comment ref="L23" authorId="23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3.6KW</t>
      </text>
    </comment>
    <comment ref="P23" authorId="24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
Reply:
    2.25kW allocation reduced due to
live reading of 0.9KW
Reply:
    2.25kW allocation reduced due to live reading of 1KW</t>
      </text>
    </comment>
    <comment ref="R23" authorId="25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</t>
      </text>
    </comment>
    <comment ref="T23" authorId="26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7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8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J25" authorId="29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30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31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2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3" shapeId="0" xr:uid="{0B0EE341-11DE-4BC8-88FF-6C75B556D92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26" authorId="34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5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6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7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8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9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W26" authorId="40" shapeId="0" xr:uid="{BC746B48-A3B0-41E6-A65F-BF3D787A485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30" authorId="41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42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
Reply:
    2.5kW allocation reduced due to live reading of 0.6kW
Reply:
    2.5kW allocation reduced due to live reading of 0.6kW</t>
      </text>
    </comment>
    <comment ref="N30" authorId="43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4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</t>
      </text>
    </comment>
    <comment ref="R30" authorId="45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
Reply:
    2kW allocation reduced due to live reading of 1.3kW
Reply:
    2kW allocation reduced due to live reading of 1.3kW</t>
      </text>
    </comment>
    <comment ref="T30" authorId="46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
Reply:
    2kW allocation reduced due to live reading of 0.7W
Reply:
    2kW allocation reduced due to live reading of 0.7W</t>
      </text>
    </comment>
    <comment ref="V30" authorId="47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8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3.5kW</t>
      </text>
    </comment>
    <comment ref="L31" authorId="49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
Reply:
    2.5kW allocation reduced due to live reading of 1.8kW
Reply:
    2.5kW allocation reduced due to live reading of 2kW</t>
      </text>
    </comment>
    <comment ref="N31" authorId="50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51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52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
Reply:
    2kW allocation reduced due to live reading of 1.3kW
Reply:
    2kW allocation reduced due to live reading of 1.4kW</t>
      </text>
    </comment>
    <comment ref="T31" authorId="53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
Reply:
    2kW allocation reduced due to live reading of 0.8W
Reply:
    2kW allocation reduced due to live reading of 0.8W</t>
      </text>
    </comment>
    <comment ref="V31" authorId="54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0.2kW
Reply:
    2.1kW allocation reduced due to live reading of 0.2kW</t>
      </text>
    </comment>
    <comment ref="J32" authorId="55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O37" authorId="56" shapeId="0" xr:uid="{8D579D89-C061-4CBE-92C4-9F725FBDBDA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Q37" authorId="57" shapeId="0" xr:uid="{3057499C-D80B-48EF-AA59-AD58526FFB5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I38" authorId="58" shapeId="0" xr:uid="{D844858F-0605-4FDD-AF40-DFDED6DD3F77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59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0.2kW</t>
      </text>
    </comment>
    <comment ref="L39" authorId="60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
Reply:
    37.5kW allocation reduced due to live reading of 7.8kW</t>
      </text>
    </comment>
    <comment ref="N39" authorId="61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2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7.5kW</t>
      </text>
    </comment>
    <comment ref="R39" authorId="63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3.3kW</t>
      </text>
    </comment>
    <comment ref="T39" authorId="64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3.2kW</t>
      </text>
    </comment>
    <comment ref="V39" authorId="65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3.3kW</t>
      </text>
    </comment>
    <comment ref="X39" authorId="66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7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8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AD39" authorId="69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AF39" authorId="70" shapeId="0" xr:uid="{6EFEBB33-3B9B-49DA-8F02-351FB5706F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M39" authorId="71" shapeId="0" xr:uid="{22B86E6A-F218-4B87-92FF-1AE0202B69E8}">
      <text>
        <t>[Threaded comment]
Your version of Excel allows you to read this threaded comment; however, any edits to it will get removed if the file is opened in a newer version of Excel. Learn more: https://go.microsoft.com/fwlink/?linkid=870924
Comment:
    Nokia 7210 SAS SX New rack is planned and power allocated for 6.6KW</t>
      </text>
    </comment>
    <comment ref="AP39" authorId="72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3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AS39" authorId="74" shapeId="0" xr:uid="{3B8167EC-FB4E-444C-9D05-D21E111720F0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</text>
    </comment>
    <comment ref="J40" authorId="75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1.8kW</t>
      </text>
    </comment>
    <comment ref="L40" authorId="76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37.5kW allocation reduced due to live reading of 8.8kW</t>
      </text>
    </comment>
    <comment ref="N40" authorId="77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8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9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80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81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82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3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4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5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6" shapeId="0" xr:uid="{07705D21-F6A2-4CE4-B80D-ADB88F322D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M40" authorId="87" shapeId="0" xr:uid="{21277964-AF7F-4C52-92FF-4651E5754EDE}">
      <text>
        <t>[Threaded comment]
Your version of Excel allows you to read this threaded comment; however, any edits to it will get removed if the file is opened in a newer version of Excel. Learn more: https://go.microsoft.com/fwlink/?linkid=870924
Comment:
    Nokia 7210 SAS SX New rack is planned and power allocated for 6.6KW</t>
      </text>
    </comment>
    <comment ref="AP40" authorId="88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9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AS40" authorId="90" shapeId="0" xr:uid="{ABA34852-E2C6-47EA-9ACB-285C172E1F30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</text>
    </comment>
    <comment ref="K44" authorId="91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92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M47" authorId="93" shapeId="0" xr:uid="{6E7BE9F4-725B-423A-87CD-4FB20962D75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48" authorId="94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
Reply:
    2.5kW allocation reduced due to live reading of 1.3kW</t>
      </text>
    </comment>
    <comment ref="N48" authorId="95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
Reply:
    2kW allocation reduced due to live reading of 0.6kW</t>
      </text>
    </comment>
    <comment ref="P48" authorId="96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
Reply:
    2kW allocation reduced due to live reading of 0.7kW</t>
      </text>
    </comment>
    <comment ref="R48" authorId="97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8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
Reply:
    2kW allocation reduced due to live reading of 0.7kW</t>
      </text>
    </comment>
    <comment ref="V48" authorId="99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0.2kW</t>
      </text>
    </comment>
    <comment ref="X48" authorId="100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8" authorId="101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2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8" authorId="103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4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
Reply:
    4kW allocation reduced due to live reading of 2.8kW</t>
      </text>
    </comment>
    <comment ref="AL48" authorId="105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8" authorId="106" shapeId="0" xr:uid="{1AC90AB7-4F98-4017-AF84-3A59288D51BC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AP48" authorId="107" shapeId="0" xr:uid="{75D88D1E-F0F2-4678-A5C0-4A981D498B5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J49" authorId="108" shapeId="0" xr:uid="{B8F5A2D6-F275-4883-B3A5-B52CFE741476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
Reply:
    2.5kW allocation reduced due to live reading of 1.5kW</t>
      </text>
    </comment>
    <comment ref="N49" authorId="109" shapeId="0" xr:uid="{62E82C51-23B1-49EA-A2FA-62AC00E855E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
Reply:
    2kW allocation reduced due to live reading of 0.7kW</t>
      </text>
    </comment>
    <comment ref="P49" authorId="110" shapeId="0" xr:uid="{489A018B-7735-40CF-B751-155E579DBFA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0.8kW</t>
      </text>
    </comment>
    <comment ref="R49" authorId="111" shapeId="0" xr:uid="{AE85584D-1ACE-4122-86C1-CECF9F11B3E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12" shapeId="0" xr:uid="{CCA61A88-EC1B-455B-9948-2CF283D39C8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0.7kW</t>
      </text>
    </comment>
    <comment ref="V49" authorId="113" shapeId="0" xr:uid="{0D1A177B-103D-475B-9131-43CDE1DBA70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4" shapeId="0" xr:uid="{8F805418-C919-4C2C-9AA9-091E2D38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
Reply:
    3kW allocation reduced due to live reading of 2kW</t>
      </text>
    </comment>
    <comment ref="Z49" authorId="115" shapeId="0" xr:uid="{B31DCD22-756B-4DC1-A410-EC88E314F3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6" shapeId="0" xr:uid="{CC86A1A4-D724-4AC5-88FE-735763E2EF9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9" authorId="117" shapeId="0" xr:uid="{12D27023-02DC-457D-B546-08A74FCB015E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8" shapeId="0" xr:uid="{0FEF28DC-B3DA-4090-B6CC-7DD3DE77F2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2.8kW</t>
      </text>
    </comment>
    <comment ref="AL49" authorId="119" shapeId="0" xr:uid="{7A149BE2-A166-4AF7-8C7F-E1EA26D6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AN49" authorId="120" shapeId="0" xr:uid="{9627AEB7-48D8-4567-9699-D77E88AA020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AP49" authorId="121" shapeId="0" xr:uid="{873D90AC-3037-4314-8BC6-F6F5E5DF686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P50" authorId="122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0" authorId="123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0" authorId="124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0" authorId="125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P51" authorId="126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7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8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9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3" authorId="130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3" authorId="131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
Reply:
    8kW allocation reduced due to live reading of 7.2KW</t>
      </text>
    </comment>
    <comment ref="N53" authorId="132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</t>
      </text>
    </comment>
    <comment ref="P53" authorId="133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</t>
      </text>
    </comment>
    <comment ref="R53" authorId="134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</t>
      </text>
    </comment>
    <comment ref="V53" authorId="135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</t>
      </text>
    </comment>
    <comment ref="X53" authorId="136" shapeId="0" xr:uid="{F7A8451C-45B3-4E8D-9806-EA2831C107B4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3.8kW</t>
      </text>
    </comment>
    <comment ref="AD53" authorId="137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3" authorId="138" shapeId="0" xr:uid="{346FE4A6-4102-4F5B-952A-CCC1964837DC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</t>
      </text>
    </comment>
    <comment ref="AJ53" authorId="139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</t>
      </text>
    </comment>
    <comment ref="J56" authorId="140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</t>
      </text>
    </comment>
    <comment ref="L56" authorId="141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</t>
      </text>
    </comment>
    <comment ref="N56" authorId="142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</t>
      </text>
    </comment>
    <comment ref="P56" authorId="143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</t>
      </text>
    </comment>
    <comment ref="R56" authorId="144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</t>
      </text>
    </comment>
    <comment ref="T56" authorId="145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6" authorId="146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</t>
      </text>
    </comment>
    <comment ref="Z56" authorId="147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</t>
      </text>
    </comment>
    <comment ref="AB56" authorId="148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6" authorId="149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
Reply:
    6.5kW allocation reduced due to live reading of 0.7kW</t>
      </text>
    </comment>
    <comment ref="AF56" authorId="150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6" authorId="151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AJ56" authorId="152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6" authorId="153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L56" authorId="154" shapeId="0" xr:uid="{170649B7-93C9-411A-971C-0F944A2E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</t>
      </text>
    </comment>
    <comment ref="AM56" authorId="155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AN56" authorId="156" shapeId="0" xr:uid="{D29EFAB7-60EB-4290-AD26-0D1ED4BBD0F2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</t>
      </text>
    </comment>
    <comment ref="J57" authorId="157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57" authorId="158" shapeId="0" xr:uid="{CF8B47B3-9169-4969-8215-7AE3E95C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59" authorId="159" shapeId="0" xr:uid="{35BF8656-A402-4A0D-9035-A106D84E462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U69" authorId="160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69" authorId="161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69" authorId="162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1" authorId="163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
Reply:
    2.5kW allocation reduced due to live reading of 1.9KW
Reply:
    2.5kW allocation reduced due to live reading of 1.8KW
Reply:
    2.5kW allocation reduced due to live reading of 1.85KW</t>
      </text>
    </comment>
    <comment ref="N71" authorId="164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1.0KW
Reply:
    2.25kW allocation reduced due to live reading of 1.2KW
Reply:
    2.25kW allocation reduced due to live reading of 1.4KW</t>
      </text>
    </comment>
    <comment ref="P71" authorId="165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
Reply:
    2.25kW allocation reduced due to live reading of 1.9KW</t>
      </text>
    </comment>
    <comment ref="R71" authorId="166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1.2KW
Reply:
    2.25kW allocation reduced due to live reading of 1.15KW
Reply:
    2.25kW allocation reduced due to live reading of 1.15KW</t>
      </text>
    </comment>
    <comment ref="T71" authorId="167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2.85KW</t>
      </text>
    </comment>
    <comment ref="L72" authorId="168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
Reply:
    2.5kW allocation reduced due to live reading of 1.8KW
Reply:
    2.5kW allocation reduced due to live reading of 1.8KW
Reply:
    2.5kW allocation reduced due to live reading of 1.85KW</t>
      </text>
    </comment>
    <comment ref="N72" authorId="169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1.2KW
Reply:
    2.25kW allocation reduced due to live reading of 1.4KW</t>
      </text>
    </comment>
    <comment ref="P72" authorId="170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
Reply:
    2.25kW allocation reduced due to live reading of 1.9KW
Reply:
    2.25kW allocation reduced due to live reading of 1.9KW
Reply:
    2.25kW allocation reduced due to live reading of 1.9KW</t>
      </text>
    </comment>
    <comment ref="R72" authorId="171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1.15KW
Reply:
    2.25kW allocation reduced due to live reading of 1.15KW</t>
      </text>
    </comment>
    <comment ref="T72" authorId="172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
Reply:
    3.25kW allocation reduced due to live reading of 2.7KW
Reply:
    3.25kW allocation reduced due to live reading of 2.8KW
Reply:
    3.25kW allocation reduced due to live reading of 2.85KW</t>
      </text>
    </comment>
    <comment ref="J73" authorId="173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0.15kW
Reply:
    6kW allocation reduced due to live reading of 0.2kW</t>
      </text>
    </comment>
    <comment ref="J74" authorId="174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
Reply:
    6kW allocation reduced due to live reading of 0.2kW</t>
      </text>
    </comment>
    <comment ref="Q75" authorId="175" shapeId="0" xr:uid="{C34C8E20-B6E6-4C64-B18C-573A59D1E08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1KW</t>
      </text>
    </comment>
    <comment ref="S75" authorId="176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Q76" authorId="177" shapeId="0" xr:uid="{DF3E25C3-A370-4F91-AFF4-B71E067B9B7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1KW</t>
      </text>
    </comment>
    <comment ref="S76" authorId="178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79" authorId="179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0.15kW
Reply:
    6kW allocation reduced due to live reading of 0.15kW</t>
      </text>
    </comment>
    <comment ref="J80" authorId="180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0.15kW
Reply:
    6kW allocation reduced due to live reading of 0.15kW</t>
      </text>
    </comment>
    <comment ref="J82" authorId="181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5" authorId="182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K85" authorId="183" shapeId="0" xr:uid="{5CAE69C5-D8D7-4986-A36D-5913A3907878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</t>
      </text>
    </comment>
    <comment ref="J90" authorId="184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3" authorId="185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K93" authorId="186" shapeId="0" xr:uid="{EA040513-6BE5-4217-96A2-C4660F4AE60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1" authorId="187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
Reply:
    2.5kW allocation reduced due to live reading of 1.1kW
Reply:
    2.5kW allocation reduced due to live reading of 1.1kW
Reply:
    2.5kW allocation reduced due to live reading of 1.5kW
Reply:
    2.5kW allocation reduced due to live reading of 1.5kW</t>
      </text>
    </comment>
    <comment ref="L101" authorId="188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N101" authorId="189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0.75kW</t>
      </text>
    </comment>
    <comment ref="P101" authorId="190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0.55kW
Reply:
    2kW allocation reduced due to live reading of 0.55kW</t>
      </text>
    </comment>
    <comment ref="R101" authorId="191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1" authorId="192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1" authorId="193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1" authorId="194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2" authorId="195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
Reply:
    2.5kW allocation reduced due to live reading of 1.9kW
Reply:
    2.5kW allocation reduced due to live reading of 1.9kW
Reply:
    2.5kW allocation reduced due to live reading of 1.5kW
Reply:
    2.5kW allocation reduced due to live reading of 1.5kW</t>
      </text>
    </comment>
    <comment ref="L102" authorId="196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2" authorId="197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0.75kW</t>
      </text>
    </comment>
    <comment ref="P102" authorId="198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0.55kW
Reply:
    2kW allocation reduced due to live reading of 0.55kW</t>
      </text>
    </comment>
    <comment ref="R102" authorId="199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200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201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2" authorId="202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3" authorId="203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3" authorId="204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3" authorId="205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8" authorId="206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0.2kW</t>
      </text>
    </comment>
    <comment ref="J109" authorId="207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0.1kW
Reply:
    6kW allocation reduced due to live reading of 0.2kW</t>
      </text>
    </comment>
    <comment ref="J113" authorId="208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K113" authorId="209" shapeId="0" xr:uid="{58E25DAF-DEE8-42E5-A78D-282646D3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4" authorId="210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0.2kW</t>
      </text>
    </comment>
    <comment ref="K114" authorId="211" shapeId="0" xr:uid="{63443C90-B22A-4EC0-8D73-F9E1EFE1B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5" authorId="212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5" authorId="213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6" authorId="214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0.35kW</t>
      </text>
    </comment>
    <comment ref="L116" authorId="215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0.15kW</t>
      </text>
    </comment>
    <comment ref="N116" authorId="216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
Reply:
    2.5kW allocation reduced due to live reading of 1.1kW
Reply:
    2.5kW allocation reduced due to live reading of 1.1kW
Reply:
    2.5kW allocation reduced due to live reading of 1.2kW</t>
      </text>
    </comment>
    <comment ref="P116" authorId="217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6" authorId="218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</t>
      </text>
    </comment>
    <comment ref="J117" authorId="219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0.4kW
Reply:
    2.5kW allocation reduced due to live reading of 0.35kW</t>
      </text>
    </comment>
    <comment ref="L117" authorId="220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0.15kW</t>
      </text>
    </comment>
    <comment ref="N117" authorId="221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
Reply:
    2.5kW allocation reduced due to live reading of 1.3kW
Reply:
    2.5kW allocation reduced due to live reading of 1.3kW
Reply:
    2.5kW allocation reduced due to live reading of 1.2kW</t>
      </text>
    </comment>
    <comment ref="P117" authorId="222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23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J118" authorId="224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8" authorId="225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0.9kW
Reply:
    2kW allocation reduced due to live reading of 1.0kW
Reply:
    2kW allocation reduced due to live reading of 0.9kW</t>
      </text>
    </comment>
    <comment ref="N118" authorId="226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0.55kW</t>
      </text>
    </comment>
    <comment ref="P118" authorId="227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1.45kW</t>
      </text>
    </comment>
    <comment ref="R118" authorId="228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8" authorId="229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0.25kW</t>
      </text>
    </comment>
    <comment ref="V118" authorId="230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
Reply:
    2kW allocation reduced due to live reading of 0.4kW
Reply:
    2kW allocation reduced due to live reading of 0.2kW
Reply:
    2kW allocation reduced due to live reading of 0.25kW
Reply:
    1.5kW allocation reduced due to live reading of 0.25kW</t>
      </text>
    </comment>
    <comment ref="X118" authorId="231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</t>
      </text>
    </comment>
    <comment ref="Y118" authorId="232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
Reply:
    2.5kW allocation reduced due to live reading of 0.5kW
Reply:
    2.5kW allocation reduced due to live reading of 0.5kW
Reply:
    2.5kW allocation reduced due to live reading of 0.45kW</t>
      </text>
    </comment>
    <comment ref="AA118" authorId="233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</text>
    </comment>
    <comment ref="J119" authorId="234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35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
Reply:
    2kW allocation reduced due to live reading of 0.8kW
Reply:
    2kW allocation reduced due to live reading of 0.9kW</t>
      </text>
    </comment>
    <comment ref="N119" authorId="236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0.55kW</t>
      </text>
    </comment>
    <comment ref="P119" authorId="237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
Reply:
    2.5kW allocation reduced due to live reading of 0.7kW
Reply:
    2.5kW allocation reduced due to live reading of 0.7kW
Reply:
    2.5kW allocation reduced due to live reading of 1.45kW</t>
      </text>
    </comment>
    <comment ref="R119" authorId="238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39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0.2kW
Reply:
    1kW allocation reduced due to live reading of 0.25kW</t>
      </text>
    </comment>
    <comment ref="V119" authorId="240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
Reply:
    2kW allocation reduced due to live reading of 0.1kW
Reply:
    2kW allocation reduced due to live reading of 0.25kW
Reply:
    1.5kW allocation reduced due to live reading of 0.25kW</t>
      </text>
    </comment>
    <comment ref="X119" authorId="241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3.4kW</t>
      </text>
    </comment>
    <comment ref="Y119" authorId="242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
Reply:
    2.5kW allocation reduced due to live reading of 0.4kW
Reply:
    2.5kW allocation reduced due to live reading of 0.4kW
Reply:
    2.5kW allocation reduced due to live reading of 0.45kW</t>
      </text>
    </comment>
    <comment ref="AA119" authorId="243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
Reply:
    2.5kW allocation reduced due to live reading of 0.3kW</t>
      </text>
    </comment>
    <comment ref="J120" authorId="244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2" authorId="245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2" authorId="246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8" authorId="247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8" authorId="248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Q128" authorId="249" shapeId="0" xr:uid="{6CDE8285-C462-4230-8892-D9B8E42C749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J130" authorId="250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1" authorId="251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3" authorId="252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3" authorId="253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5" authorId="254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8" authorId="255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39" authorId="256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
Reply:
    5kW allocation reduced due to live reading of 3.9kW</t>
      </text>
    </comment>
    <comment ref="L139" authorId="257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O139" authorId="258" shapeId="0" xr:uid="{7758C971-B3DD-41AC-9C00-7F528257CA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 </t>
      </text>
    </comment>
    <comment ref="U139" authorId="259" shapeId="0" xr:uid="{13FA675A-7E0F-4A17-BE63-093EC3A8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J142" authorId="260" shapeId="0" xr:uid="{A1B60126-11E2-46B1-8A29-E6C01827544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</t>
      </text>
    </comment>
    <comment ref="L142" authorId="261" shapeId="0" xr:uid="{2519FDBC-DEF0-4DDD-A987-9C019E9F9A3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
Reply:
    4kW allocation reduced due to live reading of 3.5kW
Reply:
    4kW allocation reduced due to live reading of 3.75kW</t>
      </text>
    </comment>
    <comment ref="N142" authorId="262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
Reply:
    4kW allocation reduced due to live reading of 3.3kW
Reply:
    8kW allocation reduced due to live reading of 2.95kW</t>
      </text>
    </comment>
    <comment ref="S142" authorId="263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2" authorId="264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2" authorId="265" shapeId="0" xr:uid="{2F304EBF-8130-4666-A22E-4EF5AC572A51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Z142" authorId="266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</t>
      </text>
    </comment>
    <comment ref="AB142" authorId="267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2" authorId="268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2" authorId="269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2" authorId="270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2" authorId="271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2" authorId="272" shapeId="0" xr:uid="{2E2245A7-D810-4643-81EC-95838D1434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3" authorId="273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
Reply:
    2.5kW allocation reduced due to live reading of 0.3kW
Reply:
    2.5kW allocation reduced due to live reading of 1.5kW</t>
      </text>
    </comment>
    <comment ref="L143" authorId="274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
Reply:
    4kW allocation reduced due to live reading of 3.5kW
Reply:
    4kW allocation reduced due to live reading of 3.75kW</t>
      </text>
    </comment>
    <comment ref="N143" authorId="275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
Reply:
    4kW allocation reduced due to live reading of 2.6kW
Reply:
    4kW allocation reduced due to live reading of 2.6kW
Reply:
    4kW allocation reduced due to live reading of 2.6kW
Reply:
    4kW allocation reduced due to live reading of 2.6kW
Reply:
    8kW allocation reduced due to live reading of 2.95kW</t>
      </text>
    </comment>
    <comment ref="V143" authorId="276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3" authorId="277" shapeId="0" xr:uid="{2307D775-B2AA-438F-8CFC-6B5E4B08982F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Z143" authorId="278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
Reply:
    0.5kW allocation reduced due to live reading of 0.3kW
Reply:
    0.5kW allocation reduced due to live reading of 0.3kW</t>
      </text>
    </comment>
    <comment ref="AB143" authorId="279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J143" authorId="280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81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82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3" authorId="283" shapeId="0" xr:uid="{9A69B2C4-C483-4F7F-8777-92A26DB01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4" authorId="284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5" authorId="285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5" authorId="286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Q145" authorId="287" shapeId="0" xr:uid="{C3E6D4C4-93BB-437E-B3B7-397EEB20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47" authorId="288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0" authorId="289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1" authorId="290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1" authorId="291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4" authorId="292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
Reply:
    4.2kW allocation reduced due to live reading of 0.6kW
Reply:
    4.2kW allocation reduced due to live reading of 0.6kW</t>
      </text>
    </comment>
    <comment ref="L154" authorId="293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3.2kW
Reply:
    5kW allocation reduced due to live reading of 3.7kW</t>
      </text>
    </comment>
    <comment ref="P154" authorId="294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</t>
      </text>
    </comment>
    <comment ref="R154" authorId="295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</t>
      </text>
    </comment>
    <comment ref="T154" authorId="296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V154" authorId="297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</t>
      </text>
    </comment>
    <comment ref="X154" authorId="298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Y154" authorId="299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4" authorId="300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0.9kW
Reply:
    5kW allocation reduced due to live reading of 0.9kW</t>
      </text>
    </comment>
    <comment ref="J158" authorId="301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
Reply:
    6kW allocation reduced due to live reading of 3.5kW
Reply:
    6kW allocation reduced due to live reading of 2.2kW
Reply:
    6kW allocation reduced due to live reading of 3.6kW</t>
      </text>
    </comment>
    <comment ref="L158" authorId="302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
Reply:
    2.5kW allocation reduced due to live reading of 1.6kW
Reply:
    2.5kW allocation reduced due to live reading of 1.8kW</t>
      </text>
    </comment>
    <comment ref="M158" authorId="303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8" authorId="304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
Reply:
    3kW allocation reduced due to live reading of 2.4kW
Reply:
    3kW allocation reduced due to live reading of 2.85kW</t>
      </text>
    </comment>
    <comment ref="T158" authorId="305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
Reply:
    2.25kW allocation reduced due to live reading of 1.5kW</t>
      </text>
    </comment>
    <comment ref="V158" authorId="306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8" authorId="307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8" authorId="308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
Reply:
    0.9kW allocation reduced due to live reading of 0.4kW</t>
      </text>
    </comment>
    <comment ref="AB158" authorId="309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AD158" authorId="310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0.5kW</t>
      </text>
    </comment>
    <comment ref="AF158" authorId="311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8" authorId="312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
Reply:
    2.75kW allocation reduced due to live reading of 0.7kW</t>
      </text>
    </comment>
    <comment ref="AJ158" authorId="313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8" authorId="314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8" authorId="315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8" authorId="316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8" authorId="317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8" authorId="318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
Reply:
    2.25kW allocation reduced due to live reading of 1.4kW</t>
      </text>
    </comment>
    <comment ref="J159" authorId="319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
Reply:
    6kW allocation reduced due to live reading of 3.8kW
Reply:
    6kW allocation reduced due to live reading of 2.2kW
Reply:
    6kW allocation reduced due to live reading of 3.6kW</t>
      </text>
    </comment>
    <comment ref="L159" authorId="320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
Reply:
    2.5kW allocation reduced due to live reading of 2kW
Reply:
    2.5kW allocation reduced due to live reading of 1.8kW</t>
      </text>
    </comment>
    <comment ref="M159" authorId="321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322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
Reply:
    3kW allocation reduced due to live reading of 2.4kW
Reply:
    3kW allocation reduced due to live reading of 2.85kW</t>
      </text>
    </comment>
    <comment ref="T159" authorId="323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59" authorId="324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9" authorId="325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59" authorId="326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59" authorId="327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2.8kW</t>
      </text>
    </comment>
    <comment ref="AD159" authorId="328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329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330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
Reply:
    2.75kW allocation reduced due to live reading of 0.7kW</t>
      </text>
    </comment>
    <comment ref="AJ159" authorId="331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59" authorId="332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333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334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335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336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
Reply:
    2.25kW allocation reduced due to live reading of 1.3kW</t>
      </text>
    </comment>
    <comment ref="J161" authorId="337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L161" authorId="338" shapeId="0" xr:uid="{1320CD95-E0CD-4DE8-8ADE-F0D1D077B69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M161" authorId="339" shapeId="0" xr:uid="{CABBE1CA-C428-4216-A070-A7289BE740E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68" authorId="340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0" authorId="341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1" authorId="342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
Reply:
    2.5kW allocation reduced due to live reading of 2.1kW</t>
      </text>
    </comment>
    <comment ref="L171" authorId="343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
Reply:
    6kW allocation reduced due to live reading of 0.9kW</t>
      </text>
    </comment>
    <comment ref="N171" authorId="344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Q171" authorId="345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2" authorId="346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
Reply:
    2.5kW allocation reduced due to live reading of 1.2kW</t>
      </text>
    </comment>
    <comment ref="L172" authorId="347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
Reply:
    6kW allocation reduced due to live reading of 0.8kW</t>
      </text>
    </comment>
    <comment ref="N172" authorId="348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Q172" authorId="349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7" authorId="350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
Reply:
    2.5 kW allocation reduced due to live reading of 1.6kW
Reply:
    2.5 kW allocation reduced due to live reading of 1.5kW</t>
      </text>
    </comment>
    <comment ref="L177" authorId="351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</t>
      </text>
    </comment>
    <comment ref="J178" authorId="352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
Reply:
    2.5 kW allocation reduced due to live reading of 0.9kW
Reply:
    2.5 kW allocation reduced due to live reading of 0.9kW</t>
      </text>
    </comment>
    <comment ref="L178" authorId="353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3" authorId="354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
Reply:
    2.5kW allocation reduced due to live reading of 0.9KW</t>
      </text>
    </comment>
    <comment ref="L183" authorId="355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
Reply:
    6kW allocation reduced due to live reading of 3.8kW
Reply:
    6kW allocation reduced due to live reading of 3.9kW</t>
      </text>
    </comment>
    <comment ref="N183" authorId="356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</t>
      </text>
    </comment>
    <comment ref="J184" authorId="357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6" authorId="358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6" authorId="359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0.2kW
Reply:
    3kW allocation reduced due to live reading of 0.2kW</t>
      </text>
    </comment>
    <comment ref="P186" authorId="360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
Reply:
    2.5kW allocation reduced due to live reading of 2.5kW
Reply:
    2.5kW allocation reduced due to live reading of 1.3kW</t>
      </text>
    </comment>
    <comment ref="R186" authorId="361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7" authorId="362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63" shapeId="0" xr:uid="{3689783D-6573-45B5-9031-11205A199D83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0.2kW</t>
      </text>
    </comment>
    <comment ref="P187" authorId="364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1.3kW</t>
      </text>
    </comment>
    <comment ref="R187" authorId="365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89" authorId="366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M189" authorId="367" shapeId="0" xr:uid="{4C787568-7D07-4E05-B313-0E0721368BAF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</text>
    </comment>
    <comment ref="J193" authorId="368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193" authorId="369" shapeId="0" xr:uid="{6F8BA170-4633-4B54-AE1E-3EBB661A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96" authorId="370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K197" authorId="371" shapeId="0" xr:uid="{3E5DA487-29F7-4ED6-AAE9-113F0A1142C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03" authorId="372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</t>
      </text>
    </comment>
    <comment ref="L203" authorId="373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N203" authorId="374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</t>
      </text>
    </comment>
    <comment ref="P203" authorId="375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</t>
      </text>
    </comment>
    <comment ref="R203" authorId="376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</t>
      </text>
    </comment>
    <comment ref="T203" authorId="377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</t>
      </text>
    </comment>
    <comment ref="N205" authorId="378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5" authorId="379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7" authorId="380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8" authorId="381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O208" authorId="382" shapeId="0" xr:uid="{2DD46D39-D7E7-41B0-8C3C-C668AA2B37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O209" authorId="383" shapeId="0" xr:uid="{E1FC815E-66C3-40B1-B590-C415DDF2D15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Q209" authorId="384" shapeId="0" xr:uid="{050CB2F0-473E-4DF6-B217-95F525080D7F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ORMT_SAP_241010_7_10334046. Power allocated for 0.5KW</t>
      </text>
    </comment>
    <comment ref="J218" authorId="385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
Reply:
    2.5kW allocation reduced due to live reading of 1.3kW
Reply:
    2.5kW allocation reduced due to live reading of 1.4kW</t>
      </text>
    </comment>
    <comment ref="L218" authorId="386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8" authorId="387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0.7kW
Reply:
    2kW allocation reduced due to live reading of 0.8kW</t>
      </text>
    </comment>
    <comment ref="P218" authorId="388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8" authorId="389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1.0kW</t>
      </text>
    </comment>
    <comment ref="T218" authorId="390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</t>
      </text>
    </comment>
    <comment ref="V218" authorId="391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
Reply:
    3kW allocation reduced due to live reading of 2.6kW
Reply:
    3kW allocation reduced due to live reading of 2.6kW</t>
      </text>
    </comment>
    <comment ref="X218" authorId="392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8" authorId="393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E218" authorId="394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19" authorId="395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
Reply:
    2.5kW allocation reduced due to live reading of 1.6kW
Reply:
    2.5kW allocation reduced due to live reading of 1.4kW</t>
      </text>
    </comment>
    <comment ref="L219" authorId="396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3.6kW</t>
      </text>
    </comment>
    <comment ref="N219" authorId="397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
Reply:
    2kW allocation reduced due to live reading of 0.7kW
Reply:
    2kW allocation reduced due to live reading of 0.8kW</t>
      </text>
    </comment>
    <comment ref="P219" authorId="398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9" authorId="399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1.0kW</t>
      </text>
    </comment>
    <comment ref="T219" authorId="400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1kW</t>
      </text>
    </comment>
    <comment ref="V219" authorId="401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
Reply:
    3kW allocation reduced due to live reading of 2.6kW
Reply:
    3kW allocation reduced due to live reading of 2.6kW</t>
      </text>
    </comment>
    <comment ref="X219" authorId="402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403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E219" authorId="404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0" authorId="405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1" authorId="406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4" authorId="407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6" authorId="408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1" authorId="409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1" authorId="410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1" authorId="411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1" authorId="412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2" authorId="413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414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415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416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4" authorId="417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L234" authorId="418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0.3kW</t>
      </text>
    </comment>
    <comment ref="J235" authorId="419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5" authorId="420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J237" authorId="421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39" authorId="422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
Reply:
    2.5kW allocation reduced due to live reading of 1.6kW
Reply:
    2.5kW allocation reduced due to live reading of 1.6kW
Reply:
    2.5kW allocation reduced due to live reading of 1.3kW</t>
      </text>
    </comment>
    <comment ref="L239" authorId="423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9" authorId="424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
Reply:
    2.25kW allocation reduced due to live reading of 0.9kW
Reply:
    2.25kW allocation reduced due to live reading of 0.9kW
Reply:
    2.25kW allocation reduced due to live reading of 1.0kW</t>
      </text>
    </comment>
    <comment ref="P239" authorId="425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39" authorId="426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3.6kW</t>
      </text>
    </comment>
    <comment ref="T239" authorId="427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39" authorId="428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Z239" authorId="429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39" authorId="430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0" authorId="431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
Reply:
    2.25kW allocation reduced due to live reading of 1.0kW
Reply:
    2.25kW allocation reduced due to live reading of 1.0kW
Reply:
    2.5kW allocation reduced due to live reading of 1.3kW</t>
      </text>
    </comment>
    <comment ref="L240" authorId="432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433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
Reply:
    2.25kW allocation reduced due to live reading of 0.9kW
Reply:
    2.25kW allocation reduced due to live reading of 0.9kW
Reply:
    2.25kW allocation reduced due to live reading of 1.0kW</t>
      </text>
    </comment>
    <comment ref="P240" authorId="434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40" authorId="435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</t>
      </text>
    </comment>
    <comment ref="T240" authorId="436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37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Z240" authorId="438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0" authorId="439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1" authorId="440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2" authorId="441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4" authorId="442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7" authorId="443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8" authorId="444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49" authorId="445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249" authorId="446" shapeId="0" xr:uid="{AA256714-081A-400C-8E10-68D2D071FB8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51" authorId="447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tc={107A6706-B890-489C-B4C2-44D1E054C0CD}</author>
    <author>tc={5CF8AC71-2FB4-49B9-95BC-8C1F8BCAF983}</author>
    <author>tc={504683DC-84B3-4281-823C-71B4875D8763}</author>
    <author>tc={C7FC0103-491A-471E-986B-DFDC88B01605}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tc={CDDD5C61-B776-468C-A84E-89AB207DC09D}</author>
    <author>tc={87104A36-A461-4BAD-ABE0-ECE4D4595BA9}</author>
    <author>tc={201ADC00-D6F2-4277-A404-C04AE53865A4}</author>
    <author>tc={0167AABE-662A-46F4-8389-BE16F9F31692}</author>
    <author>tc={82232304-1458-4243-8E52-9CB90DBC5944}</author>
    <author>tc={0CF54541-2DCC-4F80-BF0B-548E0F1DA6D2}</author>
    <author>tc={7A8B0AAD-1CA9-40FD-84EC-5647A1F6A777}</author>
    <author>tc={F4040B51-9133-4C1D-ACC2-1F8BD8B9B6B2}</author>
    <author>tc={A299CCBE-2393-477F-A2DD-81D8842E9E1F}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tc={19260BE0-9307-4028-B722-654421464150}</author>
    <author>tc={96CEFFFB-CCD0-487D-AC5B-3B8FAC893A07}</author>
    <author>tc={95D19E12-CB85-4DFC-AF75-7FBD96BF0958}</author>
    <author>tc={05B5571F-4E76-4CDC-8461-ECFBDD4BBFD2}</author>
    <author>tc={BFB61C0E-635B-4E3F-963A-B0900B2B2C4F}</author>
    <author>tc={900A728D-AD73-48A4-B7FA-0A9F87E93BE7}</author>
    <author>tc={309F5932-789F-4290-8F39-3ABB19A39865}</author>
    <author>tc={F36323D6-7CE8-4F1A-A1B6-C8AF3CF80FAA}</author>
    <author>tc={ED02DB05-E32A-4C33-8035-9E698B0529F7}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tc={21030FF8-48DA-4E49-955F-DBE1FC6B5356}</author>
    <author>tc={31E1A6FE-EFFE-41F9-ABAD-AE81535355B8}</author>
    <author>tc={85F68B60-DC67-4A5B-B41E-589F7A8B44C2}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tc={601EDBAE-256F-4737-9ABC-79E118FF8F44}</author>
    <author>tc={E49ABD4A-80D1-4C0B-84CD-E8F77E73EA4B}</author>
    <author>tc={A9F58572-0E52-4EA7-8AA3-7B7E70E68493}</author>
    <author>tc={FABC12C0-1932-4D06-A261-149F5A9CC5C8}</author>
    <author>tc={26C5CB06-02CA-4AB9-9BB3-9F06A10E3BC0}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tc={DAF28F67-C5A2-426E-BAF5-63129CE9438F}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tc={C6F93FC6-8B97-440B-BE30-A65A9A046C3C}</author>
    <author>tc={10DBB80F-F013-4D0A-893B-128C231A49B9}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tc={49C5CD2B-0DED-4589-A0F9-396F2235ACD4}</author>
    <author>tc={6AB43DDE-E856-4C2F-936B-FCB5F09D8239}</author>
    <author>tc={18B172DA-42E1-4491-8BC3-AFEE1E4109BC}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tc={5FD6D4D5-17AB-491C-B5F5-6D6208139FF8}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tc={DC40EE43-AF0A-4E84-8895-9C3EF0AC0491}</author>
    <author>tc={BCDB9D47-1518-4D17-A8B4-4CB2465614C1}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tc={614864F7-3B7D-41F8-98BE-1D34B03B0BB1}</author>
    <author>tc={D9DD88C5-0521-4104-BB95-7023C0B9FFC6}</author>
    <author>tc={A140AADE-DADE-49EC-8170-273E9380BB95}</author>
    <author>tc={78539AE6-1D4A-4589-AC3B-FA12D1DDDBCD}</author>
    <author>tc={5BEBF730-035F-428B-880D-2DD240E42577}</author>
    <author>tc={03456237-D618-4311-A6C9-6B1A29C4089F}</author>
    <author>tc={D618CAEC-B3EC-4EF1-8FCB-F031D60176EC}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tc={0858E7F1-0C24-4457-BB56-380DECA4595A}</author>
    <author>tc={083EC705-16EF-4110-A4B4-DDA819A27B44}</author>
    <author>tc={847E2C7A-3CCC-4777-BB9A-8EE9FC68676F}</author>
    <author>tc={6F9E3C5F-43B0-4361-B446-E958AB9278F7}</author>
    <author>tc={57A8207F-EC01-4520-9F28-584A3A244C28}</author>
    <author>tc={9FFF9CB3-903C-447E-B485-8D43F7778019}</author>
    <author>tc={448AB1B2-A26E-44A8-BC52-D8E7C59D0D28}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tc={27260D3C-B60E-4876-A0F6-B46CFB1B8552}</author>
    <author>tc={B9FCE26F-C31C-4A15-AEC8-1A003BFF91EB}</author>
    <author>tc={A05DE518-1600-496E-99FA-B14375A73655}</author>
    <author>tc={4607B1CB-7CA8-47ED-A15F-BBC8A8250C9D}</author>
    <author>tc={A7B97C4C-9E5D-4E92-8250-89C6B258BBE0}</author>
    <author>tc={A1681BE7-A1A9-4933-8770-8F8252A52C99}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
Reply:
    5kW allocation reduced due to live reading of 3.1KW
Reply:
    5kW allocation reduced due to live reading of 3.2KW
Reply:
    5kW allocation reduced due to live reading of 3.1KW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
Reply:
    8.5kW allocation reduced due to live reading of 3.2KW
Reply:
    8.5kW allocation reduced due to live reading of 3.3KW
Reply:
    8.5kW allocation reduced due to live reading of 3.35KW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
Reply:
    8kW allocation reduced due to live reading of 7.2KW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
Reply:
    4kW allocation reduced due to live reading of 2.6KW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
Reply:
    16kW allocation reduced due to live reading of 5.8KW</t>
      </text>
    </comment>
    <comment ref="Z30" authorId="8" shapeId="0" xr:uid="{00000000-0006-0000-04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
Reply:
    7kW allocation reduced due to live reading of  5.2KW
</t>
      </text>
    </comment>
    <comment ref="AD30" authorId="9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
Reply:
    4kW allocation reduced due to live reading of 2.2KW</t>
      </text>
    </comment>
    <comment ref="AH30" authorId="10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1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
Reply:
    4kW allocation reduced due to live reading of 1.1KW</t>
      </text>
    </comment>
    <comment ref="AL30" authorId="12" shapeId="0" xr:uid="{00000000-0006-0000-0400-00000B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</t>
      </text>
    </comment>
    <comment ref="AN30" authorId="13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4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5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
Reply:
    5kW allocation reduced due to live reading of 3.7KW
Reply:
    5kW allocation reduced due to live reading of 3.6KW
Reply:
    5kW allocation reduced due to live reading of 3.7KW</t>
      </text>
    </comment>
    <comment ref="V44" authorId="16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
Reply:
    4.5kW allocation reduced due to live reading of 2.0KW
Reply:
    4.5kW allocation reduced due to live reading of 2.1KW</t>
      </text>
    </comment>
    <comment ref="X44" authorId="17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
Reply:
    4.5kW allocation reduced due to live reading of 3.7KW
Reply:
    4.5kW allocation reduced due to live reading of 3.8KW
Reply:
    4.5kW allocation reduced due to live reading of 3.8KW</t>
      </text>
    </comment>
    <comment ref="Z44" authorId="18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
Reply:
    4.5kW allocation reduced due to live reading of 2.2KW
Reply:
    4.5kW allocation reduced due to live reading of 2.3KW
Reply:
    4.5kW allocation reduced due to live reading of 2.3KW</t>
      </text>
    </comment>
    <comment ref="AB44" authorId="19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
Reply:
    6.5kW allocation reduced due to live reading of 5.6KW</t>
      </text>
    </comment>
    <comment ref="W57" authorId="20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Y57" authorId="21" shapeId="0" xr:uid="{107A6706-B890-489C-B4C2-44D1E054C0C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T68" authorId="22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3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U73" authorId="24" shapeId="0" xr:uid="{C7FC0103-491A-471E-986B-DFDC88B01605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5142 planned for ORMT_SAP_240715_11_w014433</t>
      </text>
    </comment>
    <comment ref="R87" authorId="25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
Reply:
    5kW allocation reduced due to live reading of 2.9kW
Reply:
    5kW allocation reduced due to live reading of 2.8kW</t>
      </text>
    </comment>
    <comment ref="T87" authorId="26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
Reply:
    8kW allocation reduced due to live reading of 7.1kW
Reply:
    8kW allocation reduced due to live reading of 7.1kW</t>
      </text>
    </comment>
    <comment ref="V87" authorId="27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
Reply:
    4kW allocation reduced due to live reading of 1.4kW
Reply:
    4kW allocation reduced due to live reading of 1.5kW</t>
      </text>
    </comment>
    <comment ref="X87" authorId="28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
Reply:
    4kW allocation reduced due to live reading of 1.6kW
Reply:
    4kW allocation reduced due to live reading of 2kW</t>
      </text>
    </comment>
    <comment ref="Z87" authorId="29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30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
Reply:
    6kW allocation reduced due to live reading of 5.2kW
Reply:
    6kW allocation reduced due to live reading of 5.2kW</t>
      </text>
    </comment>
    <comment ref="AD87" authorId="31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1kW</t>
      </text>
    </comment>
    <comment ref="AF87" authorId="32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1.3kW
Reply:
    5.4kW allocation reduced due to live reading of 1.4kW</t>
      </text>
    </comment>
    <comment ref="AH87" authorId="33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S94" authorId="34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5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2.6kW</t>
      </text>
    </comment>
    <comment ref="T116" authorId="36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
Reply:
    13.5kW allocation reduced due to live reading of 6.9kW
Reply:
    13.5kW allocation reduced due to live reading of 6.9kW
Reply:
    13.5kW allocation reduced due to live reading of 7.1kW</t>
      </text>
    </comment>
    <comment ref="V116" authorId="37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8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9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2.8kW</t>
      </text>
    </comment>
    <comment ref="Q117" authorId="40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1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2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3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
Reply:
    8kW allocation reduced due to live reading of 7.2kW
Reply:
    8kW allocation reduced due to live reading of 7.2kW</t>
      </text>
    </comment>
    <comment ref="T143" authorId="44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V143" authorId="45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6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1.2kW</t>
      </text>
    </comment>
    <comment ref="Z143" authorId="47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2.6kW
Reply:
    4kW allocation reduced due to live reading of 2.7kW</t>
      </text>
    </comment>
    <comment ref="AB143" authorId="48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</t>
      </text>
    </comment>
    <comment ref="AD143" authorId="49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
Reply:
    4.2kW allocation reduced due to live reading of 0.5kW
Reply:
    4.2kW allocation reduced due to live reading of 0.5kW</t>
      </text>
    </comment>
    <comment ref="W148" authorId="50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Q149" authorId="51" shapeId="0" xr:uid="{CDDD5C61-B776-468C-A84E-89AB207DC09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</t>
      </text>
    </comment>
    <comment ref="R156" authorId="52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
Reply:
    5kW allocation reduced due to live reading of 3.9kW
Reply:
    5kW allocation reduced due to live reading of 3.9kW
Reply:
    5kW allocation reduced due to live reading of 3.9kW</t>
      </text>
    </comment>
    <comment ref="T156" authorId="53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W156" authorId="54" shapeId="0" xr:uid="{0167AABE-662A-46F4-8389-BE16F9F3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Q157" authorId="55" shapeId="0" xr:uid="{82232304-1458-4243-8E52-9CB90DBC59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ORMT_SAP_240904_13_W859570 under this ORMT we have allocated the 2KW</t>
      </text>
    </comment>
    <comment ref="R170" authorId="56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7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8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9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
Reply:
    5kW allocation reduced due to live reading of 2.9kW</t>
      </text>
    </comment>
    <comment ref="V176" authorId="60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1.3kW</t>
      </text>
    </comment>
    <comment ref="X176" authorId="61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
Reply:
    4kW allocation reduced due to live reading of 1.5kW</t>
      </text>
    </comment>
    <comment ref="Z176" authorId="62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
Reply:
    4kW allocation reduced due to live reading of 1.5kW</t>
      </text>
    </comment>
    <comment ref="AB176" authorId="63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
Reply:
    4kW allocation reduced due to live reading of 1.8kW</t>
      </text>
    </comment>
    <comment ref="AH176" authorId="64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5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
Reply:
    5kW allocation reduced due to live reading of 3kW</t>
      </text>
    </comment>
    <comment ref="T191" authorId="66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
Reply:
    8kW allocation reduced due to live reading of 7.5kW</t>
      </text>
    </comment>
    <comment ref="V191" authorId="67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
Reply:
    8kW allocation reduced due to live reading of 5.9kW
Reply:
    8kW allocation reduced due to live reading of 5.9kW
Reply:
    8kW allocation reduced due to live reading of 5.9kW
Reply:
    16kW allocation reduced due to live reading of 5.9kW</t>
      </text>
    </comment>
    <comment ref="Z191" authorId="68" shapeId="0" xr:uid="{19260BE0-9307-4028-B722-65442146415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</t>
      </text>
    </comment>
    <comment ref="AB191" authorId="69" shapeId="0" xr:uid="{96CEFFFB-CCD0-487D-AC5B-3B8FAC893A0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0.6kW</t>
      </text>
    </comment>
    <comment ref="V195" authorId="70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71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72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73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R198" authorId="74" shapeId="0" xr:uid="{309F5932-789F-4290-8F39-3ABB19A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U200" authorId="75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Y200" authorId="76" shapeId="0" xr:uid="{ED02DB05-E32A-4C33-8035-9E698B0529F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17" authorId="77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
Reply:
    5kW allocation reduced due to live reading of 3.3kW</t>
      </text>
    </comment>
    <comment ref="T217" authorId="78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
Reply:
    12kW allocation reduced due to live reading of 1.7kW</t>
      </text>
    </comment>
    <comment ref="V217" authorId="79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80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81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82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
Reply:
    12kW allocation reduced due to live reading of 7.3kW
Reply:
    12kW allocation reduced due to live reading of 7.2kW</t>
      </text>
    </comment>
    <comment ref="T255" authorId="83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
Reply:
    5kW allocation reduced due to live reading of 3.6kW
Reply:
    5kW allocation reduced due to live reading of 3.6kW</t>
      </text>
    </comment>
    <comment ref="X255" authorId="84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
Reply:
    6.5kW allocation reduced due to live reading of 5.7kW
Reply:
    6.5kW allocation reduced due to live reading of 5.7kW</t>
      </text>
    </comment>
    <comment ref="Z255" authorId="85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86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7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8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9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90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91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
Reply:
    6kW allocation reduced due to live reading of 4.8kW
Reply:
    6kW allocation reduced due to live reading of 4.8kW</t>
      </text>
    </comment>
    <comment ref="T267" authorId="92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
Reply:
    4.5kW allocation reduced due to live reading of 2.9kW
Reply:
    4.5kW allocation reduced due to live reading of 2.6kW</t>
      </text>
    </comment>
    <comment ref="V267" authorId="93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1.1kW
Reply:
    2.9kW allocation reduced due to live reading of 1.0kW</t>
      </text>
    </comment>
    <comment ref="X267" authorId="94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95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
Reply:
    1.8kW allocation reduced due to live reading of 0.9kW
Reply:
    1.8kW allocation reduced due to live reading of 0.9kW</t>
      </text>
    </comment>
    <comment ref="AB267" authorId="96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1.1kW
Reply:
    4kW allocation reduced due to live reading of 1.1kW</t>
      </text>
    </comment>
    <comment ref="AD267" authorId="97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
Reply:
    4.2kW allocation reduced due to live reading of 1.1kW</t>
      </text>
    </comment>
    <comment ref="AF267" authorId="98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9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1.1kW</t>
      </text>
    </comment>
    <comment ref="AJ267" authorId="100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
Reply:
    4.5kW allocation reduced due to live reading of 2.7kW
Reply:
    4.5kW allocation reduced due to live reading of 2.7kW
Reply:
    4.5kW allocation reduced due to live reading of 2.5kW</t>
      </text>
    </comment>
    <comment ref="AL267" authorId="101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
Reply:
    5.5kW allocation reduced due to live reading of 1.4kW
Reply:
    5.5kW allocation reduced due to live reading of 1.4kW</t>
      </text>
    </comment>
    <comment ref="R268" authorId="102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3.7kW</t>
      </text>
    </comment>
    <comment ref="V268" authorId="103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2.7kW</t>
      </text>
    </comment>
    <comment ref="X268" authorId="104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3kW</t>
      </text>
    </comment>
    <comment ref="Z268" authorId="105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AB268" authorId="106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AD268" authorId="107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0.8kW</t>
      </text>
    </comment>
    <comment ref="AF268" authorId="108" shapeId="0" xr:uid="{21030FF8-48DA-4E49-955F-DBE1FC6B535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</t>
      </text>
    </comment>
    <comment ref="AH268" authorId="109" shapeId="0" xr:uid="{31E1A6FE-EFFE-41F9-ABAD-AE81535355B8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</t>
      </text>
    </comment>
    <comment ref="U274" authorId="110" shapeId="0" xr:uid="{85F68B60-DC67-4A5B-B41E-589F7A8B44C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75" authorId="111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12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
Reply:
    5KW allocation reduced due to live reading of 3.5KW
Reply:
    5KW allocation reduced due to live reading of 3.4KW</t>
      </text>
    </comment>
    <comment ref="V275" authorId="113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
Reply:
    4.5kW allocation reduced due to live reading of 1.8kW
Reply:
    4.5kW allocation reduced due to live reading of 1.8kW</t>
      </text>
    </comment>
    <comment ref="X275" authorId="114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
Reply:
    4.5kW allocation reduced due to live reading of 2.3kW
Reply:
    4.5kW allocation reduced due to live reading of 2.3kW</t>
      </text>
    </comment>
    <comment ref="Z275" authorId="115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16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17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
Reply:
    4kW allocation reduced due to live reading of  1.1kW
Reply:
    4kW allocation reduced due to live reading of  1.5kW</t>
      </text>
    </comment>
    <comment ref="AF275" authorId="118" shapeId="0" xr:uid="{00000000-0006-0000-0400-00005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7.2KW
</t>
      </text>
    </comment>
    <comment ref="U285" authorId="119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20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21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AA285" authorId="122" shapeId="0" xr:uid="{601EDBAE-256F-4737-9ABC-79E118FF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87" authorId="123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24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25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Y287" authorId="126" shapeId="0" xr:uid="{26C5CB06-02CA-4AB9-9BB3-9F06A10E3BC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90" authorId="127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28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29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302" authorId="130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
Reply:
    8kW allocation reduced due to live reading of 7.0kW
Reply:
    8kW allocation reduced due to live reading of 7.0kW
Reply:
    8kW allocation reduced due to live reading of 7.0kW</t>
      </text>
    </comment>
    <comment ref="V302" authorId="131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</t>
      </text>
    </comment>
    <comment ref="X302" authorId="132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33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34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35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36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37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38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39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09" authorId="140" shapeId="0" xr:uid="{DAF28F67-C5A2-426E-BAF5-63129CE943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R310" authorId="141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42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
Reply:
    4kW allocation reduced due to live reading of 1.7kW
Reply:
    4kW allocation reduced due to live reading of 1.8kW
Reply:
    4kW allocation reduced due to live reading of 1.8kW</t>
      </text>
    </comment>
    <comment ref="V310" authorId="143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44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Z310" authorId="145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0.4KW
Reply:
    2kW allocation reduced due to live reading of 0.5KW</t>
      </text>
    </comment>
    <comment ref="AB310" authorId="146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0.3kW
Reply:
    4kW allocation reduced due to live reading of 0.5kW</t>
      </text>
    </comment>
    <comment ref="AD310" authorId="147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AF310" authorId="148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49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50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0.9kW
Reply:
    5kW allocation reduced due to live reading of 0.9kW
Reply:
    5kW allocation reduced due to live reading of 0.9kW</t>
      </text>
    </comment>
    <comment ref="AI310" authorId="151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52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
Reply:
    5kW allocation reduced due to live reading of 0.6kW
Reply:
    5kW allocation reduced due to live reading of 0.6kW
Reply:
    5kW allocation reduced due to live reading of 0.6kW</t>
      </text>
    </comment>
    <comment ref="R320" authorId="153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54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55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T339" authorId="156" shapeId="0" xr:uid="{C6F93FC6-8B97-440B-BE30-A65A9A046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U339" authorId="157" shapeId="0" xr:uid="{10DBB80F-F013-4D0A-893B-128C231A49B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359" authorId="158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
Reply:
    5kW allocation reduced due to live reading of 3.3KW</t>
      </text>
    </comment>
    <comment ref="T359" authorId="159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7KW</t>
      </text>
    </comment>
    <comment ref="V359" authorId="160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
Reply:
    11kW allocation reduced due to live reading of 6.9KW</t>
      </text>
    </comment>
    <comment ref="X359" authorId="161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
Reply:
    4kW allocation reduced due to live reading of 2KW</t>
      </text>
    </comment>
    <comment ref="Z359" authorId="162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2.1KW</t>
      </text>
    </comment>
    <comment ref="AB359" authorId="163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64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
Reply:
    7kW allocation reduced due to live reading of 5.2KW</t>
      </text>
    </comment>
    <comment ref="AH359" authorId="165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
Reply:
    2.6kW allocation reduced due to live reading of 1.5kW</t>
      </text>
    </comment>
    <comment ref="AL359" authorId="166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S363" authorId="167" shapeId="0" xr:uid="{18B172DA-42E1-4491-8BC3-AFEE1E4109B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R365" authorId="168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
Reply:
    7kW allocation reduced due to live reading of 1.2kW
Reply:
    7kW allocation reduced due to live reading of 1.1kW
Reply:
    7kW allocation reduced due to live reading of 1.1kW</t>
      </text>
    </comment>
    <comment ref="R369" authorId="169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70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0.4kW</t>
      </text>
    </comment>
    <comment ref="R377" authorId="171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
Reply:
    12kW allocation reduced due to live reading of 0.4kW
Reply:
    12kW allocation reduced due to live reading of 0.4kW
Reply:
    12kW allocation reduced due to live reading of 0.4kW
Reply:
    12kW allocation reduced due to live reading of 0.2kW
Reply:
    12kW allocation reduced due to live reading of 0.4kW</t>
      </text>
    </comment>
    <comment ref="R378" authorId="172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0.4kW</t>
      </text>
    </comment>
    <comment ref="Q380" authorId="173" shapeId="0" xr:uid="{5FD6D4D5-17AB-491C-B5F5-6D6208139FF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R381" authorId="174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2.4kW</t>
      </text>
    </comment>
    <comment ref="T381" authorId="175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
Reply:
    12 kW allocation reduced due to live reading of 0.2 kW
Reply:
    12 kW allocation reduced due to live reading of 0.2 kW</t>
      </text>
    </comment>
    <comment ref="R383" authorId="176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
Reply:
    2.5kW allocation reduced due to live reading of 0.9KW</t>
      </text>
    </comment>
    <comment ref="T383" authorId="177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
Reply:
    12kW allocation reduced due to live reading of 3.8kW
Reply:
    12kW allocation reduced due to live reading of 3.9kW</t>
      </text>
    </comment>
    <comment ref="V383" authorId="178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</t>
      </text>
    </comment>
    <comment ref="R393" authorId="179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2.7kW</t>
      </text>
    </comment>
    <comment ref="T393" authorId="180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V393" authorId="181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2.1kW</t>
      </text>
    </comment>
    <comment ref="X393" authorId="182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
Reply:
    4kW allocation reduced due to live reading of 1.4kW</t>
      </text>
    </comment>
    <comment ref="Z393" authorId="183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
Reply:
    4kW allocation reduced due to live reading of 2.8kW</t>
      </text>
    </comment>
    <comment ref="AB393" authorId="184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
Reply:
    4.2kW allocation reduced due to live reading of 1.1kW</t>
      </text>
    </comment>
    <comment ref="Q397" authorId="185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86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0.2kW
Reply:
    12kW allocation reduced due to live reading of 0.6kW
Reply:
    12kW allocation reduced due to live reading of 0.2kW</t>
      </text>
    </comment>
    <comment ref="T405" authorId="187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0.6kW</t>
      </text>
    </comment>
    <comment ref="U409" authorId="188" shapeId="0" xr:uid="{DC40EE43-AF0A-4E84-8895-9C3EF0AC04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U411" authorId="189" shapeId="0" xr:uid="{BCDB9D47-1518-4D17-A8B4-4CB24656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R412" authorId="190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0.7kW
Reply:
    5kW allocation reduced due to live reading of 0.7kW</t>
      </text>
    </comment>
    <comment ref="T412" authorId="191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92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93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94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0.3kW
Reply:
    1kW allocation reduced due to live reading of 0.4kW</t>
      </text>
    </comment>
    <comment ref="Q416" authorId="195" shapeId="0" xr:uid="{614864F7-3B7D-41F8-98BE-1D34B03B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20" authorId="196" shapeId="0" xr:uid="{D9DD88C5-0521-4104-BB95-7023C0B9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425" authorId="197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98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99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S433" authorId="200" shapeId="0" xr:uid="{03456237-D618-4311-A6C9-6B1A29C408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Nokia 7210 SAS SX New rack is planned and power allocated for 6.6KW</t>
      </text>
    </comment>
    <comment ref="Q436" authorId="201" shapeId="0" xr:uid="{D618CAEC-B3EC-4EF1-8FCB-F031D60176EC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 Server(CIENA 6500-R4) is planned under ORMT_SAP_241010_7_10334046</t>
      </text>
    </comment>
    <comment ref="T439" authorId="202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V439" authorId="203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2.3kW</t>
      </text>
    </comment>
    <comment ref="X439" authorId="204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2.2kW</t>
      </text>
    </comment>
    <comment ref="Z439" authorId="205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2.4kW</t>
      </text>
    </comment>
    <comment ref="AB439" authorId="206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</t>
      </text>
    </comment>
    <comment ref="R440" authorId="207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208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6.7kW</t>
      </text>
    </comment>
    <comment ref="V440" authorId="209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2kW</t>
      </text>
    </comment>
    <comment ref="R441" authorId="210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0.2kW</t>
      </text>
    </comment>
    <comment ref="T441" authorId="211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X441" authorId="212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213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214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2kW</t>
      </text>
    </comment>
    <comment ref="Q442" authorId="215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S442" authorId="216" shapeId="0" xr:uid="{0858E7F1-0C24-4457-BB56-380DECA4595A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</t>
      </text>
    </comment>
    <comment ref="T447" authorId="217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</text>
    </comment>
    <comment ref="X447" authorId="218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</t>
      </text>
    </comment>
    <comment ref="Z447" authorId="219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
Reply:
    5kW allocation reduced due to live reading of  2.5kW
Reply:
    5kW allocation reduced due to live reading of  2.5kW</t>
      </text>
    </comment>
    <comment ref="Q452" authorId="220" shapeId="0" xr:uid="{57A8207F-EC01-4520-9F28-584A3A244C2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U453" authorId="221" shapeId="0" xr:uid="{9FFF9CB3-903C-447E-B485-8D43F777801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53" authorId="222" shapeId="0" xr:uid="{448AB1B2-A26E-44A8-BC52-D8E7C59D0D28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rack is planned under ORMT_SAP_241010_7_10334046. Power allocated for 0.5KW</t>
      </text>
    </comment>
    <comment ref="U465" authorId="223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224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T467" authorId="225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26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27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
Reply:
    8kW allocation reduced due to live reading of 5.7kW</t>
      </text>
    </comment>
    <comment ref="AB467" authorId="228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
Reply:
    6kW allocation reduced due to live reading of 4.2kW</t>
      </text>
    </comment>
    <comment ref="R468" authorId="229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30" shapeId="0" xr:uid="{27260D3C-B60E-4876-A0F6-B46CFB1B855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V468" authorId="231" shapeId="0" xr:uid="{B9FCE26F-C31C-4A15-AEC8-1A003BFF91E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</t>
      </text>
    </comment>
    <comment ref="X468" authorId="232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468" authorId="233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
Reply:
    6.5kW allocation reduced due to live reading of 0.7kW</t>
      </text>
    </comment>
    <comment ref="AA468" authorId="234" shapeId="0" xr:uid="{A7B97C4C-9E5D-4E92-8250-89C6B258BBE0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AB468" authorId="235" shapeId="0" xr:uid="{A1681BE7-A1A9-4933-8770-8F8252A52C99}">
      <text>
        <t>[Threaded comment]
Your version of Excel allows you to read this threaded comment; however, any edits to it will get removed if the file is opened in a newer version of Excel. Learn more: https://go.microsoft.com/fwlink/?linkid=870924
Comment:
    5.6kW allocation reduced due to live reading of 3.5kW</t>
      </text>
    </comment>
    <comment ref="V469" authorId="236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4kW allocation reduced due to live reading of 0.6kW
Reply:
    4kW allocation reduced due to live reading of 0.6kW
Reply:
    4kW allocation reduced due to live reading of 0.6kW</t>
      </text>
    </comment>
    <comment ref="X469" authorId="237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
Reply:
    4.2kW allocation reduced due to live reading of 0.6kW
Reply:
    4.2kW allocation reduced due to live reading of 0.6kW</t>
      </text>
    </comment>
    <comment ref="R470" authorId="238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S470" authorId="239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40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
Reply:
    5kW allocation reduced due to live reading of 0.9kW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<sst xmlns="http://schemas.openxmlformats.org/spreadsheetml/2006/main" count="7833" uniqueCount="2171">
  <si>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</si>
  <si>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</si>
  <si>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</si>
  <si>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</si>
  <si>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</si>
  <si>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</si>
  <si>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</si>
  <si>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</si>
  <si>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</si>
  <si>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</si>
  <si>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</si>
  <si>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</si>
  <si>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</si>
  <si>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</si>
  <si>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</si>
  <si>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</si>
  <si>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</si>
  <si>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</si>
  <si>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</si>
  <si>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</si>
  <si>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</si>
  <si>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</si>
  <si>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</si>
  <si>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</si>
  <si>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</si>
  <si>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</si>
  <si>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</si>
  <si>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</si>
  <si>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</si>
  <si>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</si>
  <si>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</si>
  <si>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</si>
  <si>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</si>
  <si>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</si>
  <si>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</si>
  <si>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</si>
  <si>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</si>
  <si>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</si>
  <si>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</si>
  <si>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</si>
  <si>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</si>
  <si>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</si>
  <si>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</si>
  <si>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</si>
  <si>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</si>
  <si>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</si>
  <si>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</si>
  <si>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</si>
  <si>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</si>
  <si>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</si>
  <si>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</si>
  <si>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</si>
  <si>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</si>
  <si>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</si>
  <si>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</si>
  <si>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</si>
  <si>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</si>
  <si>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</si>
  <si>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</si>
  <si>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</si>
  <si>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</si>
  <si>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</si>
  <si>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</si>
  <si>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</si>
  <si>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SYS01A</t>
  </si>
  <si>
    <t>BSH;DC SYS01B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</si>
  <si>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</si>
  <si>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</si>
  <si>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</si>
  <si>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</si>
  <si>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</si>
  <si>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</si>
  <si>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</si>
  <si>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</si>
  <si>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</si>
  <si>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</si>
  <si>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</si>
  <si>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</si>
  <si>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</si>
  <si>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</si>
  <si>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</si>
  <si>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</si>
  <si>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</si>
  <si>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</si>
  <si>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</si>
  <si>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</si>
  <si>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</si>
  <si>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</si>
  <si>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</si>
  <si>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</si>
  <si>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</si>
  <si>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</si>
  <si>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</si>
  <si>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</si>
  <si>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</si>
  <si>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</si>
  <si>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</si>
  <si>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</si>
  <si>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</si>
  <si>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</si>
  <si>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</si>
  <si>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</si>
  <si>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</si>
  <si>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</si>
  <si>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</si>
  <si>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</si>
  <si>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</si>
  <si>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</si>
  <si>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</si>
  <si>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</si>
  <si>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</si>
  <si>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</si>
  <si>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</si>
  <si>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</si>
  <si>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</si>
  <si>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</si>
  <si>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</si>
  <si>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</si>
  <si>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</si>
  <si>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</si>
  <si>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</si>
  <si>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</si>
  <si>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</si>
  <si>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</si>
  <si>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</si>
  <si>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</si>
  <si>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</si>
  <si>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</si>
  <si>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</si>
  <si>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</si>
  <si>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</si>
  <si>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</si>
  <si>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</si>
  <si>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</si>
  <si>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</si>
  <si>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</si>
  <si>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</si>
  <si>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</si>
  <si>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</si>
  <si>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</si>
  <si>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</si>
  <si>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</si>
  <si>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</si>
  <si>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</si>
  <si>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</si>
  <si>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</si>
  <si>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</si>
  <si>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</si>
  <si>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</si>
  <si>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</si>
  <si>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</si>
  <si>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</si>
  <si>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</si>
  <si>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</si>
  <si>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</si>
  <si>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</si>
  <si>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</si>
  <si>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</si>
  <si>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</si>
  <si>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</si>
  <si>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</si>
  <si>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</si>
  <si>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</si>
  <si>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</si>
  <si>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</si>
  <si>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</si>
  <si>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</si>
  <si>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</si>
  <si>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</si>
  <si>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</si>
  <si>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</si>
  <si>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</si>
  <si>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</si>
  <si>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</si>
  <si>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</si>
  <si>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</si>
  <si>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</si>
  <si>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</si>
  <si>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</si>
  <si>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</si>
  <si>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</si>
  <si>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</si>
  <si>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</si>
  <si>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</si>
  <si>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</si>
  <si>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</si>
  <si>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</si>
  <si>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</si>
  <si>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</si>
  <si>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</si>
  <si>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</si>
  <si>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</si>
  <si>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</si>
  <si>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</si>
  <si>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</si>
  <si>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</si>
  <si>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</si>
  <si>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</si>
  <si>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</si>
  <si>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</si>
  <si>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</si>
  <si>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</si>
  <si>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</si>
  <si>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</si>
  <si>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</si>
  <si>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</si>
  <si>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</si>
  <si>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</si>
  <si>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</si>
  <si>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</si>
  <si>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</si>
  <si>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</si>
  <si>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</si>
  <si>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</si>
  <si>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</si>
  <si>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</si>
  <si>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</si>
  <si>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</si>
  <si>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</si>
  <si>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</si>
  <si>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</si>
  <si>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</si>
  <si>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</si>
  <si>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</si>
  <si>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</si>
  <si>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</si>
  <si>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</si>
  <si>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</si>
  <si>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</si>
  <si>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</si>
  <si>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</si>
  <si>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</si>
  <si>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</si>
  <si>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</si>
  <si>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</si>
  <si>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</si>
  <si>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</si>
  <si>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</si>
  <si>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</si>
  <si>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</si>
  <si>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</si>
  <si>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</si>
  <si>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</si>
  <si>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</si>
  <si>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</si>
  <si>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</si>
  <si>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</si>
  <si>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</si>
  <si>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</si>
  <si>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</si>
  <si>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</si>
  <si>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</si>
  <si>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</si>
  <si>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</si>
  <si>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</si>
  <si>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</si>
  <si>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</si>
  <si>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</si>
  <si>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</si>
  <si>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</si>
  <si>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</si>
  <si>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</si>
  <si>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</si>
  <si>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</si>
  <si>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</si>
  <si>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</si>
  <si>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</si>
  <si>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</si>
  <si>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</si>
  <si>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</si>
  <si>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</si>
  <si>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</si>
  <si>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</si>
  <si>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</si>
  <si>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</si>
  <si>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</si>
  <si>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</si>
  <si>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</si>
  <si>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</si>
  <si>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</si>
  <si>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</si>
  <si>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</si>
  <si>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</si>
  <si>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</si>
  <si>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</si>
  <si>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</si>
  <si>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Reading Date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</si>
  <si>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</si>
  <si>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</si>
  <si>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</si>
  <si>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</si>
  <si>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</si>
  <si>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</si>
  <si>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</si>
  <si>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</si>
  <si>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</si>
  <si>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</si>
  <si>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</si>
  <si>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</si>
  <si>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</si>
  <si>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</si>
  <si>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</si>
  <si>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</si>
  <si>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</si>
  <si>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</si>
  <si>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</si>
  <si>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</si>
  <si>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</si>
  <si>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</si>
  <si>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</si>
  <si>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</si>
  <si>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</si>
  <si>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</si>
  <si>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</si>
  <si>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Dual/Single</t>
  </si>
  <si>
    <t>Battery bracket removal</t>
  </si>
  <si>
    <t>Battery bracket remove</t>
  </si>
  <si>
    <t>ANGLIA</t>
  </si>
  <si>
    <t>ALDEBURGH</t>
  </si>
  <si>
    <t xml:space="preserve">GIS Migrated 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</si>
  <si>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</si>
  <si>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</si>
  <si>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</si>
  <si>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</si>
  <si>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</si>
  <si>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</si>
  <si>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</si>
  <si>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</si>
  <si>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</si>
  <si>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</si>
  <si>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GIS MIGRATING</t>
  </si>
  <si>
    <t>ABN</t>
  </si>
  <si>
    <t>Duvine DD686</t>
  </si>
  <si>
    <t>PowerSafe</t>
  </si>
  <si>
    <t>DDm85-25</t>
  </si>
  <si>
    <t>30</t>
  </si>
  <si>
    <t>ABNTB1</t>
  </si>
  <si>
    <t>Eaton Powerware APR48</t>
  </si>
  <si>
    <t>DDm100-25</t>
  </si>
  <si>
    <t>4</t>
  </si>
  <si>
    <t>45</t>
  </si>
  <si>
    <t>ABNTD1</t>
  </si>
  <si>
    <t>DDm100-27</t>
  </si>
  <si>
    <t>60</t>
  </si>
  <si>
    <t>LONDON</t>
  </si>
  <si>
    <t>ACTN01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</si>
  <si>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</si>
  <si>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</si>
  <si>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</si>
  <si>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</si>
  <si>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</si>
  <si>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</si>
  <si>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</si>
  <si>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</si>
  <si>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</si>
  <si>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</si>
  <si>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</si>
  <si>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</si>
  <si>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</si>
  <si>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ASH</t>
  </si>
  <si>
    <t>9</t>
  </si>
  <si>
    <t>12V155F</t>
  </si>
  <si>
    <t>13</t>
  </si>
  <si>
    <t>THAMES VALLEY</t>
  </si>
  <si>
    <t>AMERSHAM</t>
  </si>
  <si>
    <t>ASMN02</t>
  </si>
  <si>
    <t>2DDm85-15</t>
  </si>
  <si>
    <t>150</t>
  </si>
  <si>
    <t>AYR</t>
  </si>
  <si>
    <t>AYRN01</t>
  </si>
  <si>
    <t>Power One PMP 11.48</t>
  </si>
  <si>
    <t>20</t>
  </si>
  <si>
    <t>SOUTH WEST</t>
  </si>
  <si>
    <t>BRISTOL</t>
  </si>
  <si>
    <t>AZTCD1</t>
  </si>
  <si>
    <t>6</t>
  </si>
  <si>
    <t>65</t>
  </si>
  <si>
    <t>MIDLANDS</t>
  </si>
  <si>
    <t>WEDNESBURY</t>
  </si>
  <si>
    <t>BCT</t>
  </si>
  <si>
    <t>7</t>
  </si>
  <si>
    <t>36</t>
  </si>
  <si>
    <t>BUDE</t>
  </si>
  <si>
    <t>BDEN02</t>
  </si>
  <si>
    <t>Eaton Powerware NPR.48</t>
  </si>
  <si>
    <t>Redstream Optical Network Site</t>
  </si>
  <si>
    <t>BDEN06</t>
  </si>
  <si>
    <t>FIAMM</t>
  </si>
  <si>
    <t>2SLA1000</t>
  </si>
  <si>
    <t>114.42</t>
  </si>
  <si>
    <t>NORTHERN HOME COUNTIES</t>
  </si>
  <si>
    <t>BEDFORD</t>
  </si>
  <si>
    <t>GIS Migrated - Capped</t>
  </si>
  <si>
    <t>BDFN02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</si>
  <si>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</si>
  <si>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</si>
  <si>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</si>
  <si>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</si>
  <si>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</si>
  <si>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</si>
  <si>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</si>
  <si>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</si>
  <si>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</si>
  <si>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</si>
  <si>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BFEC01</t>
  </si>
  <si>
    <t>DDm100-33</t>
  </si>
  <si>
    <t>72</t>
  </si>
  <si>
    <t>BFTN03</t>
  </si>
  <si>
    <t>93</t>
  </si>
  <si>
    <t>BIRMINGHAM</t>
  </si>
  <si>
    <t>BHMN07</t>
  </si>
  <si>
    <t>12.6</t>
  </si>
  <si>
    <t>P Core use only</t>
  </si>
  <si>
    <t>BHMN05</t>
  </si>
  <si>
    <t>2CP2000</t>
  </si>
  <si>
    <t>110</t>
  </si>
  <si>
    <t>BHMN08</t>
  </si>
  <si>
    <t>BHMTF1</t>
  </si>
  <si>
    <t>120</t>
  </si>
  <si>
    <t>BOREHAMWOOD</t>
  </si>
  <si>
    <t>BHWCN1</t>
  </si>
  <si>
    <t>NORTH WEST</t>
  </si>
  <si>
    <t>BARROW-IN-FURNESS</t>
  </si>
  <si>
    <t>BIFTS1</t>
  </si>
  <si>
    <t>1</t>
  </si>
  <si>
    <t>Space; Power; Air Con</t>
  </si>
  <si>
    <t>BLACKBURN</t>
  </si>
  <si>
    <t>BKBN41</t>
  </si>
  <si>
    <t>BRACKNELL</t>
  </si>
  <si>
    <t>BKLN05</t>
  </si>
  <si>
    <t>12</t>
  </si>
  <si>
    <t>495</t>
  </si>
  <si>
    <t>664</t>
  </si>
  <si>
    <t>Eaton Powerware HDR48-ES</t>
  </si>
  <si>
    <t>BMGV03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</si>
  <si>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</si>
  <si>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</si>
  <si>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</si>
  <si>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</si>
  <si>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</si>
  <si>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</si>
  <si>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</si>
  <si>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</si>
  <si>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</si>
  <si>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BPL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</si>
  <si>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</si>
  <si>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</si>
  <si>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</si>
  <si>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</si>
  <si>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</si>
  <si>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</si>
  <si>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</si>
  <si>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</si>
  <si>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</si>
  <si>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BSG</t>
  </si>
  <si>
    <t>44</t>
  </si>
  <si>
    <t>BSHN07</t>
  </si>
  <si>
    <t>135</t>
  </si>
  <si>
    <t>BSHN03</t>
  </si>
  <si>
    <t>540</t>
  </si>
  <si>
    <t>BRENTFORD</t>
  </si>
  <si>
    <t>BTFTB1</t>
  </si>
  <si>
    <t>186</t>
  </si>
  <si>
    <t>BTLCD1</t>
  </si>
  <si>
    <t>117</t>
  </si>
  <si>
    <t>DC Dist</t>
  </si>
  <si>
    <t>BTLN08</t>
  </si>
  <si>
    <t>126</t>
  </si>
  <si>
    <t>BTLN09</t>
  </si>
  <si>
    <t>142</t>
  </si>
  <si>
    <t>BRIGHTON</t>
  </si>
  <si>
    <t>BTN</t>
  </si>
  <si>
    <t>DDm85-33</t>
  </si>
  <si>
    <t>80</t>
  </si>
  <si>
    <t>BARTON</t>
  </si>
  <si>
    <t>BTNW01</t>
  </si>
  <si>
    <t>9.2</t>
  </si>
  <si>
    <t>GLASGOW</t>
  </si>
  <si>
    <t>BTRTP1</t>
  </si>
  <si>
    <t>BALLYWATER</t>
  </si>
  <si>
    <t>BYR</t>
  </si>
  <si>
    <t>CAMBRIDGE</t>
  </si>
  <si>
    <t>CAMN02</t>
  </si>
  <si>
    <t>CAMN41</t>
  </si>
  <si>
    <t>CANTERBURY</t>
  </si>
  <si>
    <t>CBY</t>
  </si>
  <si>
    <t>2DDm85-13</t>
  </si>
  <si>
    <t>22.5</t>
  </si>
  <si>
    <t>WALES</t>
  </si>
  <si>
    <t>CARDIFF</t>
  </si>
  <si>
    <t>CDFN02</t>
  </si>
  <si>
    <t>STOKE-ON-TRENT</t>
  </si>
  <si>
    <t>CELL01</t>
  </si>
  <si>
    <t>CHELMSFORD</t>
  </si>
  <si>
    <t>CFDTN1</t>
  </si>
  <si>
    <t>22</t>
  </si>
  <si>
    <t>CHESTERFIELD</t>
  </si>
  <si>
    <t>CHDCD1</t>
  </si>
  <si>
    <t>CHELTENHAM</t>
  </si>
  <si>
    <t>CHMN21</t>
  </si>
  <si>
    <t>CHTN07</t>
  </si>
  <si>
    <t>240</t>
  </si>
  <si>
    <t>CHTTN3</t>
  </si>
  <si>
    <t>262</t>
  </si>
  <si>
    <t>CREWKERNE</t>
  </si>
  <si>
    <t>CKNN03</t>
  </si>
  <si>
    <t>COVENTRY</t>
  </si>
  <si>
    <t>COV</t>
  </si>
  <si>
    <t>COWLEY</t>
  </si>
  <si>
    <t>COWL02</t>
  </si>
  <si>
    <t>Eaton Powerware APR48-3G</t>
  </si>
  <si>
    <t>12V105F</t>
  </si>
  <si>
    <t>14</t>
  </si>
  <si>
    <t>CARLISLE</t>
  </si>
  <si>
    <t>CSLN13</t>
  </si>
  <si>
    <t>40</t>
  </si>
  <si>
    <t>CREDITON</t>
  </si>
  <si>
    <t>CTNN01</t>
  </si>
  <si>
    <t>66</t>
  </si>
  <si>
    <t>CHESTER</t>
  </si>
  <si>
    <t>CTRTK1</t>
  </si>
  <si>
    <t>CTRTS1</t>
  </si>
  <si>
    <t>25</t>
  </si>
  <si>
    <t>CROYDON</t>
  </si>
  <si>
    <t>CYNTN2(EXT'N)</t>
  </si>
  <si>
    <t>DERBY</t>
  </si>
  <si>
    <t>DBY</t>
  </si>
  <si>
    <t>2SLA1500</t>
  </si>
  <si>
    <t>43</t>
  </si>
  <si>
    <t>DIDCOT</t>
  </si>
  <si>
    <t>DCT</t>
  </si>
  <si>
    <t>DUMFRIES</t>
  </si>
  <si>
    <t>DFSN01</t>
  </si>
  <si>
    <t xml:space="preserve">SBS XL 150F-FT </t>
  </si>
  <si>
    <t>DFSNC1</t>
  </si>
  <si>
    <t>SBS 12V100F</t>
  </si>
  <si>
    <t>DOUGLAS</t>
  </si>
  <si>
    <t>DGS</t>
  </si>
  <si>
    <t>12v170FS</t>
  </si>
  <si>
    <t>DURHAM</t>
  </si>
  <si>
    <t>DHMNU1</t>
  </si>
  <si>
    <t>DKTN08</t>
  </si>
  <si>
    <t>200</t>
  </si>
  <si>
    <t>DUNDONALD</t>
  </si>
  <si>
    <t>DLD</t>
  </si>
  <si>
    <t>DARLINGTON</t>
  </si>
  <si>
    <t>DLNTC1</t>
  </si>
  <si>
    <t>DUNDEE</t>
  </si>
  <si>
    <t>DNDN71</t>
  </si>
  <si>
    <t>DNDTC1</t>
  </si>
  <si>
    <t>DUNFERMLINE</t>
  </si>
  <si>
    <t>DNFNP1</t>
  </si>
  <si>
    <t>DONCASTER</t>
  </si>
  <si>
    <t>DONTN1</t>
  </si>
  <si>
    <t>26</t>
  </si>
  <si>
    <t>DEVIZES</t>
  </si>
  <si>
    <t>DVSTB1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</si>
  <si>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</si>
  <si>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</si>
  <si>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</si>
  <si>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</si>
  <si>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</si>
  <si>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</si>
  <si>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</si>
  <si>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EBCTC1</t>
  </si>
  <si>
    <t>4.5</t>
  </si>
  <si>
    <t>EDINBURGH</t>
  </si>
  <si>
    <t>EDBN07</t>
  </si>
  <si>
    <t>DDm85-21</t>
  </si>
  <si>
    <t>EDBTG1</t>
  </si>
  <si>
    <t>140</t>
  </si>
  <si>
    <t>EDBTN1</t>
  </si>
  <si>
    <t>DDm125-27</t>
  </si>
  <si>
    <t>ELGIN</t>
  </si>
  <si>
    <t>EGNTM1</t>
  </si>
  <si>
    <t>EVESHAM</t>
  </si>
  <si>
    <t>EVMN01</t>
  </si>
  <si>
    <t>EXETER</t>
  </si>
  <si>
    <t>EXR</t>
  </si>
  <si>
    <t>67</t>
  </si>
  <si>
    <t>FOLKESTONE</t>
  </si>
  <si>
    <t>FKE</t>
  </si>
  <si>
    <t>DDm125-25</t>
  </si>
  <si>
    <t>MORPETH</t>
  </si>
  <si>
    <t>FLNTT1</t>
  </si>
  <si>
    <t>FRIMLEY</t>
  </si>
  <si>
    <t>FMYN31</t>
  </si>
  <si>
    <t>FRADDON</t>
  </si>
  <si>
    <t>FRNN03</t>
  </si>
  <si>
    <t>GLOUCESTER</t>
  </si>
  <si>
    <t>GCRTB1</t>
  </si>
  <si>
    <t>GUILDFORD</t>
  </si>
  <si>
    <t>GFDCD1</t>
  </si>
  <si>
    <t>GLWN07</t>
  </si>
  <si>
    <t>GLWTO1</t>
  </si>
  <si>
    <t>GLWTW1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</si>
  <si>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</si>
  <si>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</si>
  <si>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</si>
  <si>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</si>
  <si>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</si>
  <si>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</si>
  <si>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</si>
  <si>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</si>
  <si>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HHD</t>
  </si>
  <si>
    <t>DDm85-27</t>
  </si>
  <si>
    <t>HILLINGDON</t>
  </si>
  <si>
    <t>HLDA11</t>
  </si>
  <si>
    <t>HLDA12</t>
  </si>
  <si>
    <t>HARLOW</t>
  </si>
  <si>
    <t>HLWN02</t>
  </si>
  <si>
    <t>HOUNSLOW</t>
  </si>
  <si>
    <t>HRWN02</t>
  </si>
  <si>
    <t>HARROGATE</t>
  </si>
  <si>
    <t>HTE</t>
  </si>
  <si>
    <t>IGNN01</t>
  </si>
  <si>
    <t>98</t>
  </si>
  <si>
    <t>DC Power</t>
  </si>
  <si>
    <t>INVERNESS</t>
  </si>
  <si>
    <t>INVN41</t>
  </si>
  <si>
    <t>INVTL1</t>
  </si>
  <si>
    <t>Planned closure</t>
  </si>
  <si>
    <t>IODN01</t>
  </si>
  <si>
    <t>IODTA1</t>
  </si>
  <si>
    <t>SBS EON 1800</t>
  </si>
  <si>
    <t>81</t>
  </si>
  <si>
    <t>IPSWICH</t>
  </si>
  <si>
    <t>IPWTN1</t>
  </si>
  <si>
    <t>IVER</t>
  </si>
  <si>
    <t>IVER02</t>
  </si>
  <si>
    <t>12V101F (2 Hour rate)</t>
  </si>
  <si>
    <t>Space; Power; Autonomy</t>
  </si>
  <si>
    <t>KINGS LYNN</t>
  </si>
  <si>
    <t>KLNN01</t>
  </si>
  <si>
    <t>KENDAL</t>
  </si>
  <si>
    <t>KNLTS1</t>
  </si>
  <si>
    <t>LEICESTER</t>
  </si>
  <si>
    <t>LCT</t>
  </si>
  <si>
    <t>2CP3000</t>
  </si>
  <si>
    <t>LEEDS</t>
  </si>
  <si>
    <t>CLOSED</t>
  </si>
  <si>
    <t>LDMS13</t>
  </si>
  <si>
    <t>32</t>
  </si>
  <si>
    <t>LDSCD2</t>
  </si>
  <si>
    <t>260</t>
  </si>
  <si>
    <t>LDSN14</t>
  </si>
  <si>
    <t>LDSTS1</t>
  </si>
  <si>
    <t>180</t>
  </si>
  <si>
    <t>LIVINGSTON</t>
  </si>
  <si>
    <t>LIVN01</t>
  </si>
  <si>
    <t>PRESTON</t>
  </si>
  <si>
    <t>LLDTE1</t>
  </si>
  <si>
    <t>LEAMINGTON SPA</t>
  </si>
  <si>
    <t>LMSCN2</t>
  </si>
  <si>
    <t>28</t>
  </si>
  <si>
    <t>PRESCOT</t>
  </si>
  <si>
    <t>LPLTB1</t>
  </si>
  <si>
    <t>LIVERPOOL</t>
  </si>
  <si>
    <t>LPLTK1</t>
  </si>
  <si>
    <t>LSWN01</t>
  </si>
  <si>
    <t>DDm125-33 (2hr rate)</t>
  </si>
  <si>
    <t>95</t>
  </si>
  <si>
    <t>Power; Autonomy</t>
  </si>
  <si>
    <t>LUTON</t>
  </si>
  <si>
    <t>GIS MIGRATING - CAPPED</t>
  </si>
  <si>
    <t>LTNDN1</t>
  </si>
  <si>
    <t>MANCHESTER</t>
  </si>
  <si>
    <t>MCRCD2</t>
  </si>
  <si>
    <t>Chloride</t>
  </si>
  <si>
    <t>VH34</t>
  </si>
  <si>
    <t>MCRN11</t>
  </si>
  <si>
    <t>Planned Closure</t>
  </si>
  <si>
    <t>MCRN12</t>
  </si>
  <si>
    <t>500</t>
  </si>
  <si>
    <t>MIDDLESBROUGH</t>
  </si>
  <si>
    <t>MDBTD1</t>
  </si>
  <si>
    <t>Power One PMP 25.48</t>
  </si>
  <si>
    <t>MAIDSTONE</t>
  </si>
  <si>
    <t>MDE</t>
  </si>
  <si>
    <t>MACDUFF</t>
  </si>
  <si>
    <t>MDFTB1</t>
  </si>
  <si>
    <t>MILTON KEYNES</t>
  </si>
  <si>
    <t>MKSTN1</t>
  </si>
  <si>
    <t>NEWBURY</t>
  </si>
  <si>
    <t>NBYCD1</t>
  </si>
  <si>
    <t xml:space="preserve">2CP1000 </t>
  </si>
  <si>
    <t>NECCD1</t>
  </si>
  <si>
    <t>NOTTINGHAM</t>
  </si>
  <si>
    <t>NGM</t>
  </si>
  <si>
    <t>2CP1400</t>
  </si>
  <si>
    <t>133</t>
  </si>
  <si>
    <t>NGMTL1</t>
  </si>
  <si>
    <t>NORWICH</t>
  </si>
  <si>
    <t>NRWN51</t>
  </si>
  <si>
    <t>NRWTN1</t>
  </si>
  <si>
    <t>NEWCASTLE-UNDER-LYME</t>
  </si>
  <si>
    <t>NULTB1</t>
  </si>
  <si>
    <t>NEWCASTLE</t>
  </si>
  <si>
    <t>NWCN05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</si>
  <si>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</si>
  <si>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</si>
  <si>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</si>
  <si>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</si>
  <si>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</si>
  <si>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</si>
  <si>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</si>
  <si>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OHB</t>
  </si>
  <si>
    <t>OKEHAMPTON</t>
  </si>
  <si>
    <t>OKNN01</t>
  </si>
  <si>
    <t>52</t>
  </si>
  <si>
    <t>PENZANCE</t>
  </si>
  <si>
    <t>PCOTN1</t>
  </si>
  <si>
    <t>PLYMOUTH</t>
  </si>
  <si>
    <t>PLY</t>
  </si>
  <si>
    <t>133.1</t>
  </si>
  <si>
    <t>PENRITH</t>
  </si>
  <si>
    <t>PNRTN1</t>
  </si>
  <si>
    <t>Harmer &amp; Simmons SC3A/50/100</t>
  </si>
  <si>
    <t>2V460</t>
  </si>
  <si>
    <t>POOLE</t>
  </si>
  <si>
    <t>POLN02</t>
  </si>
  <si>
    <t>PETERHEAD</t>
  </si>
  <si>
    <t>PRDTB1</t>
  </si>
  <si>
    <t>12V92F</t>
  </si>
  <si>
    <t>PRLN02</t>
  </si>
  <si>
    <t>PETERBOROUGH</t>
  </si>
  <si>
    <t>PTBTN1</t>
  </si>
  <si>
    <t>Space; Autonomy</t>
  </si>
  <si>
    <t>PERTH</t>
  </si>
  <si>
    <t>PTHTL1</t>
  </si>
  <si>
    <t>PORTSMOUTH</t>
  </si>
  <si>
    <t>PTMDN1</t>
  </si>
  <si>
    <t>2CP650</t>
  </si>
  <si>
    <t>PTMN03</t>
  </si>
  <si>
    <t>RATCLIFFE ON SOAR</t>
  </si>
  <si>
    <t>RATE02</t>
  </si>
  <si>
    <t>Advance MRF2800</t>
  </si>
  <si>
    <t>ROCHESTER</t>
  </si>
  <si>
    <t>RCR</t>
  </si>
  <si>
    <t>READING</t>
  </si>
  <si>
    <t>RDGCD2</t>
  </si>
  <si>
    <t>42</t>
  </si>
  <si>
    <t>RDG</t>
  </si>
  <si>
    <t>48</t>
  </si>
  <si>
    <t>ROMFORD</t>
  </si>
  <si>
    <t>RFDN11</t>
  </si>
  <si>
    <t>SCARBOROUGH</t>
  </si>
  <si>
    <t>SBHN01</t>
  </si>
  <si>
    <t>SWINDON</t>
  </si>
  <si>
    <t>SDN</t>
  </si>
  <si>
    <t>83</t>
  </si>
  <si>
    <t>SDNN06</t>
  </si>
  <si>
    <t>DDm100-33 (2 Hour rate)</t>
  </si>
  <si>
    <t>548</t>
  </si>
  <si>
    <t>SDNN13</t>
  </si>
  <si>
    <t>DDm85-21(2 Hour Rate)</t>
  </si>
  <si>
    <t>SHEFFIELD</t>
  </si>
  <si>
    <t>SHD</t>
  </si>
  <si>
    <t>SHDTR1</t>
  </si>
  <si>
    <t>SOUTHAMPTON</t>
  </si>
  <si>
    <t>SHTN03</t>
  </si>
  <si>
    <t>112.5</t>
  </si>
  <si>
    <t>SLOUGH</t>
  </si>
  <si>
    <t>SLO</t>
  </si>
  <si>
    <t>SMHN02</t>
  </si>
  <si>
    <t>SUNDERLAND</t>
  </si>
  <si>
    <t>SNDTM1</t>
  </si>
  <si>
    <t>SOLIHULL</t>
  </si>
  <si>
    <t>SOLN02</t>
  </si>
  <si>
    <t>SOUTHEND</t>
  </si>
  <si>
    <t>SOSTN1</t>
  </si>
  <si>
    <t>STOKE</t>
  </si>
  <si>
    <t>SOT</t>
  </si>
  <si>
    <t>24</t>
  </si>
  <si>
    <t>SQYN01</t>
  </si>
  <si>
    <t>250</t>
  </si>
  <si>
    <t>SQYN02</t>
  </si>
  <si>
    <t>498</t>
  </si>
  <si>
    <t>STEVENAGE</t>
  </si>
  <si>
    <t>STEDN1</t>
  </si>
  <si>
    <t>SBS480 EON</t>
  </si>
  <si>
    <t>STIRLING</t>
  </si>
  <si>
    <t>STGCD1</t>
  </si>
  <si>
    <t>SWNN03</t>
  </si>
  <si>
    <t>SHREWSBURY</t>
  </si>
  <si>
    <t>SWY</t>
  </si>
  <si>
    <t>2SLA2000</t>
  </si>
  <si>
    <t>40.5</t>
  </si>
  <si>
    <t>TELHS1</t>
  </si>
  <si>
    <t>Benning Tebechop 2700</t>
  </si>
  <si>
    <t>34</t>
  </si>
  <si>
    <t>TELHS2</t>
  </si>
  <si>
    <t>12UMTB160</t>
  </si>
  <si>
    <t>18</t>
  </si>
  <si>
    <t>TGYN04</t>
  </si>
  <si>
    <t>22.2</t>
  </si>
  <si>
    <t>P Core use only, Power</t>
  </si>
  <si>
    <t>THURSO</t>
  </si>
  <si>
    <t>THOTC1</t>
  </si>
  <si>
    <t>TAUNTON</t>
  </si>
  <si>
    <t>TNTTN1</t>
  </si>
  <si>
    <t>TRURO</t>
  </si>
  <si>
    <t>TRON01</t>
  </si>
  <si>
    <t>VAUXHALL</t>
  </si>
  <si>
    <t>VHXN02</t>
  </si>
  <si>
    <t>WADN01</t>
  </si>
  <si>
    <t>WATFORD</t>
  </si>
  <si>
    <t>WAHP06</t>
  </si>
  <si>
    <t>Power;Autonomy</t>
  </si>
  <si>
    <t>WAHP03</t>
  </si>
  <si>
    <t>WAIP06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</si>
  <si>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</si>
  <si>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</si>
  <si>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</si>
  <si>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</si>
  <si>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</si>
  <si>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</si>
  <si>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</si>
  <si>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</si>
  <si>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WHHN03</t>
  </si>
  <si>
    <t>WOKING</t>
  </si>
  <si>
    <t>WKGN01</t>
  </si>
  <si>
    <t>88</t>
  </si>
  <si>
    <t>WORKINGTON</t>
  </si>
  <si>
    <t>WONTL1</t>
  </si>
  <si>
    <t>WARRINGTON</t>
  </si>
  <si>
    <t>WTNTK1</t>
  </si>
  <si>
    <t>94</t>
  </si>
  <si>
    <t>WINTERTON</t>
  </si>
  <si>
    <t>WTT</t>
  </si>
  <si>
    <t>37.8</t>
  </si>
  <si>
    <t>WOLVERHAMPTON</t>
  </si>
  <si>
    <t>WVHTF1</t>
  </si>
  <si>
    <t>14.8</t>
  </si>
  <si>
    <t>YORK</t>
  </si>
  <si>
    <t>YRK</t>
  </si>
  <si>
    <t>YRKTH1</t>
  </si>
  <si>
    <t>CYNTN2</t>
  </si>
  <si>
    <t>VHXINT</t>
  </si>
  <si>
    <t xml:space="preserve"> </t>
  </si>
  <si>
    <t>232</t>
  </si>
  <si>
    <t>BSHN08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</si>
  <si>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</si>
  <si>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</si>
  <si>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</si>
  <si>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</si>
  <si>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</si>
  <si>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</si>
  <si>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</si>
  <si>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</si>
  <si>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</si>
  <si>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</si>
  <si>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</si>
  <si>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</si>
  <si>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</si>
  <si>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</si>
  <si>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AZTCD2</t>
  </si>
  <si>
    <t>594</t>
  </si>
  <si>
    <t>SDNN11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</si>
  <si>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</si>
  <si>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</si>
  <si>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</si>
  <si>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</si>
  <si>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</si>
  <si>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</si>
  <si>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</si>
  <si>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</si>
  <si>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</si>
  <si>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</si>
  <si>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Capped?</t>
  </si>
  <si>
    <t>Reason</t>
  </si>
  <si>
    <t>Distribution</t>
  </si>
  <si>
    <t>System</t>
  </si>
  <si>
    <t>Existing Load A</t>
  </si>
  <si>
    <t>Existing Load B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</si>
  <si>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</si>
  <si>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</si>
  <si>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</si>
  <si>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</si>
  <si>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</si>
  <si>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</si>
  <si>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</si>
  <si>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</si>
  <si>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</si>
  <si>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</si>
  <si>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</si>
  <si>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</si>
  <si>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</si>
  <si>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</si>
  <si>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</si>
  <si>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</si>
  <si>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</si>
  <si>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</si>
  <si>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</si>
  <si>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</si>
  <si>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</si>
  <si>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</si>
  <si>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</si>
  <si>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</si>
  <si>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</si>
  <si>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</si>
  <si>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</si>
  <si>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</si>
  <si>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</si>
  <si>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</si>
  <si>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</si>
  <si>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</si>
  <si>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</si>
  <si>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</si>
  <si>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</si>
  <si>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</si>
  <si>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</si>
  <si>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</si>
  <si>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</si>
  <si>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</si>
  <si>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</si>
  <si>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</si>
  <si>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</si>
  <si>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</si>
  <si>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</si>
  <si>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</si>
  <si>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</si>
  <si>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</si>
  <si>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</si>
  <si>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</si>
  <si>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</si>
  <si>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</si>
  <si>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</si>
  <si>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</si>
  <si>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</si>
  <si>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</si>
  <si>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BDBE08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</si>
  <si>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</si>
  <si>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</si>
  <si>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</si>
  <si>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</si>
  <si>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</si>
  <si>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</si>
  <si>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</si>
  <si>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Nokia 7750 SR2s_C2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</si>
  <si>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</si>
  <si>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</si>
  <si>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</si>
  <si>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</si>
  <si>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</si>
  <si>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</si>
  <si>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</si>
  <si>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Nokia 7750 SR2s_L5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</si>
  <si>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</si>
  <si>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</si>
  <si>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</si>
  <si>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</si>
  <si>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</si>
  <si>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</si>
  <si>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</si>
  <si>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</si>
  <si>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</si>
  <si>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</si>
  <si>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</si>
  <si>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</si>
  <si>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</si>
  <si>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</si>
  <si>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</si>
  <si>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</si>
  <si>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</si>
  <si>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</si>
  <si>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</si>
  <si>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</si>
  <si>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</si>
  <si>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</si>
  <si>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</si>
  <si>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</si>
  <si>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</si>
  <si>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</si>
  <si>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</si>
  <si>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</si>
  <si>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</si>
  <si>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</si>
  <si>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</si>
  <si>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</si>
  <si>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 xml:space="preserve">BEBF12 Nokia 7210 SAS SX
</t>
  </si>
  <si>
    <t>BE08 QWILT</t>
  </si>
  <si>
    <t>BN14 SKY/AKAMAI</t>
  </si>
  <si>
    <t>BEBF14 WAVESERVER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</si>
  <si>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</si>
  <si>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</si>
  <si>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</si>
  <si>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</si>
  <si>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</si>
  <si>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</si>
  <si>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</si>
  <si>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Nokia 7750 SR2s_F13</t>
  </si>
  <si>
    <t>A2 RA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</si>
  <si>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</si>
  <si>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</si>
  <si>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</si>
  <si>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</si>
  <si>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</si>
  <si>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</si>
  <si>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</si>
  <si>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</si>
  <si>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</si>
  <si>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</si>
  <si>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</si>
  <si>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</si>
  <si>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</si>
  <si>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E9 - Facebook</t>
  </si>
  <si>
    <t>E10 - Facebook</t>
  </si>
  <si>
    <t>Google</t>
  </si>
  <si>
    <t>CA17 6500-7</t>
  </si>
  <si>
    <t>CC12 6500-14</t>
  </si>
  <si>
    <t>MSPP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</si>
  <si>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</si>
  <si>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</si>
  <si>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</si>
  <si>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</si>
  <si>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</si>
  <si>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</si>
  <si>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</si>
  <si>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</si>
  <si>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</si>
  <si>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</si>
  <si>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AA5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</si>
  <si>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</si>
  <si>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</si>
  <si>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</si>
  <si>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</si>
  <si>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</si>
  <si>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</si>
  <si>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</si>
  <si>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</si>
  <si>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</si>
  <si>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</si>
  <si>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</si>
  <si>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</si>
  <si>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</si>
  <si>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</si>
  <si>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</si>
  <si>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</si>
  <si>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</si>
  <si>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</si>
  <si>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</si>
  <si>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</si>
  <si>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</si>
  <si>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</si>
  <si>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</si>
  <si>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</si>
  <si>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</si>
  <si>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</si>
  <si>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</si>
  <si>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>Nokia 7750 SR2s_Y5</t>
  </si>
  <si>
    <t>G11 ADVA XG120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</si>
  <si>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</si>
  <si>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</si>
  <si>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</si>
  <si>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</si>
  <si>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</si>
  <si>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</si>
  <si>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</si>
  <si>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</si>
  <si>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</si>
  <si>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</si>
  <si>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</si>
  <si>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</si>
  <si>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</si>
  <si>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</si>
  <si>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</si>
  <si>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</si>
  <si>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</si>
  <si>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</si>
  <si>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</si>
  <si>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</si>
  <si>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</si>
  <si>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</si>
  <si>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</si>
  <si>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</si>
  <si>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</si>
  <si>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</si>
  <si>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</si>
  <si>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</si>
  <si>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</si>
  <si>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</si>
  <si>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</si>
  <si>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</si>
  <si>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</si>
  <si>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</si>
  <si>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</si>
  <si>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</si>
  <si>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</si>
  <si>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E1 WAVESERVER</t>
  </si>
  <si>
    <t>BT OSA AB08</t>
  </si>
  <si>
    <t>h</t>
  </si>
  <si>
    <t>ST04 RA</t>
  </si>
  <si>
    <t>ST05 Alcatel 7210</t>
  </si>
  <si>
    <t>ST07 Alcate 7210</t>
  </si>
  <si>
    <t>A04 BT EAD</t>
  </si>
  <si>
    <t>DE06 RA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</si>
  <si>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</si>
  <si>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</si>
  <si>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</si>
  <si>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</si>
  <si>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</si>
  <si>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</si>
  <si>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</si>
  <si>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</si>
  <si>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</si>
  <si>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</si>
  <si>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</si>
  <si>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</si>
  <si>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</si>
  <si>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</si>
  <si>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</si>
  <si>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</si>
  <si>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</si>
  <si>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</si>
  <si>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</si>
  <si>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</si>
  <si>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</si>
  <si>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</si>
  <si>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</si>
  <si>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</si>
  <si>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</si>
  <si>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</si>
  <si>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</si>
  <si>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</si>
  <si>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</si>
  <si>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</si>
  <si>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</si>
  <si>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Ciena 6500 D04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</si>
  <si>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</si>
  <si>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</si>
  <si>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</si>
  <si>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</si>
  <si>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</si>
  <si>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</si>
  <si>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</si>
  <si>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</si>
  <si>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</si>
  <si>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</si>
  <si>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</si>
  <si>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</si>
  <si>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</si>
  <si>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</si>
  <si>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</si>
  <si>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</si>
  <si>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</si>
  <si>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</si>
  <si>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</si>
  <si>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</si>
  <si>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</si>
  <si>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</si>
  <si>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</si>
  <si>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</si>
  <si>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</si>
  <si>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</si>
  <si>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</si>
  <si>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</si>
  <si>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</si>
  <si>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</si>
  <si>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</si>
  <si>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</si>
  <si>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</si>
  <si>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Nokia 7750 SR2s_JK6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</si>
  <si>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</si>
  <si>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</si>
  <si>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</si>
  <si>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</si>
  <si>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</si>
  <si>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</si>
  <si>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</si>
  <si>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</si>
  <si>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</si>
  <si>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</si>
  <si>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</si>
  <si>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</si>
  <si>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</si>
  <si>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</si>
  <si>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</si>
  <si>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</si>
  <si>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</si>
  <si>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</si>
  <si>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</si>
  <si>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</si>
  <si>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</si>
  <si>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Nokia 7750 SR2s_BA6</t>
  </si>
  <si>
    <t>XY2 RA</t>
  </si>
  <si>
    <t>XY03 PX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</si>
  <si>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</si>
  <si>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</si>
  <si>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</si>
  <si>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</si>
  <si>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</si>
  <si>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</si>
  <si>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</si>
  <si>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</si>
  <si>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</si>
  <si>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</si>
  <si>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</si>
  <si>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</si>
  <si>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</si>
  <si>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Akamai Rack V08</t>
  </si>
  <si>
    <t>NRA34 Ciena 5142</t>
  </si>
  <si>
    <t>H19 RA</t>
  </si>
  <si>
    <t>PQ11 Ciena 6500</t>
  </si>
  <si>
    <t>P03 BT OSA</t>
  </si>
  <si>
    <t>H20 Alcatel 7210</t>
  </si>
  <si>
    <t>Nokia 7750 SR2s_H21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</si>
  <si>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</si>
  <si>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</si>
  <si>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</si>
  <si>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</si>
  <si>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</si>
  <si>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</si>
  <si>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</si>
  <si>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</si>
  <si>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</si>
  <si>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</si>
  <si>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</si>
  <si>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</si>
  <si>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</si>
  <si>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</si>
  <si>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</si>
  <si>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</si>
  <si>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</si>
  <si>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</si>
  <si>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</si>
  <si>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</si>
  <si>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</si>
  <si>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</si>
  <si>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</si>
  <si>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</si>
  <si>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</si>
  <si>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</si>
  <si>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</si>
  <si>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</si>
  <si>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</si>
  <si>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</si>
  <si>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</si>
  <si>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</si>
  <si>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</si>
  <si>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</si>
  <si>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</si>
  <si>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</si>
  <si>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</si>
  <si>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</si>
  <si>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</si>
  <si>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</si>
  <si>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</si>
  <si>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</si>
  <si>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</si>
  <si>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D09 ADVA FSP 3000</t>
  </si>
  <si>
    <t>Nokia 7750 SR2s_H9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</si>
  <si>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</si>
  <si>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</si>
  <si>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</si>
  <si>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</si>
  <si>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</si>
  <si>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</si>
  <si>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</si>
  <si>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</si>
  <si>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</si>
  <si>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</si>
  <si>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</si>
  <si>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</si>
  <si>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</si>
  <si>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</si>
  <si>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</si>
  <si>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</si>
  <si>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</si>
  <si>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</si>
  <si>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</si>
  <si>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</si>
  <si>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</si>
  <si>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</si>
  <si>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</si>
  <si>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</si>
  <si>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</si>
  <si>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</si>
  <si>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</si>
  <si>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</si>
  <si>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</si>
  <si>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</si>
  <si>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M5 CISCO</t>
  </si>
  <si>
    <t>BC7 Alcatel 7210</t>
  </si>
  <si>
    <t>A02 BT Utility</t>
  </si>
  <si>
    <t>6500-14 D04</t>
  </si>
  <si>
    <t>UV02 RA</t>
  </si>
  <si>
    <t>UV03 Alcatel 7210</t>
  </si>
  <si>
    <t>Nokia 7750 SR2s_VU5</t>
  </si>
  <si>
    <t>LM04 RA</t>
  </si>
  <si>
    <t>LM05 Alcatel 7210</t>
  </si>
  <si>
    <t xml:space="preserve">AA 1-6,AB+AC4-6 Amitie </t>
  </si>
  <si>
    <t>Nokia 7750 SR 2s_X3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</si>
  <si>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</si>
  <si>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</si>
  <si>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</si>
  <si>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</si>
  <si>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</si>
  <si>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</si>
  <si>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</si>
  <si>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</si>
  <si>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Ciena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</si>
  <si>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</si>
  <si>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</si>
  <si>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</si>
  <si>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</si>
  <si>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</si>
  <si>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</si>
  <si>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</si>
  <si>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</si>
  <si>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</si>
  <si>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</si>
  <si>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</si>
  <si>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</si>
  <si>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</si>
  <si>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</si>
  <si>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>Nokia 7750 SR2s_AN/AP5</t>
  </si>
  <si>
    <t>N5 Nokia 1830 ILA</t>
  </si>
  <si>
    <t>Nokia 7750 SR2s_A5</t>
  </si>
  <si>
    <t>WAVESERVER_B5A</t>
  </si>
  <si>
    <t>FG03 Bt Util</t>
  </si>
  <si>
    <t>FG05 Alcatel 7210</t>
  </si>
  <si>
    <t>HJ08 Alcatel 7210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</si>
  <si>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</si>
  <si>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</si>
  <si>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</si>
  <si>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</si>
  <si>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</si>
  <si>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</si>
  <si>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</si>
  <si>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</si>
  <si>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</si>
  <si>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</si>
  <si>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</si>
  <si>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</si>
  <si>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</si>
  <si>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</si>
  <si>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</si>
  <si>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</si>
  <si>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</si>
  <si>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</si>
  <si>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</si>
  <si>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</si>
  <si>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</si>
  <si>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</si>
  <si>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</si>
  <si>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</si>
  <si>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</si>
  <si>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</si>
  <si>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</si>
  <si>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</si>
  <si>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</si>
  <si>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</si>
  <si>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</si>
  <si>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</si>
  <si>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</si>
  <si>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</si>
  <si>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</si>
  <si>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</si>
  <si>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</si>
  <si>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</si>
  <si>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</si>
  <si>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</si>
  <si>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</si>
  <si>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</si>
  <si>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</si>
  <si>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</si>
  <si>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</si>
  <si>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</si>
  <si>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</si>
  <si>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</si>
  <si>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</si>
  <si>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</si>
  <si>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</si>
  <si>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</si>
  <si>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</si>
  <si>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</si>
  <si>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</si>
  <si>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</si>
  <si>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</si>
  <si>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Nokia 7750 SR2s_EF32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</si>
  <si>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</si>
  <si>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</si>
  <si>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</si>
  <si>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</si>
  <si>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</si>
  <si>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</si>
  <si>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</si>
  <si>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</si>
  <si>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</si>
  <si>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</si>
  <si>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</si>
  <si>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</si>
  <si>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</si>
  <si>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CAMN02_SEC_WALL_CBDB_01</t>
  </si>
  <si>
    <t>CAMN02_SEC_WALL_CBDB_02</t>
  </si>
  <si>
    <t>CAMN02_SYS01_PER_01</t>
  </si>
  <si>
    <t>CAMN41_SEC_CBDB_BC01</t>
  </si>
  <si>
    <t>CFDTN1_SEC_WALL_CBDB_1</t>
  </si>
  <si>
    <t>CFDTN1_SEC_WALL_CBDB_2</t>
  </si>
  <si>
    <t>CFDTN1_SEC_WALL_CBDB_3</t>
  </si>
  <si>
    <t>CFDTN1_SEC_WALL_CBDB_4</t>
  </si>
  <si>
    <t>CFDTN1_SYS01_PER_01</t>
  </si>
  <si>
    <t>KLNN01 DCDB01</t>
  </si>
  <si>
    <t>EOS ONLY</t>
  </si>
  <si>
    <t>NRWN51_SEC_CBDB_BC01</t>
  </si>
  <si>
    <t>NRW TN1_SEC_CBDB_P01</t>
  </si>
  <si>
    <t>NRW TN1_SEC_WALL_CBDB1</t>
  </si>
  <si>
    <t>NRW TN1_SEC_WALL_CBDB2</t>
  </si>
  <si>
    <t>NRWTN1_SYS01_PER01</t>
  </si>
  <si>
    <t>PTBTN1_SEC_DD770_DE16</t>
  </si>
  <si>
    <t>PTBTN1_SEC_DD770_JH16</t>
  </si>
  <si>
    <t>WTT_SEC_CBDB_01 - ignore</t>
  </si>
  <si>
    <t>WTT_SEC_CBDB_02 - ignore</t>
  </si>
  <si>
    <t>WTT_SEC_DCDB_CD10</t>
  </si>
  <si>
    <t xml:space="preserve">BFTN03 - Ignore this line </t>
  </si>
  <si>
    <t>No records</t>
  </si>
  <si>
    <t>6500-14 B08</t>
  </si>
  <si>
    <t>ACTN01_PDU1A_B</t>
  </si>
  <si>
    <t>ACTN01;DC SYS01</t>
  </si>
  <si>
    <t>ACTN01_SEC_CBDB_ALAM1_04 - CAPPED - Do not Allocate</t>
  </si>
  <si>
    <t>ACTN01_SEC_DD770_ACAD1_01</t>
  </si>
  <si>
    <t>ACTN01_SEC_DD770_AEAF1_02</t>
  </si>
  <si>
    <t>ACTN01_SEC_DD770_AGAH1_03</t>
  </si>
  <si>
    <t>ACTN01_SEC_DD770_ATAS1_05</t>
  </si>
  <si>
    <t>BHWCN1_SYS_DCDB_WALL</t>
  </si>
  <si>
    <t>90A</t>
  </si>
  <si>
    <t>BTFTB1_PDU1A_B</t>
  </si>
  <si>
    <t>AB7 QWILT</t>
  </si>
  <si>
    <t>AB1 Waveserver</t>
  </si>
  <si>
    <t>Capped_BTFTB1_SEC_DCDB_C11</t>
  </si>
  <si>
    <t>Capped_BTFTB1_SEC_DCDB_Suite K14</t>
  </si>
  <si>
    <t>CHTN07_SEC_DD770_00_AB09</t>
  </si>
  <si>
    <t>CHTN07_SEC_DD770_01_CD09</t>
  </si>
  <si>
    <t xml:space="preserve">EF05 Alcatel 7210 </t>
  </si>
  <si>
    <t>CHTN07_SEC_DD770_02_JK01</t>
  </si>
  <si>
    <t>CHTN07_SEC_DD770_03_YZ01</t>
  </si>
  <si>
    <t>CHTN07_SEC_DD770_06_WALL_AM AN</t>
  </si>
  <si>
    <t>CHTN07_SEC_DD770_AA AB01</t>
  </si>
  <si>
    <t>CHTN07_SEC_DD770_AK00</t>
  </si>
  <si>
    <t>CHTN07_SEC_DD770_NP01</t>
  </si>
  <si>
    <t>CHTN07_SEC_DD770_UV01</t>
  </si>
  <si>
    <t>CHTN07_SEC_DD770_WX01</t>
  </si>
  <si>
    <t>CHTN07_SEC_WALL_Eaton_AG AH</t>
  </si>
  <si>
    <t>N/A</t>
  </si>
  <si>
    <t>CHTTN3_PDU1A_B</t>
  </si>
  <si>
    <t>CHTTN3_SEC_WALL_DCDB_ 02</t>
  </si>
  <si>
    <t>CHTTN3_SEC_WALL_DCDB_ 04</t>
  </si>
  <si>
    <t>CYNTN2_SEC_DD770_BE08_DB1</t>
  </si>
  <si>
    <t>CYNTN2_SEC_DD770_BG08_DB2</t>
  </si>
  <si>
    <t>CYNTN2_SEC_DD770_BM02_DB5</t>
  </si>
  <si>
    <t>CYNTN2_SEC_DD770_J01_DB3</t>
  </si>
  <si>
    <t>Waddon_DCDB</t>
  </si>
  <si>
    <t>DKTN08_SEC_DD770_CD01_01</t>
  </si>
  <si>
    <t>DKTN08_SEC_DD770_EF01_02</t>
  </si>
  <si>
    <t>DKTN08_SEC_DD770_JK01_03</t>
  </si>
  <si>
    <t>DKTN08_SEC_DD770_LM01_04</t>
  </si>
  <si>
    <t>DKTN08_SEC_DD770_QR01_05</t>
  </si>
  <si>
    <t>HRWN02_SEC_DD770_CD01</t>
  </si>
  <si>
    <t>HRWN02_SEC_DD770_GH01</t>
  </si>
  <si>
    <t>DCDB _C4.</t>
  </si>
  <si>
    <t>DCDB _E04</t>
  </si>
  <si>
    <t>DCDB _G04</t>
  </si>
  <si>
    <t>IODN02</t>
  </si>
  <si>
    <t>DCDB _J04</t>
  </si>
  <si>
    <t>MN02 Op-ex</t>
  </si>
  <si>
    <t>MN02 RLS&amp;WAVESERVER</t>
  </si>
  <si>
    <t>IGNN01_SEC_CBDB_EF11</t>
  </si>
  <si>
    <t>IGNN01_SEC_DD770_ CD01</t>
  </si>
  <si>
    <t>IGNN01_SEC_DD770_ CD23</t>
  </si>
  <si>
    <t>IGNN01_SEC_DD770_ GH01</t>
  </si>
  <si>
    <t>LSWN01_SEC_DD770_DE01_03</t>
  </si>
  <si>
    <t>LSWN01_SEC_DD770_FG01_02</t>
  </si>
  <si>
    <t>GF06 Alcatel7210 sas x</t>
  </si>
  <si>
    <t>LSWN01_SEC_DD770_JH01_01</t>
  </si>
  <si>
    <t xml:space="preserve">RS07 polatis </t>
  </si>
  <si>
    <t>LSWN01_SEC_DD770_PQ01_04</t>
  </si>
  <si>
    <t>LSWN02_SEC_DCDB_DC01</t>
  </si>
  <si>
    <t>LSWN02</t>
  </si>
  <si>
    <t>LSWN02_SEC_DCDB_EF01</t>
  </si>
  <si>
    <t>PRLN02;DC DB;SUITE G</t>
  </si>
  <si>
    <t>RFDN11_SEC_CBDB_ CD01</t>
  </si>
  <si>
    <t>SMHN02_SEC_DD770_JK01_02</t>
  </si>
  <si>
    <t>SMHN02_SEC_DD770_LM01_01</t>
  </si>
  <si>
    <t>SQYN01_SEC_DD770_BC1</t>
  </si>
  <si>
    <t>SQYN01_SEC_DD770_BL1</t>
  </si>
  <si>
    <t>SQYN01_SEC_DD770_BN1</t>
  </si>
  <si>
    <t>SQYN01_SEC_DD770_BQ1</t>
  </si>
  <si>
    <t>SQYN01_SEC_DD770_BS1</t>
  </si>
  <si>
    <t>SQYN01_SEC_DD770_BV1</t>
  </si>
  <si>
    <t>SQYN01_SEC_DD770_BW1</t>
  </si>
  <si>
    <t>SQYN01_SEC_DD770_BY1</t>
  </si>
  <si>
    <t>SQYN01_SEC_DD770_DE1</t>
  </si>
  <si>
    <t>SQYN01_SEC_DD770_DN1</t>
  </si>
  <si>
    <t>SQYN02_PDU1A_B</t>
  </si>
  <si>
    <t>SQYN02;DC SYS08A</t>
  </si>
  <si>
    <t>GB10 ESA400</t>
  </si>
  <si>
    <t>SQYN02_SEC_DCDB_JJJK07</t>
  </si>
  <si>
    <t>SQYN02;DC SYS09A</t>
  </si>
  <si>
    <t>SQYN02_SEC_DD770_FA1</t>
  </si>
  <si>
    <t>SQYN02_SEC_DD770_FE1</t>
  </si>
  <si>
    <t>SQYN02_SEC_DD770_GL1</t>
  </si>
  <si>
    <t>SQYN02_SEC_DD770_GR1</t>
  </si>
  <si>
    <t>SQYN02_SEC_DD770_HM13</t>
  </si>
  <si>
    <t>SQYN02_SEC_DD770_HP1</t>
  </si>
  <si>
    <t>JMJL01 EXFO BV-110</t>
  </si>
  <si>
    <t>SQYN02_SEC_DD770_HS1</t>
  </si>
  <si>
    <t>DCDB PER A.</t>
  </si>
  <si>
    <t>DCDB PER B.</t>
  </si>
  <si>
    <t>TELHS1_EXP_SEC_DCDB_14_15_D</t>
  </si>
  <si>
    <t>TELHS1_DCDB Wallbox.  - ignore</t>
  </si>
  <si>
    <t>n/a</t>
  </si>
  <si>
    <t>TELHS1_SEC_DCDB_14_15_H.</t>
  </si>
  <si>
    <t>VHXN02_SEC_DD770_CD1</t>
  </si>
  <si>
    <t>VHXN02_SEC_DD770_GH1</t>
  </si>
  <si>
    <t>VXHINT_SEC_Eaton_BA11</t>
  </si>
  <si>
    <t>VXHINT</t>
  </si>
  <si>
    <t>WAHP03_SEC_CBDB_10_11_A</t>
  </si>
  <si>
    <t>WAHP03_SEC_CBDB_12_13_A</t>
  </si>
  <si>
    <t>WAHP03_SEC_CBDB_16_17_A</t>
  </si>
  <si>
    <t>WAHP03_SEC_CBDB_18_19_A</t>
  </si>
  <si>
    <t>WAHP03_SEC_CBDB_2_3_A</t>
  </si>
  <si>
    <t>WAHP03_SEC_CBDB_20_21_A</t>
  </si>
  <si>
    <t>Wavesever20/21G</t>
  </si>
  <si>
    <t>WAHP03_SEC_CBDB_22_23_A</t>
  </si>
  <si>
    <t>WAHP03_SEC_CBDB_4_5_A</t>
  </si>
  <si>
    <t>WAHP03_SEC_CBDB_6_7_A</t>
  </si>
  <si>
    <t>WAHP03_SEC_CBDB_8_9_A</t>
  </si>
  <si>
    <t>CAPPED_WAHP06_SEC_CBDB00_1_2_D</t>
  </si>
  <si>
    <t>04/04/2024 (Clamp meter readings)</t>
  </si>
  <si>
    <t>CAPPED_WAHP06_SEC_CBDB01_1_2_P</t>
  </si>
  <si>
    <t>WAHP06_PDU1_A_B</t>
  </si>
  <si>
    <t>1S to V Op-Ex</t>
  </si>
  <si>
    <t>3K Op-Ex</t>
  </si>
  <si>
    <t>WAHP06_SEC_CBDB00_3_4_N</t>
  </si>
  <si>
    <t>DCDB Details WAIP06.</t>
  </si>
  <si>
    <t>DCDB_BTNW01- ADVANCE DC 600  Suite 2D.</t>
  </si>
  <si>
    <t>DCDB_BTNW01- ADVANCE DC 600  Suite 3D.</t>
  </si>
  <si>
    <t>BTNW02</t>
  </si>
  <si>
    <t>BCT - DCDB-Suite IJ01</t>
  </si>
  <si>
    <t>IJ05 Alcatel 7210</t>
  </si>
  <si>
    <t>BCT_SEC_DCDB_WALL</t>
  </si>
  <si>
    <t>BCT_SYS_DCDB_WALL - Ignore</t>
  </si>
  <si>
    <t>BHMTF1 - DCDB.A - Suite.A-B Rack.10A</t>
  </si>
  <si>
    <t>BHMTF1 - DCDB.B - Suite.A-B Rack.9A</t>
  </si>
  <si>
    <t>BMGV02_SEC_CBDB00_2_3_A</t>
  </si>
  <si>
    <t>BMGV02</t>
  </si>
  <si>
    <t>BMGV02_SEC_CBDB01_6_7_A</t>
  </si>
  <si>
    <t>BMGV02_SEC_CBDB02_8_9_A</t>
  </si>
  <si>
    <t>BMGV02_SEC_CBDB03_10_11_A</t>
  </si>
  <si>
    <t>BMGV02_SEC_CBDB04_12_13_A</t>
  </si>
  <si>
    <t>BMGV02_SEC_CBDB05_14_15_A</t>
  </si>
  <si>
    <t>BMGV02_SEC_CBDB06_16_17_A</t>
  </si>
  <si>
    <t>BMGV03_SEC_CBDB_10_11_B</t>
  </si>
  <si>
    <t>NO PANEL TO READ</t>
  </si>
  <si>
    <t>12th Novemeber 2020</t>
  </si>
  <si>
    <t>BMGV03_SEC_CBDB_12_13_B</t>
  </si>
  <si>
    <t>BMGV03_SEC_CBDB_2_3_B</t>
  </si>
  <si>
    <t>BMGV03_SEC_CBDB_6_7_B</t>
  </si>
  <si>
    <t>BMGV03_SEC_CBDB_8_9_B</t>
  </si>
  <si>
    <t>BHMN05_SEC_DCDB_AG01</t>
  </si>
  <si>
    <t>BHMN05_SEC_WALL_DCDB_A</t>
  </si>
  <si>
    <t>BHMN05_SEC_WALL_DCDB_B</t>
  </si>
  <si>
    <t>BHMN05_SEC_WALL_DCDB_C</t>
  </si>
  <si>
    <t>BHMN05_SEC_WALL_DCDB_D</t>
  </si>
  <si>
    <t>BHMN08_PDU1A_B.</t>
  </si>
  <si>
    <t xml:space="preserve">C6 WS5 &amp; ai </t>
  </si>
  <si>
    <t>NECCD1 (EATON RACKS)_Suite G 1&amp;2.</t>
  </si>
  <si>
    <t>NONE</t>
  </si>
  <si>
    <t>21ST OCTOBER 2020</t>
  </si>
  <si>
    <t>NECCD1_DC-DB (Wall Mounted ).</t>
  </si>
  <si>
    <t>CELL01 - ADVANCE DC 600  Suite 2C.</t>
  </si>
  <si>
    <t>17th December 2020</t>
  </si>
  <si>
    <t>CELL01 - ADVANCE DC 600  Suite 3C.</t>
  </si>
  <si>
    <t>CELL02</t>
  </si>
  <si>
    <t>COV_SEC_DD770_AC01</t>
  </si>
  <si>
    <t>COV_SEC_DD770_AJ01</t>
  </si>
  <si>
    <t>22nd October 2020</t>
  </si>
  <si>
    <t>COV_SEC_DD770_RS04</t>
  </si>
  <si>
    <t>DBY_SEC_DD770_PQ1</t>
  </si>
  <si>
    <t>EVMN01_DCDIST_GH04</t>
  </si>
  <si>
    <t>5th November 2020</t>
  </si>
  <si>
    <t>AB 02  XG210</t>
  </si>
  <si>
    <t>EVMN01_SEC_DCDIST_GH02</t>
  </si>
  <si>
    <t>LMSCN2 - DCDB - Suite D and E - Wall Mounted.</t>
  </si>
  <si>
    <t>LMSCN2 - DCDB - Suite G - Wall Mounted.</t>
  </si>
  <si>
    <t>NO METER ON PANEL</t>
  </si>
  <si>
    <t>LCT_PDU1A_B</t>
  </si>
  <si>
    <t>BA4 IGW,BA5 IGW</t>
  </si>
  <si>
    <t>LCT_SEC_CBDB#02_NN01</t>
  </si>
  <si>
    <t>LCT_SEC_DD770_Q5</t>
  </si>
  <si>
    <t>NGM_SEC _DD770_NN07</t>
  </si>
  <si>
    <t>I</t>
  </si>
  <si>
    <t>NGM_SEC_DD770_U</t>
  </si>
  <si>
    <t>NGMTL1_SEC_ L16</t>
  </si>
  <si>
    <t>Supply cable size
(sq mm)</t>
  </si>
  <si>
    <t>BSHN03_SEC_CBDB_CA11</t>
  </si>
  <si>
    <t>BSHN03_SEC_DD770_AA01</t>
  </si>
  <si>
    <t>BSHN03_SEC_DD770_AC01</t>
  </si>
  <si>
    <t>BSHN03_SEC_DD770_AE01</t>
  </si>
  <si>
    <t>BSHN03_SEC_DD770_AG01</t>
  </si>
  <si>
    <t>BSHN03_SEC_DD770_BA01</t>
  </si>
  <si>
    <t>BSHN03_SEC_DD770_BC01</t>
  </si>
  <si>
    <t>BSHN03_SEC_DD770_BE01</t>
  </si>
  <si>
    <t>BSHN03_SEC_DD770_BG01</t>
  </si>
  <si>
    <t>BSHN03_SEC_DD770_CE01</t>
  </si>
  <si>
    <t>BSHN03_SEC_DD770_CG01</t>
  </si>
  <si>
    <t>BSHN03_SEC_DD770_GH14</t>
  </si>
  <si>
    <t>BSHN07_SEC_CBDB_E01</t>
  </si>
  <si>
    <t>Facebook</t>
  </si>
  <si>
    <t>BSHN07_SEC_DD770_LL03</t>
  </si>
  <si>
    <t>BSHN08_PDU1A_B</t>
  </si>
  <si>
    <t>Util rack</t>
  </si>
  <si>
    <t>Home BB</t>
  </si>
  <si>
    <t>SOLN02_SEC_DD770_DE01</t>
  </si>
  <si>
    <t>SOLN02_SEC_DD770_GF01</t>
  </si>
  <si>
    <t>FG03 BT Util</t>
  </si>
  <si>
    <t>SOT_SEC_DCDB_ WALL_Suite GH - Rack 03</t>
  </si>
  <si>
    <t>SOT_SEC_WALL_DCDB_01_No DCDB found</t>
  </si>
  <si>
    <t>SOT_SEC_WALL_DCDB_02_No DCDB found</t>
  </si>
  <si>
    <t>SOT_SEC_WALL_DCDBA&amp;B_No DCDB found</t>
  </si>
  <si>
    <t>WVHTF1_SEC_DCDB.1 - Suite.J Rack.0.</t>
  </si>
  <si>
    <t>23rd March 2021</t>
  </si>
  <si>
    <t>CHDCD1_SEC_CBDB_ D05</t>
  </si>
  <si>
    <t>DONTN1_DCDB _GH2</t>
  </si>
  <si>
    <t>LDMS13_SYS_DCDB_3J</t>
  </si>
  <si>
    <t>LDSCD1_SEC_DD770_AB1</t>
  </si>
  <si>
    <t>LDSCD1;DC SYS01</t>
  </si>
  <si>
    <t>LDSCD1</t>
  </si>
  <si>
    <t>LDSCD1_SEC_WALL_DD770</t>
  </si>
  <si>
    <t>LDSCD1_SYS_DCDB_01</t>
  </si>
  <si>
    <t>LDSCD1_SYS_DCDB_02</t>
  </si>
  <si>
    <t>LDSCD2_PDU1A_B</t>
  </si>
  <si>
    <t>XY06 Nokia 7750SR7s</t>
  </si>
  <si>
    <t>LDSCD2_SEC_CBDB_AB1</t>
  </si>
  <si>
    <t>LDSCD2_SEC_CBDB_CD1</t>
  </si>
  <si>
    <t>C13 6500-32</t>
  </si>
  <si>
    <t>LDSCD2_SEC_CBDB_EF1</t>
  </si>
  <si>
    <t>LDSCD2_SEC_CBDB_GH1</t>
  </si>
  <si>
    <t>G15 BTOSA</t>
  </si>
  <si>
    <t>LDSCD2_SEC_CBDB_JK1</t>
  </si>
  <si>
    <t>LDSCD2_SEC_CBDB_TU01</t>
  </si>
  <si>
    <t>XY05 HPDL360S</t>
  </si>
  <si>
    <t>Netflix TU12</t>
  </si>
  <si>
    <t>LDSCD2_SEC_CBDB_XY01 (this is actually the iPDU)</t>
  </si>
  <si>
    <t>LDSTS1_DCDB Eaton J10</t>
  </si>
  <si>
    <t>LDSTS1_DCDB Eaton M19</t>
  </si>
  <si>
    <t>LDSTS1 EOS DA</t>
  </si>
  <si>
    <t>LDSTS1 EOS EA</t>
  </si>
  <si>
    <t>LDSTS1 EOS FA</t>
  </si>
  <si>
    <t>LDSTS1 EOS GA</t>
  </si>
  <si>
    <t>LDSTS1 EOS HA</t>
  </si>
  <si>
    <t>LDSTS1 EOS JA</t>
  </si>
  <si>
    <t>LDSTS1 EOS KA</t>
  </si>
  <si>
    <t>LDSTS1 EOS LA</t>
  </si>
  <si>
    <t>LDSTS1 EOS M</t>
  </si>
  <si>
    <t>LDSTS1 EOS MA</t>
  </si>
  <si>
    <t>LDSTS1 EOS N</t>
  </si>
  <si>
    <t>LDSTS1 EOS NA</t>
  </si>
  <si>
    <t>IGNORE</t>
  </si>
  <si>
    <t>MDBTD1_EATON DC-DB-1.</t>
  </si>
  <si>
    <t>16/10/2020</t>
  </si>
  <si>
    <t>NULTB1_SEC_CBDB_Suite D.</t>
  </si>
  <si>
    <t>NWCN05_PDU1A_B</t>
  </si>
  <si>
    <t>NWCN05;DC SYS01</t>
  </si>
  <si>
    <t>E15 IGW, E13 IGW</t>
  </si>
  <si>
    <t>NWCN05_SEC_DD770_AB01</t>
  </si>
  <si>
    <t>NWCN05_SEC_DD770_CD17</t>
  </si>
  <si>
    <t xml:space="preserve">K02,XG210 </t>
  </si>
  <si>
    <t>SHD_SEC_DD770_AB7</t>
  </si>
  <si>
    <t>SHD_SEC_DD770_GH00</t>
  </si>
  <si>
    <t>SHD_SEC_WALL_CBDB4</t>
  </si>
  <si>
    <t>SNDTM1_PRI_WALL_DIST A3_RECT A</t>
  </si>
  <si>
    <t>SNDTM1_PRI_WALL_DIST B2_RECT B</t>
  </si>
  <si>
    <t>TGY_SEC_DD770_D08</t>
  </si>
  <si>
    <t>TGY_SEC_DD770_V1</t>
  </si>
  <si>
    <t>TGY_SEC_WALL_CBDB</t>
  </si>
  <si>
    <t>TGY_SEC_Eaton_BD01_Room5</t>
  </si>
  <si>
    <t>TGYN02_SEC_DD770_N01</t>
  </si>
  <si>
    <t>TGYN02_SEC_WALL_DCDB5</t>
  </si>
  <si>
    <t>TGYN03_SEC_DD770_01</t>
  </si>
  <si>
    <t>TGYN04_SEC_EATON_D04</t>
  </si>
  <si>
    <t>YRK_SEC_DD770_WALL_1</t>
  </si>
  <si>
    <t>YRKTH1_SEC_CBDB_ DE01</t>
  </si>
  <si>
    <t>BIFTS1_POWEC_C08</t>
  </si>
  <si>
    <t>BPL_SEC_DCDB_F05</t>
  </si>
  <si>
    <t>DE3 UTILITY RACK</t>
  </si>
  <si>
    <t>CSL_SEC_WALL_DCDB_01</t>
  </si>
  <si>
    <t>CSL;DC SYS01</t>
  </si>
  <si>
    <t>CSL</t>
  </si>
  <si>
    <t>CSL_SYS01_PER_01</t>
  </si>
  <si>
    <t>CSLN13_SEC_CBDB_ BC0</t>
  </si>
  <si>
    <t>Ciena 6500 14 D09</t>
  </si>
  <si>
    <t>CTRTK1_SEC_EATON_BC0</t>
  </si>
  <si>
    <t>CTRTS1_SEC_DCDB_GH10</t>
  </si>
  <si>
    <t>EBCTC1_EOS A</t>
  </si>
  <si>
    <t>D5 Ciena 6500</t>
  </si>
  <si>
    <t>DGS DB1</t>
  </si>
  <si>
    <t>Not correct form</t>
  </si>
  <si>
    <t>DGS N2K</t>
  </si>
  <si>
    <t>KNLTS1_POWEC_PPS25_EXT CAB1</t>
  </si>
  <si>
    <t xml:space="preserve">GF04 Ciena 6500 </t>
  </si>
  <si>
    <t>KNLTS1_POWEC_PPS25_EXT CAB2</t>
  </si>
  <si>
    <t>KNLTS1_POWEC_PPS25_MAIN CAB</t>
  </si>
  <si>
    <t>LLDTE1_EOS KL00 - ignore</t>
  </si>
  <si>
    <t>LPLTB1_SEC_EATON_DC06</t>
  </si>
  <si>
    <t>MCRN11_SEC_CBDB_PQ18</t>
  </si>
  <si>
    <t>26/03/2018</t>
  </si>
  <si>
    <t>MCRN11_SEC_DD770_BC01</t>
  </si>
  <si>
    <t>MCRN11_SEC_DD770_HJ01</t>
  </si>
  <si>
    <t>MCRN11_SEC_DD770_HJ19</t>
  </si>
  <si>
    <t>MCRN11_SEC_DD770_PQ01</t>
  </si>
  <si>
    <t>23.02.2017</t>
  </si>
  <si>
    <t>MCRN12_PDU1A_B</t>
  </si>
  <si>
    <t>CC04 to 07 Op-ex</t>
  </si>
  <si>
    <t>CH2 7750 SR7s</t>
  </si>
  <si>
    <t>MCRN12_SEC_CBDB_ Q01_A Feed-Capped</t>
  </si>
  <si>
    <t>MCRN12_SEC_CBDB_ R01_B Feed-Capped</t>
  </si>
  <si>
    <t>MCRN12_SEC_CBDB_ALAM01</t>
  </si>
  <si>
    <t>MCRN12_SEC_DD770_ACAD01</t>
  </si>
  <si>
    <t>MCRN12_SEC_DD770_AEAF01</t>
  </si>
  <si>
    <t>MCRN12_SEC_DD770_CD01</t>
  </si>
  <si>
    <t>MCRN12_SEC_DD770_EF01</t>
  </si>
  <si>
    <t>MCRN12_SEC_DD770_GH01</t>
  </si>
  <si>
    <t>MCRN12_SEC_DD770_JK01</t>
  </si>
  <si>
    <t>MCRN12_SEC_Eaton_ BG01_A Feed-Capped</t>
  </si>
  <si>
    <t>NA</t>
  </si>
  <si>
    <t>CA2 AKAMAI</t>
  </si>
  <si>
    <t>MCRN12_SEC_Eaton_ BH01_B Feed-Capped</t>
  </si>
  <si>
    <t>MCRN12_PDU2A_B</t>
  </si>
  <si>
    <t>CCCD2 Wavesever</t>
  </si>
  <si>
    <t>MCRCD2_PDU1A_B</t>
  </si>
  <si>
    <t>TU06 WS&amp;RSL</t>
  </si>
  <si>
    <t>TU07 WS&amp;RSL</t>
  </si>
  <si>
    <t>SWY_SEC_CBDB_1</t>
  </si>
  <si>
    <t>SWY_SEC_CBDB_2</t>
  </si>
  <si>
    <t>SWY_SEC_CBDB_4_Suite AH - Rack 5</t>
  </si>
  <si>
    <t>SWY_SEC_DD770_3_Suite AA - Rack 5</t>
  </si>
  <si>
    <t>SWY_SEC_DD770_5_Suite AB-AC - Rack 01</t>
  </si>
  <si>
    <t>WTNTK1_SEC_CBDB_J33</t>
  </si>
  <si>
    <t>BDFN02_PDU1A_B</t>
  </si>
  <si>
    <t>BDFN02;DC SYS01</t>
  </si>
  <si>
    <t>BF07 PX</t>
  </si>
  <si>
    <t>BF03 Op Ex</t>
  </si>
  <si>
    <t>BF04 Op Ex</t>
  </si>
  <si>
    <t>BF05 Op Ex</t>
  </si>
  <si>
    <t>BDBE08 Waveserver</t>
  </si>
  <si>
    <t>BDFN02_SEC_DCDB_AJ01</t>
  </si>
  <si>
    <t>AGAH03</t>
  </si>
  <si>
    <t>BDFN02_SEC_DCDB_BD01</t>
  </si>
  <si>
    <t>BDFN02_SEC_DD770_AB01</t>
  </si>
  <si>
    <t>BDFN02_SEC_DD770_AV01</t>
  </si>
  <si>
    <t>MKSTN1_DCDB_QR7.</t>
  </si>
  <si>
    <t>MKSTN1_SEC_DD770_GH10</t>
  </si>
  <si>
    <t>STEDN1_Duvine Power Rack.</t>
  </si>
  <si>
    <t>BFEC01_SEC_DB00_DCDIST_8A</t>
  </si>
  <si>
    <t>BFEC01_SEC_DB00_DCDIST_8B</t>
  </si>
  <si>
    <t>BFEC01_SEC_EATON_C10</t>
  </si>
  <si>
    <t>DD770_1_BC01</t>
  </si>
  <si>
    <t>DD770_2_DE01</t>
  </si>
  <si>
    <t>DD770_3_FG01</t>
  </si>
  <si>
    <t>DD770_4_FG03</t>
  </si>
  <si>
    <t>ABN_SEC_DD770_GH02</t>
  </si>
  <si>
    <t>Ciena 6500-14</t>
  </si>
  <si>
    <t>ABNTB1_DCDB _CD11</t>
  </si>
  <si>
    <t>ABNTB1_SYS_RACK2_PANEL A_01 - IGNORE</t>
  </si>
  <si>
    <t>ABNTB1_SYS_RACK2_PANEL A_02- IGNORE</t>
  </si>
  <si>
    <t>ABNTB1_SYS_RACK3_PANEL B_01- IGNORE</t>
  </si>
  <si>
    <t>ABNTB1_SYS_RACK3_PANEL B_02- IGNORE</t>
  </si>
  <si>
    <t>ABNTD1 DC DB</t>
  </si>
  <si>
    <t>AYRN01_DCDB_A PPS10_DB1</t>
  </si>
  <si>
    <t>AYRN01_DCDB_A PPS10_DB2</t>
  </si>
  <si>
    <t>DNDN71_SEC_EATON_BC01</t>
  </si>
  <si>
    <t>A04 6500-14</t>
  </si>
  <si>
    <t>DNDTC1;POWEC987932;DCDB01</t>
  </si>
  <si>
    <t>Ciena 6500 7Slot A04</t>
  </si>
  <si>
    <t>DNFNP1_SEC_EATON_C7</t>
  </si>
  <si>
    <t>EDBTG1_PDU1A_B</t>
  </si>
  <si>
    <t>BA6 QWILT</t>
  </si>
  <si>
    <t>BA7 Akami</t>
  </si>
  <si>
    <t>BB09 Nokia RR 7 Cisco RR</t>
  </si>
  <si>
    <t>EDBTG1_SEC_DCDB_J02</t>
  </si>
  <si>
    <t>EDBTG1_SEC_DCDB_D11</t>
  </si>
  <si>
    <t>EDBTN1_SEC_EATON_EF5</t>
  </si>
  <si>
    <t>EDBTN1_DCDB_WALL_A</t>
  </si>
  <si>
    <t>EDBTN1_DCDB_WALL_B</t>
  </si>
  <si>
    <t>EDBTN1_SEC_EATON_CD15 CAPPED</t>
  </si>
  <si>
    <t>BTRTP1_SEC_EATON_GF03</t>
  </si>
  <si>
    <t>GLWN07_PDU1A_B</t>
  </si>
  <si>
    <t xml:space="preserve">CD30 Ciena 6500 </t>
  </si>
  <si>
    <t>GLWN07_SEC_DD770_CD01</t>
  </si>
  <si>
    <t>Alcatel 7210 CD28</t>
  </si>
  <si>
    <t>GLWN07_SEC_DD770_EF01</t>
  </si>
  <si>
    <t>GLWN07_SEC_Eaton_CD21</t>
  </si>
  <si>
    <t>GLWN07_SEC_DCDB_LM15 - DO NOT USE [CAPPED]</t>
  </si>
  <si>
    <t>GLWN07_SEC_DD770_JK01- DO NOT USE</t>
  </si>
  <si>
    <t>GLWTO1_EOS_EF00</t>
  </si>
  <si>
    <t>GLWTO1_EATON_IJ00</t>
  </si>
  <si>
    <t>GLWTW1_DCDB_WALL_1 - IGNORE</t>
  </si>
  <si>
    <t>GLWTW1_SEC_EATON DCDB_ EF07B</t>
  </si>
  <si>
    <t>GH01 Alcatel 7210</t>
  </si>
  <si>
    <t>INVN41_SEC_EATON_CD01</t>
  </si>
  <si>
    <t>LIVN01_SEC_CBDB_AN01</t>
  </si>
  <si>
    <t>LIVN01_SEC_DD770_AT05_DCDB4</t>
  </si>
  <si>
    <t>PTHTL1_SYS_EATON_DB01</t>
  </si>
  <si>
    <t>STGCD1_SYS_DCDB</t>
  </si>
  <si>
    <t>6500-14 G03</t>
  </si>
  <si>
    <t>ASH_SEC_WALL_DCDB_01</t>
  </si>
  <si>
    <t>ASH_SEC_WALL_DCDB_02</t>
  </si>
  <si>
    <t>CBY_SEC_DD770_JK05</t>
  </si>
  <si>
    <t>CBY_SEC_WALL_CBDB</t>
  </si>
  <si>
    <t>FKE_SEC_DD770_AB0.</t>
  </si>
  <si>
    <t>HLWN02_SEC_DD770_EF01_01</t>
  </si>
  <si>
    <t>HLWN02_SEC_DD770_JK01_02</t>
  </si>
  <si>
    <t>HHD_SEC_DD770_F0</t>
  </si>
  <si>
    <t>IPWTN1_DCDB _RQ12</t>
  </si>
  <si>
    <t>RQ06 CIENA 6500-14SLOT</t>
  </si>
  <si>
    <t>IPWTN1_SEC_DCDB_01</t>
  </si>
  <si>
    <t>IPWTN1_SEC_DCDB_04</t>
  </si>
  <si>
    <t>IPWTN1_SYS_DCDB_WALL</t>
  </si>
  <si>
    <t>LTNDN1_SEC_DD770_BB_CC_05</t>
  </si>
  <si>
    <t>Alcatel 7210 DE07</t>
  </si>
  <si>
    <t>MDE_SEC_DUVINE DCDB</t>
  </si>
  <si>
    <t>MDE_SEC_EATON DCDB</t>
  </si>
  <si>
    <t>46A</t>
  </si>
  <si>
    <t>RCR_SEC_CBDB_GH08</t>
  </si>
  <si>
    <t>RCR_SEC_WALL_CBDB</t>
  </si>
  <si>
    <t>SOSTN1_SEC_DD770_WALL</t>
  </si>
  <si>
    <t>AZTCD1 POWER SYSTEM 2 DIST</t>
  </si>
  <si>
    <t>AZTCD1_SEC_EATON DCDB_01_FG07</t>
  </si>
  <si>
    <t>AZTCD2_SEC_DD770_TU11</t>
  </si>
  <si>
    <t>TU08 Alcatel 7210</t>
  </si>
  <si>
    <t>AZTCD2_SEC_DD770_Q1</t>
  </si>
  <si>
    <t>BTLCD1_SYS_H &amp; S Control cubical - ignore line</t>
  </si>
  <si>
    <t>BTLCD1 EOS Z</t>
  </si>
  <si>
    <t>BTLCD1_SEC_DCDB 2_Trident room - Ignore line</t>
  </si>
  <si>
    <t>BTLCD1_SEC_DCDB_B</t>
  </si>
  <si>
    <t>BTLCD1_SEC_DD770_BB1</t>
  </si>
  <si>
    <t>BTLCD1_SYS _N2K DCDB</t>
  </si>
  <si>
    <t>BTLCD1_SYS 2_H &amp; S_DCDB 2B &amp; 2C - Ignore line</t>
  </si>
  <si>
    <t>BTLCD1_SYS 3_DCDB_A</t>
  </si>
  <si>
    <t>BTLN08_SEC_CBDB_CT1</t>
  </si>
  <si>
    <t>BTLN08_SEC_DD770_CA1</t>
  </si>
  <si>
    <t>BTLN08_SEC_DD770_CJ02</t>
  </si>
  <si>
    <t>BTLCD2_ PRI_DD604_ WALL</t>
  </si>
  <si>
    <t>BTLCD2;DC SYS01</t>
  </si>
  <si>
    <t>BTLCD2</t>
  </si>
  <si>
    <t>BTLN09_PDU1A_B</t>
  </si>
  <si>
    <t>AC11 QWILT</t>
  </si>
  <si>
    <t>B13 ESA400</t>
  </si>
  <si>
    <t>BDEN02_SEC_DD770_CD01</t>
  </si>
  <si>
    <t>BDEN02_SEC_DD770_QR01</t>
  </si>
  <si>
    <t>BDEN06 AB01 DD770</t>
  </si>
  <si>
    <t>BDEN06 JK01 DD770</t>
  </si>
  <si>
    <t>BDEN06 QR01 DD770</t>
  </si>
  <si>
    <t>BDEN07_PDU1A_B</t>
  </si>
  <si>
    <t>BDEN07</t>
  </si>
  <si>
    <t>A 1 to 7 Amitie</t>
  </si>
  <si>
    <t>CDFN02_SEC_CBDB_AB05</t>
  </si>
  <si>
    <t>23rd JUNE 2021</t>
  </si>
  <si>
    <t>CDFN02_SEC_CBDB_GH06</t>
  </si>
  <si>
    <t>CHMN21_SEC_EATON DCDB1</t>
  </si>
  <si>
    <t>CTNN01_PDU1A_B</t>
  </si>
  <si>
    <t>CTNN01-DCSYS01A</t>
  </si>
  <si>
    <t>S&amp;T 1 to 6 Amitie</t>
  </si>
  <si>
    <t>CTNN01_SEC_DD770_EF01</t>
  </si>
  <si>
    <t>CTNN01_SEC_DD770_N01</t>
  </si>
  <si>
    <t>CKNN03_PDU1A_B</t>
  </si>
  <si>
    <t>CKKN03</t>
  </si>
  <si>
    <t>CKNN03_SEC_DCSYS - IGNORE</t>
  </si>
  <si>
    <t>NOT SPECIFIED</t>
  </si>
  <si>
    <t>CKNN03_SEC_DD770_CD01</t>
  </si>
  <si>
    <t>DVSTB1_DCDB</t>
  </si>
  <si>
    <t>EXR_SEC_DD770_ JK12</t>
  </si>
  <si>
    <t>EXRN03_PDU1A_B</t>
  </si>
  <si>
    <t>EXRN03</t>
  </si>
  <si>
    <t>FRNN03_PDU1A_B</t>
  </si>
  <si>
    <t>G&amp;H 1 to 6 Amitie</t>
  </si>
  <si>
    <t>FRNN03_DC SYS01A &amp; 01B_EF09</t>
  </si>
  <si>
    <t>FRNN03_SEC_DD770_CD1</t>
  </si>
  <si>
    <t>OKNN01_PDU1A_B</t>
  </si>
  <si>
    <t>J&amp;K 1 to 6 Amitie</t>
  </si>
  <si>
    <t>OKNN01_SEC_DD770_CD01</t>
  </si>
  <si>
    <t>PLY_PDU1A_B</t>
  </si>
  <si>
    <t>W&amp;X 1 to 6 Amitie</t>
  </si>
  <si>
    <t>PLY_SEC_DD770_EF12</t>
  </si>
  <si>
    <t>PLY_SEC_DD770_UV01</t>
  </si>
  <si>
    <t xml:space="preserve"> UV07 Ciena 6500 R8</t>
  </si>
  <si>
    <t>PCOTN1_SEC_DD770_XW01_7</t>
  </si>
  <si>
    <t>PCOTN1_SEC_WALL_CBDB_2</t>
  </si>
  <si>
    <t>PCOTN1 DCDB 3 WALL MOUNTED</t>
  </si>
  <si>
    <t>PCOTN1 DCDB 4 WALL MOUNTED</t>
  </si>
  <si>
    <t>PCOTN1 DCDB 5 WALL MOUNTED</t>
  </si>
  <si>
    <t>PCOTN2</t>
  </si>
  <si>
    <t>PCOTN1 DCDB 6 WALL MOUNTED</t>
  </si>
  <si>
    <t>PCOTN3</t>
  </si>
  <si>
    <t>PCOTN1_WALL_CBDB_1</t>
  </si>
  <si>
    <t>PCOTN4</t>
  </si>
  <si>
    <t>SDNN06_PDU1A_B</t>
  </si>
  <si>
    <t>SDNN06_SEC_CBDB_QR16</t>
  </si>
  <si>
    <t>V8 iena 6500</t>
  </si>
  <si>
    <t>SDNN06_SEC_CBDB_UV16</t>
  </si>
  <si>
    <t>SDNN06_SEC_DD770_CD1</t>
  </si>
  <si>
    <t>CD03 Alcatel 7210</t>
  </si>
  <si>
    <t xml:space="preserve">CD2 Nokia 7750 SR12e ESA </t>
  </si>
  <si>
    <t>SDNN06_SEC_DD770_GH16</t>
  </si>
  <si>
    <t>YZ15 Home BB</t>
  </si>
  <si>
    <t>SDNN06_SEC_DD770_LM1</t>
  </si>
  <si>
    <t>No reading</t>
  </si>
  <si>
    <t>SDNN06_SEC_DD770_QR1</t>
  </si>
  <si>
    <t>QR03 to 09 Amitie</t>
  </si>
  <si>
    <t>SDNN06_SEC_DD770_WX1</t>
  </si>
  <si>
    <t>SDN_SEC_DD770_GH00</t>
  </si>
  <si>
    <t>SDN_SEC_DD770_Z02</t>
  </si>
  <si>
    <t>DCDB @ c08</t>
  </si>
  <si>
    <t>SDNN13_SEC_EATON_ WALL_New</t>
  </si>
  <si>
    <t>TNTTN1_PDU1A_B</t>
  </si>
  <si>
    <t>TNTTN1;DC SYS01</t>
  </si>
  <si>
    <t>TNTTN1_SEC_DD770_ GH12</t>
  </si>
  <si>
    <t>DC DD770 TRON01</t>
  </si>
  <si>
    <t>BSG_SEC_DD770_BC17_02</t>
  </si>
  <si>
    <t>BSG_SEC_DD770_HJ16_01</t>
  </si>
  <si>
    <t>BTN_SEC_DD770_EF09_02</t>
  </si>
  <si>
    <t>BTN_SEC_DD770_YZ01_01</t>
  </si>
  <si>
    <t>GFDCD1_SEC_DCDB_T0</t>
  </si>
  <si>
    <t>GFDCD1_SEC_DD770_M09</t>
  </si>
  <si>
    <t>PTMN03_SEC_DD770_BCBD01</t>
  </si>
  <si>
    <t>PTMN03_SEC_DD770_GH01</t>
  </si>
  <si>
    <t>PTMN03_SEC_DD770_LM01</t>
  </si>
  <si>
    <t>PTMN03_SEC_DD770_QR01</t>
  </si>
  <si>
    <t>PTMN03_SEC_DD770_UV01</t>
  </si>
  <si>
    <t>SHTN03_SEC_DD770_AD10</t>
  </si>
  <si>
    <t>SHTN03_SEC_Eaton_ ANAP0</t>
  </si>
  <si>
    <t>DCDB_WKGN01_CD1.</t>
  </si>
  <si>
    <t>DCDB_WKGN01_EF1.</t>
  </si>
  <si>
    <t>ASMN02_SEC_DD770_CD1</t>
  </si>
  <si>
    <t>ASMN02_SEC_DD770_EF1</t>
  </si>
  <si>
    <t>BKLN05_SEC_CBDB_BUBV01</t>
  </si>
  <si>
    <t>BKLN05_SEC_CBDB_BWBX01</t>
  </si>
  <si>
    <t>BKLN05_SEC_DD770_ACAD01</t>
  </si>
  <si>
    <t>BKLN05_SEC_DD770_AGAH01</t>
  </si>
  <si>
    <t>BKLN05_SEC_DD770_BABB01</t>
  </si>
  <si>
    <t>BKLN05-DCSYS04a</t>
  </si>
  <si>
    <t>BE/BF 15 Waveserver 5</t>
  </si>
  <si>
    <t>BKLN05_SEC_DD770_BLBM01</t>
  </si>
  <si>
    <t>CC/CD 07 HPE DL 380</t>
  </si>
  <si>
    <t>BKLN05_SEC_DD770_BQBR01</t>
  </si>
  <si>
    <t>BKLN05_SEC_DD770_BYBZ01</t>
  </si>
  <si>
    <t>BKLN05_SEC_DD770_CD01</t>
  </si>
  <si>
    <t>BKLN05_SEC_DD770_CJCK01</t>
  </si>
  <si>
    <t>BKLN05_SEC_DD770_GH01</t>
  </si>
  <si>
    <t>BKLN05_SEC_DD770_LM01</t>
  </si>
  <si>
    <t>BKLN05_SEC_DD770_UV01</t>
  </si>
  <si>
    <t>BKLN05_SEC_DD770_YZ01</t>
  </si>
  <si>
    <t>BKLN05_DCSYS04-PDU1</t>
  </si>
  <si>
    <t>BKLN05 Ext</t>
  </si>
  <si>
    <t>BKLN05_DCSYS04-PDU2</t>
  </si>
  <si>
    <t>BKLN05_DCSYS04-PDU3</t>
  </si>
  <si>
    <t>VSS DC/DB&amp;DF1,2,4</t>
  </si>
  <si>
    <t>DC10 DALI</t>
  </si>
  <si>
    <t>DCDB _DC CUBICLE IN POWER ROOM NEAR BATTERY</t>
  </si>
  <si>
    <t>Alcatel &amp; Ciena Y2</t>
  </si>
  <si>
    <t>FMYN31_SEC_CBDB_ BC01</t>
  </si>
  <si>
    <t>not showing on meter</t>
  </si>
  <si>
    <t>DCDB _2B</t>
  </si>
  <si>
    <t>unknown</t>
  </si>
  <si>
    <t>NBYCD1_SEC_CBDB_F9</t>
  </si>
  <si>
    <t>300</t>
  </si>
  <si>
    <t>NBYCD1_SEC_CBDB_GG11</t>
  </si>
  <si>
    <t>POLN02_PDUA_B</t>
  </si>
  <si>
    <t>EF13 RA</t>
  </si>
  <si>
    <t>POLN02_SEC_DD770_CD01</t>
  </si>
  <si>
    <t>POLN02_SEC_DD770_EF01</t>
  </si>
  <si>
    <t>E11 Ciena 6500 R8</t>
  </si>
  <si>
    <t>RDG_SEC_DD770_FO</t>
  </si>
  <si>
    <t>RDGCD1_SEC_CDDB_A05</t>
  </si>
  <si>
    <t>RDGCD1;DC SYS01</t>
  </si>
  <si>
    <t>RDGCD1</t>
  </si>
  <si>
    <t>RDGCD2_SEC_CDDB_TU09</t>
  </si>
  <si>
    <t>SLO_SEC_DD770_AB0</t>
  </si>
  <si>
    <t>SLO_SEC_DD770_AB00</t>
  </si>
  <si>
    <t>WHHN03_SEC_DD770_CD01_01</t>
  </si>
  <si>
    <t>WHHN03_SEC_DD770_EF01_02</t>
  </si>
  <si>
    <t>WHHN03_SEC_Eaton CBDB_LM01</t>
  </si>
  <si>
    <t>OHB_SEC_DCDB01_WALL_OPP TO SUITE EF</t>
  </si>
  <si>
    <t>OHB_SEC_DCDB03_WALL</t>
  </si>
  <si>
    <t>OHB_SEC_DCDB04_WALL</t>
  </si>
  <si>
    <t>OHB_SEC_DCDB05_WALL</t>
  </si>
  <si>
    <t>OHB_SEC_DCDB06_WALL</t>
  </si>
  <si>
    <t>SWNN03_DCDB 1</t>
  </si>
  <si>
    <t>SWNN03_SYS01_PER_K - ignore</t>
  </si>
  <si>
    <t>SQYN02_SEC_DCDB_HVHU1</t>
  </si>
  <si>
    <t>LLDTE1_SEC_DCDB_Q4</t>
  </si>
  <si>
    <t>BSHN08_PDU2A_B</t>
  </si>
  <si>
    <t>A09 QWILT</t>
  </si>
  <si>
    <t>BTLN09_PDU2A_B</t>
  </si>
  <si>
    <t>Nokia SEGW</t>
  </si>
  <si>
    <t>B13 Nokia SEGGW ESA</t>
  </si>
  <si>
    <t>LDSCD2_PDU2A_B</t>
  </si>
  <si>
    <t>XY 05 BT EAD</t>
  </si>
  <si>
    <t>AB7 W5</t>
  </si>
  <si>
    <t>MCRCD2_PDU2A_B</t>
  </si>
  <si>
    <t>T06 W5</t>
  </si>
  <si>
    <t>SQYN02_PDU2A_B</t>
  </si>
  <si>
    <t>CHTTN3_PDU2A_B</t>
  </si>
  <si>
    <t>STGCD1_Eaton DIST@G0</t>
  </si>
  <si>
    <t>SHDTR1_SEC_CBDB_N10</t>
  </si>
  <si>
    <t>M5a IGW, M5 IGW</t>
  </si>
  <si>
    <t>SHDTR1_EOS_D</t>
  </si>
  <si>
    <t>SHDTR1_EOS_E</t>
  </si>
  <si>
    <t>SHDTR1_EOS_F</t>
  </si>
  <si>
    <t>SHDTR1_EOS_G</t>
  </si>
  <si>
    <t>SHDTR1_EOS_H</t>
  </si>
  <si>
    <t>SHDTR1_EOS_J</t>
  </si>
  <si>
    <t>SHDTR1_EOS_K</t>
  </si>
  <si>
    <t>SHDTR1_EOS_L</t>
  </si>
  <si>
    <t>SHDTR1_EOS_M</t>
  </si>
  <si>
    <t>Single DC Power System Capacity and Autonomy Checker</t>
  </si>
  <si>
    <t>System :</t>
  </si>
  <si>
    <t>Select rectifier module type from drop down list</t>
  </si>
  <si>
    <t>Rect Type :</t>
  </si>
  <si>
    <t>Qty of Rect Fitted :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</si>
  <si>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</si>
  <si>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</si>
  <si>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</si>
  <si>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</si>
  <si>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</si>
  <si>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</si>
  <si>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</si>
  <si>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</si>
  <si>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Auto calculated</t>
  </si>
  <si>
    <t>System Load (kW)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</si>
  <si>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</si>
  <si>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</si>
  <si>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</si>
  <si>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</si>
  <si>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</si>
  <si>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</si>
  <si>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</si>
  <si>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</si>
  <si>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</t>
  </si>
  <si>
    <t>Additional Rect Required 
@ 80% of N</t>
  </si>
  <si>
    <t>Amps :</t>
  </si>
  <si>
    <t>kW :</t>
  </si>
  <si>
    <t>Capacity Remaining</t>
  </si>
  <si>
    <t>Capacity Remaining @ 80% of N</t>
  </si>
  <si>
    <t>Percentage :</t>
  </si>
  <si>
    <t>90% Capacity limit exceeded if cell is red, additional build required</t>
  </si>
  <si>
    <t>Allowing for 10% for aging</t>
  </si>
  <si>
    <t>Time (Hours) :</t>
  </si>
  <si>
    <t>1 hr</t>
  </si>
  <si>
    <t>2 hrs</t>
  </si>
  <si>
    <t>3 hrs</t>
  </si>
  <si>
    <t>4 hrs</t>
  </si>
  <si>
    <t>Allowing 20% for aging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</si>
  <si>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</si>
  <si>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</si>
  <si>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</si>
  <si>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</si>
  <si>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</si>
  <si>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</si>
  <si>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</si>
  <si>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</si>
  <si>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</si>
  <si>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</si>
  <si>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</si>
  <si>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</si>
  <si>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</si>
  <si>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</si>
  <si>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</si>
  <si>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</si>
  <si>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Cells will highlight red if different between systems</t>
  </si>
  <si>
    <t>Existing Load in Amps :</t>
  </si>
  <si>
    <t>New System Load Amps (Inc Future &amp; New Loads) :</t>
  </si>
  <si>
    <t>System Load :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</si>
  <si>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</si>
  <si>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</si>
  <si>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</si>
  <si>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 System Capacity Remaining</t>
  </si>
  <si>
    <t>Combined System Capacity Remaining</t>
  </si>
  <si>
    <t>B System Capacity Remaining</t>
  </si>
  <si>
    <t>90% Capacity limit exceeded if cells are red, additional build required</t>
  </si>
  <si>
    <t>Allowing for 10% for aging (Falcon) - Normal Running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</si>
  <si>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</si>
  <si>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</si>
  <si>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</si>
  <si>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</si>
  <si>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</si>
  <si>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</si>
  <si>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</si>
  <si>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</si>
  <si>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</si>
  <si>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</si>
  <si>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</si>
  <si>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</si>
  <si>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</si>
  <si>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</si>
  <si>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</si>
  <si>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</si>
  <si>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</si>
  <si>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BRN;DC SYS01</t>
  </si>
  <si>
    <t>PCOTN1_Flag</t>
  </si>
  <si>
    <t>PCOTN1_Gemini</t>
  </si>
  <si>
    <t>SQYN02 - SYS8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</si>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</sst>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1"/>
      <color rgb="FF000000"/>
      <name val="Vodafone Rg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rgb="FF000000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9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8" fillId="21" borderId="0" xfId="0" applyFont="1" applyFill="1" applyAlignment="1" applyProtection="1">
      <alignment horizontal="center" vertical="center" wrapText="1"/>
      <protection locked="0"/>
    </xf>
    <xf numFmtId="165" fontId="27" fillId="21" borderId="2" xfId="0" applyNumberFormat="1" applyFont="1" applyFill="1" applyBorder="1" applyProtection="1">
      <protection locked="0"/>
    </xf>
    <xf numFmtId="0" fontId="4" fillId="21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 wrapText="1"/>
      <protection locked="0"/>
    </xf>
    <xf numFmtId="0" fontId="52" fillId="36" borderId="2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Allaister Pollock, Vodafone" id="{2F866B83-624F-48C3-9D64-E2156FA23622}" userId="S::allaister.pollock@vodafone.com::cd0ecf44-fcfa-4532-b7b4-839afb5a341e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[3]!Table7[[#This Row],[Ah Rating]]/10</calculatedColumnFormula>
    </tableColumn>
    <tableColumn id="14" xr3:uid="{00000000-0010-0000-0300-00000E000000}" name="Temp" dataDxfId="0" dataCellStyle="Normal 2">
      <calculatedColumnFormula>[3]!Table7[[#This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8" dT="2024-10-10T08:00:29.30" personId="{BC55F889-AFD3-4AD4-B814-0EDFA8411758}" id="{35E9638A-0C90-4D0F-B5E5-87028092C31A}">
    <text>Systems linked to BSHN07 to show on Crown, but cover mulitple rooms so cooling doesn't work out</text>
  </threadedComment>
  <threadedComment ref="K197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J12" dT="2024-08-13T09:19:08.43" personId="{4232887B-6F74-4501-885D-8735C5662726}" id="{8470B58B-3870-4E89-85B8-074DBFF36656}" parentId="{B50293A4-B35C-4D1D-B69C-75BE815FA6F5}">
    <text>2.5kW allocation reduced due to live reading of 0.9KW</text>
  </threadedComment>
  <threadedComment ref="J12" dT="2024-09-18T08:09:30.38" personId="{4232887B-6F74-4501-885D-8735C5662726}" id="{B3DED44E-8D82-4803-A655-EC0A4D2E1EC8}" parentId="{B50293A4-B35C-4D1D-B69C-75BE815FA6F5}">
    <text>2.5kW allocation reduced due to live reading of 0.9KW</text>
  </threadedComment>
  <threadedComment ref="J12" dT="2024-11-05T14:42:16.92" personId="{4232887B-6F74-4501-885D-8735C5662726}" id="{ECE377B1-E517-4F75-91A1-CF149E9C7635}" parentId="{B50293A4-B35C-4D1D-B69C-75BE815FA6F5}">
    <text>2.5kW allocation reduced due to live reading of 1.1KW</text>
  </threadedComment>
  <threadedComment ref="J12" dT="2024-12-05T14:59:13.86" personId="{4232887B-6F74-4501-885D-8735C5662726}" id="{B27F31B9-DAD0-44B5-9871-61E66F7B3F5C}" parentId="{B50293A4-B35C-4D1D-B69C-75BE815FA6F5}">
    <text>2.5kW allocation reduced due to live reading of 1.6KW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L12" dT="2024-08-13T09:17:39.82" personId="{4232887B-6F74-4501-885D-8735C5662726}" id="{E250101E-5E45-418D-BB71-5E0BDC51F9C1}" parentId="{4B93C499-6A09-40F4-BF2E-413B300894D7}">
    <text>4.25kW allocation reduced due to live reading of 1.2KW</text>
  </threadedComment>
  <threadedComment ref="L12" dT="2024-09-18T08:07:56.28" personId="{4232887B-6F74-4501-885D-8735C5662726}" id="{3BBDAB9D-A731-4267-BB19-80977658EC19}" parentId="{4B93C499-6A09-40F4-BF2E-413B300894D7}">
    <text>4.25kW allocation reduced due to live reading of 1.2KW</text>
  </threadedComment>
  <threadedComment ref="L12" dT="2024-11-05T14:24:27.88" personId="{4232887B-6F74-4501-885D-8735C5662726}" id="{ED1AC710-24BF-48A4-A2B2-09D80AA0355B}" parentId="{4B93C499-6A09-40F4-BF2E-413B300894D7}">
    <text>4.25kW allocation reduced due to live reading of 1.3KW</text>
  </threadedComment>
  <threadedComment ref="L12" dT="2024-12-05T14:54:19.55" personId="{4232887B-6F74-4501-885D-8735C5662726}" id="{A8D6D46F-978E-4204-9FF9-E71F7F1CC3D7}" parentId="{4B93C499-6A09-40F4-BF2E-413B300894D7}">
    <text>4.25kW allocation reduced due to live reading of 1.5KW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N12" dT="2024-08-13T09:11:55.37" personId="{4232887B-6F74-4501-885D-8735C5662726}" id="{6E27A54F-B093-4FC4-A29C-F0B065E3C30A}" parentId="{4BB3C74A-4259-411D-BCCC-A1891B45D543}">
    <text>1kW allocation reduced due to live reading of 0.2KW</text>
  </threadedComment>
  <threadedComment ref="N12" dT="2024-09-18T08:04:43.96" personId="{4232887B-6F74-4501-885D-8735C5662726}" id="{EB0F71CC-93D4-4672-95CD-E23FA2108D7A}" parentId="{4BB3C74A-4259-411D-BCCC-A1891B45D543}">
    <text>1kW allocation reduced due to live reading of 0.2KW</text>
  </threadedComment>
  <threadedComment ref="N12" dT="2024-11-05T14:20:27.20" personId="{4232887B-6F74-4501-885D-8735C5662726}" id="{60AFF832-75E6-49D6-ACDC-EC5FF05986F2}" parentId="{4BB3C74A-4259-411D-BCCC-A1891B45D543}">
    <text>1kW allocation reduced due to live reading of 0.2KW</text>
  </threadedComment>
  <threadedComment ref="N12" dT="2024-12-05T14:50:44.52" personId="{4232887B-6F74-4501-885D-8735C5662726}" id="{7E5ECCC8-ED83-43E2-8777-36CC1344666E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P12" dT="2024-08-13T09:13:16.02" personId="{4232887B-6F74-4501-885D-8735C5662726}" id="{9FA77245-3FCE-42AF-BB2C-3C1315E7BBC7}" parentId="{FCFB10B3-7A17-42D4-8580-A5FE813F5514}">
    <text>1kW allocation reduced due to live reading of 0.2KW</text>
  </threadedComment>
  <threadedComment ref="P12" dT="2024-09-18T08:06:18.28" personId="{4232887B-6F74-4501-885D-8735C5662726}" id="{31A25A30-0871-439F-ABAE-390A270B8667}" parentId="{FCFB10B3-7A17-42D4-8580-A5FE813F5514}">
    <text>1kW allocation reduced due to live reading of 0.2KW</text>
  </threadedComment>
  <threadedComment ref="P12" dT="2024-11-05T14:21:31.29" personId="{4232887B-6F74-4501-885D-8735C5662726}" id="{D4A1BEBE-DEEE-48DD-9849-F6206C2E77F9}" parentId="{FCFB10B3-7A17-42D4-8580-A5FE813F5514}">
    <text>1kW allocation reduced due to live reading of 0.2KW</text>
  </threadedComment>
  <threadedComment ref="P12" dT="2024-12-05T14:51:53.52" personId="{4232887B-6F74-4501-885D-8735C5662726}" id="{6E4CA62C-EBCD-4CED-92CD-EEE7567E48F6}" parentId="{FCFB10B3-7A17-42D4-8580-A5FE813F5514}">
    <text>1kW allocation reduced due to live reading of 0.2KW</text>
  </threadedComment>
  <threadedComment ref="Q12" dT="2024-11-15T10:09:59.42" personId="{23875134-620F-49C7-896C-147D628FB6EA}" id="{B799F618-5653-40D1-912C-29E767505283}">
    <text xml:space="preserve">Under this ORMT_SAP_240904_13_W859570 allocated power 1KW 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J13" dT="2024-08-13T09:19:41.78" personId="{4232887B-6F74-4501-885D-8735C5662726}" id="{FB36C2D8-38AF-4C65-90B9-90539202A7FD}" parentId="{E9489508-5701-456A-97D9-662D462EABD8}">
    <text>2.5kW allocation reduced due to live reading of 2.3KW</text>
  </threadedComment>
  <threadedComment ref="J13" dT="2024-09-18T08:09:50.04" personId="{4232887B-6F74-4501-885D-8735C5662726}" id="{93A9E5AC-A1AA-4FCC-ACCF-43221BCC4F28}" parentId="{E9489508-5701-456A-97D9-662D462EABD8}">
    <text>2.5kW allocation reduced due to live reading of 2.2KW</text>
  </threadedComment>
  <threadedComment ref="J13" dT="2024-11-05T14:42:42.27" personId="{4232887B-6F74-4501-885D-8735C5662726}" id="{D09F6422-C391-45CE-8FAD-2890DE259CCA}" parentId="{E9489508-5701-456A-97D9-662D462EABD8}">
    <text>2.5kW allocation reduced due to live reading of 2.1KW</text>
  </threadedComment>
  <threadedComment ref="J13" dT="2024-12-05T15:10:42.65" personId="{4232887B-6F74-4501-885D-8735C5662726}" id="{6F36B934-79F4-44E5-BD57-8483B399214F}" parentId="{E9489508-5701-456A-97D9-662D462EABD8}">
    <text>2.5kW allocation reduced due to live reading of 1.5KW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L13" dT="2024-08-13T09:18:08.93" personId="{4232887B-6F74-4501-885D-8735C5662726}" id="{0B9C49BC-4265-47A4-BFE9-AE8CC99DBB8C}" parentId="{322D4069-AA02-42AB-B193-3F9C6B4B4E9C}">
    <text>4.25kW allocation reduced due to live reading of 2.1KW</text>
  </threadedComment>
  <threadedComment ref="L13" dT="2024-09-18T08:08:19.35" personId="{4232887B-6F74-4501-885D-8735C5662726}" id="{0108335D-D60A-46A0-91B4-88CC0191302B}" parentId="{322D4069-AA02-42AB-B193-3F9C6B4B4E9C}">
    <text>4.25kW allocation reduced due to live reading of 2.1KW</text>
  </threadedComment>
  <threadedComment ref="L13" dT="2024-11-05T14:25:46.78" personId="{4232887B-6F74-4501-885D-8735C5662726}" id="{FD207737-D96F-4AD2-A2B1-8499D85DE554}" parentId="{322D4069-AA02-42AB-B193-3F9C6B4B4E9C}">
    <text>4.25kW allocation reduced due to live reading of 2.1KW</text>
  </threadedComment>
  <threadedComment ref="L13" dT="2024-12-05T14:54:47.82" personId="{4232887B-6F74-4501-885D-8735C5662726}" id="{C1C01652-8356-4008-8161-38D28776F7A8}" parentId="{322D4069-AA02-42AB-B193-3F9C6B4B4E9C}">
    <text>4.25kW allocation reduced due to live reading of 1.8KW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N13" dT="2024-08-13T09:12:04.81" personId="{4232887B-6F74-4501-885D-8735C5662726}" id="{417D284D-4A5E-431B-8889-3E9389099CAF}" parentId="{866D5FAD-2F78-439B-A957-692556D44432}">
    <text>1kW allocation reduced due to live reading of 0.2KW</text>
  </threadedComment>
  <threadedComment ref="N13" dT="2024-09-18T08:05:01.19" personId="{4232887B-6F74-4501-885D-8735C5662726}" id="{A7C83CC1-C770-4C61-8F21-F0486FE70A9C}" parentId="{866D5FAD-2F78-439B-A957-692556D44432}">
    <text>1kW allocation reduced due to live reading of 0.2KW</text>
  </threadedComment>
  <threadedComment ref="N13" dT="2024-11-05T14:20:43.37" personId="{4232887B-6F74-4501-885D-8735C5662726}" id="{34BFC400-7A6F-43E4-9FF1-E6F92F1FF57F}" parentId="{866D5FAD-2F78-439B-A957-692556D44432}">
    <text>1kW allocation reduced due to live reading of 0.2KW</text>
  </threadedComment>
  <threadedComment ref="N13" dT="2024-12-05T14:50:54.11" personId="{4232887B-6F74-4501-885D-8735C5662726}" id="{4EC170B5-075A-4755-82C6-B3FEDB387513}" parentId="{866D5FAD-2F78-439B-A957-692556D44432}">
    <text>1kW allocation reduced due to live reading of 0.2KW</text>
  </threadedComment>
  <threadedComment ref="Q13" dT="2024-11-15T10:19:00.25" personId="{23875134-620F-49C7-896C-147D628FB6EA}" id="{5794F8ED-754E-41CB-8FC5-E679EE746B43}">
    <text xml:space="preserve">Under this ORMT_SAP_240904_13_W859570 allocated power 1KW 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K21" dT="2024-09-03T16:14:25.97" personId="{23875134-620F-49C7-896C-147D628FB6EA}" id="{464B4156-14C7-48BC-B356-F04F700678DA}">
    <text>ORMT_SAP_240822_8_26167987 allocated additional power 2*Ciena 6500 R4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L22" dT="2024-11-06T12:32:49.70" personId="{4232887B-6F74-4501-885D-8735C5662726}" id="{67095FCD-377B-4FED-8912-EEE7DD5826E1}" parentId="{3EA97E3A-4762-488E-A0CF-D220BF9BF864}">
    <text>4kW allocation reduced due to live reading of 3.7KW</text>
  </threadedComment>
  <threadedComment ref="L22" dT="2024-12-12T14:10:44.31" personId="{4232887B-6F74-4501-885D-8735C5662726}" id="{E7DFC0DE-BACD-48BE-968D-F7C83C8B4C23}" parentId="{3EA97E3A-4762-488E-A0CF-D220BF9BF864}">
    <text>4kW allocation reduced due to live reading of 3.6KW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N22" dT="2024-11-06T12:35:21.28" personId="{4232887B-6F74-4501-885D-8735C5662726}" id="{B14B805A-7576-43EC-A029-52DBB3D07AB9}" parentId="{50F6CC03-DF6E-4315-A698-C119F1CADA9C}">
    <text>2.5KW allocation reduced to live reading of 1.4KW</text>
  </threadedComment>
  <threadedComment ref="N22" dT="2024-12-12T14:16:39.21" personId="{4232887B-6F74-4501-885D-8735C5662726}" id="{67423B5B-A52B-48F6-A80C-2923DF032EF3}" parentId="{50F6CC03-DF6E-4315-A698-C119F1CADA9C}">
    <text>2.5KW allocation reduced to live reading of 0.9KW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P22" dT="2024-11-06T12:26:20.87" personId="{4232887B-6F74-4501-885D-8735C5662726}" id="{37088694-7BEE-4C16-92D4-D9E34D1249B1}" parentId="{2913C62D-9AAC-44DD-A7AB-6211914F0F70}">
    <text>2.25kW allocation reduced due to
live reading of 0.9KW</text>
  </threadedComment>
  <threadedComment ref="P22" dT="2024-12-12T14:02:48.17" personId="{4232887B-6F74-4501-885D-8735C5662726}" id="{EED47554-8311-4133-98F1-547163E210B9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R22" dT="2024-11-06T12:28:53.50" personId="{4232887B-6F74-4501-885D-8735C5662726}" id="{F8532332-B687-4ECD-87FB-B95FBD90C44A}" parentId="{EDACE473-F999-42A2-8269-BA47EC6A6AF8}">
    <text>2.25kW allocation reduced due to live reading of 1.2KW</text>
  </threadedComment>
  <threadedComment ref="R22" dT="2024-12-12T14:05:27.81" personId="{4232887B-6F74-4501-885D-8735C5662726}" id="{E4556361-F067-47C9-AC79-8B0B4AC2EF17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T22" dT="2024-11-06T12:30:55.71" personId="{4232887B-6F74-4501-885D-8735C5662726}" id="{6DCE2FE8-0F47-45F2-8F81-F893D3399EC1}" parentId="{00FA7D05-CAD0-47E4-9B77-50DD6647E97F}">
    <text>2.25kW allocation reduced due to live reading of 0.5KW</text>
  </threadedComment>
  <threadedComment ref="T22" dT="2024-12-12T14:07:35.04" personId="{4232887B-6F74-4501-885D-8735C5662726}" id="{F7756173-11A5-4C24-A7DE-9EAD0A8E962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X22" dT="2024-11-06T12:24:37.13" personId="{4232887B-6F74-4501-885D-8735C5662726}" id="{D356FCAE-2894-4705-B0C4-56069C95684F}" parentId="{EEF0BFB8-7B14-4589-83BB-A0617D8EFBA4}">
    <text>2.5kW allocation reduced due to live reading of 0.3KW</text>
  </threadedComment>
  <threadedComment ref="X22" dT="2024-12-12T13:58:19.39" personId="{4232887B-6F74-4501-885D-8735C5662726}" id="{2857DE32-419E-427B-826E-0A1301AC2B1F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Z22" dT="2024-11-06T12:23:09.65" personId="{4232887B-6F74-4501-885D-8735C5662726}" id="{38B6F40F-2E78-477A-A12E-8D4FFC298DCC}" parentId="{90919ECA-214A-4C29-80CE-CCD362EAA6BD}">
    <text>2kW allocation reduced due to live reading of 0.5KW</text>
  </threadedComment>
  <threadedComment ref="Z22" dT="2024-12-12T13:54:19.70" personId="{4232887B-6F74-4501-885D-8735C5662726}" id="{E18FD8A6-3DAB-4D7E-B440-BEC377F5DD44}" parentId="{90919ECA-214A-4C29-80CE-CCD362EAA6BD}">
    <text>2kW allocation reduced due to live reading of 0.8KW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L23" dT="2024-11-06T12:33:04.33" personId="{4232887B-6F74-4501-885D-8735C5662726}" id="{910D3F26-FB80-43B1-A5E8-01049EFF2E19}" parentId="{2C081B2C-5BED-4423-A2FC-A2CF3D574AAC}">
    <text>4kW allocation reduced due to live reading of 3.5KW</text>
  </threadedComment>
  <threadedComment ref="L23" dT="2024-12-12T14:12:34.81" personId="{4232887B-6F74-4501-885D-8735C5662726}" id="{C3028BAA-AAE2-4DEA-8B32-8875636A1F19}" parentId="{2C081B2C-5BED-4423-A2FC-A2CF3D574AAC}">
    <text>4kW allocation reduced due to live reading of 3.6KW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P23" dT="2024-11-06T12:26:54.47" personId="{4232887B-6F74-4501-885D-8735C5662726}" id="{70AAE965-546D-4A41-99C0-39A8B6C12D4F}" parentId="{6941C7EF-0E0A-4A32-8EAB-0867E698D03E}">
    <text>2.25kW allocation reduced due to
live reading of 0.9KW</text>
  </threadedComment>
  <threadedComment ref="P23" dT="2024-12-12T14:03:15.58" personId="{4232887B-6F74-4501-885D-8735C5662726}" id="{5D423A01-5C11-4AD8-B7A5-6002493B44A4}" parentId="{6941C7EF-0E0A-4A32-8EAB-0867E698D03E}">
    <text>2.25kW allocation reduced due to live reading of 1KW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R23" dT="2024-11-06T12:29:08.88" personId="{4232887B-6F74-4501-885D-8735C5662726}" id="{2AC935F2-3123-49A0-AEFA-68FF7A52587B}" parentId="{AB4DCB4C-416A-4A2A-85AA-FB7D89FDD685}">
    <text>2.25kW allocation reduced due to live reading of 1.2KW</text>
  </threadedComment>
  <threadedComment ref="R23" dT="2024-12-12T14:05:39.64" personId="{4232887B-6F74-4501-885D-8735C5662726}" id="{8EDDC7F6-88B8-4FB6-B5BA-2BA3E67E7E87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T23" dT="2024-11-06T12:31:04.45" personId="{4232887B-6F74-4501-885D-8735C5662726}" id="{C42A287C-3B8C-4E49-ACF2-BB23FAD02264}" parentId="{BF2F969B-BB12-4D61-8B5B-6DC8A4FF7523}">
    <text>2.25kW allocation reduced due to live reading of 0.5KW</text>
  </threadedComment>
  <threadedComment ref="T23" dT="2024-12-12T14:07:58.60" personId="{4232887B-6F74-4501-885D-8735C5662726}" id="{D7601774-5757-497D-A0C3-52DA95702CD6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X23" dT="2024-11-06T12:24:52.57" personId="{4232887B-6F74-4501-885D-8735C5662726}" id="{38A82F77-96E2-4A44-9DEA-E6DEEA7FBEEE}" parentId="{4762A758-8996-4619-9F64-8A74F8D6F2E8}">
    <text>2.5kW allocation reduced due to live reading of 0.2KW</text>
  </threadedComment>
  <threadedComment ref="X23" dT="2024-12-12T13:58:30.36" personId="{4232887B-6F74-4501-885D-8735C5662726}" id="{AE1E454C-69A8-4306-ADCD-24E0DDAB064C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Z23" dT="2024-11-06T12:23:26.04" personId="{4232887B-6F74-4501-885D-8735C5662726}" id="{667530DA-63CF-4C60-A043-5F29BFD85740}" parentId="{0A6C3A3E-5EF8-46DB-ACCF-1608F88C89B9}">
    <text>2kW allocation reduced due to live reading of 0.6KW</text>
  </threadedComment>
  <threadedComment ref="Z23" dT="2024-12-12T13:54:56.39" personId="{4232887B-6F74-4501-885D-8735C5662726}" id="{A409B20A-BBAD-473D-B61E-309C430961F8}" parentId="{0A6C3A3E-5EF8-46DB-ACCF-1608F88C89B9}">
    <text>2kW allocation reduced due to live reading of 0.7KW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S25" dT="2024-08-09T10:37:13.31" personId="{23875134-620F-49C7-896C-147D628FB6EA}" id="{0B0EE341-11DE-4BC8-88FF-6C75B556D925}">
    <text>ORMT_SAP_240517_1_11255170 planned for Nokia 7750 SR2s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W26" dT="2024-08-09T10:37:13.31" personId="{23875134-620F-49C7-896C-147D628FB6EA}" id="{BC746B48-A3B0-41E6-A65F-BF3D787A4851}">
    <text>ORMT_SAP_240517_1_11255170 planned for Nokia 7750 SR2s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J30" dT="2024-08-20T09:17:05.42" personId="{4232887B-6F74-4501-885D-8735C5662726}" id="{3C9D45B7-C53F-4381-A0AF-84953693FAD4}" parentId="{7D8060D4-C467-4E6C-8132-FEDB9D63C26E}">
    <text>4kW allocation reduced due to live reading of 3.7kW</text>
  </threadedComment>
  <threadedComment ref="J30" dT="2024-11-27T14:09:48.43" personId="{4232887B-6F74-4501-885D-8735C5662726}" id="{11CE6128-2BF8-447F-838C-51B37A7BB1C8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L30" dT="2024-08-20T09:19:27.02" personId="{4232887B-6F74-4501-885D-8735C5662726}" id="{250C145B-398C-47A5-B96C-D1829D9FD5E1}" parentId="{734BAB72-CC61-4747-8AC7-DCF361CA4A94}">
    <text>2.5kW allocation reduced due to live reading of 0.6kW</text>
  </threadedComment>
  <threadedComment ref="L30" dT="2024-11-27T14:11:49.82" personId="{4232887B-6F74-4501-885D-8735C5662726}" id="{3B0DD1A5-944E-4078-AE4F-D988766C302B}" parentId="{734BAB72-CC61-4747-8AC7-DCF361CA4A94}">
    <text>2.5kW allocation reduced due to live reading of 0.6kW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N30" dT="2024-08-20T09:20:56.13" personId="{4232887B-6F74-4501-885D-8735C5662726}" id="{31C35239-F133-49AA-85A2-80B025DD0895}" parentId="{1B8DD785-9F62-4677-AC96-32252DA825D2}">
    <text>1kW allocation reduced due to live reading of 0.1kW</text>
  </threadedComment>
  <threadedComment ref="N30" dT="2024-11-27T14:13:03.76" personId="{4232887B-6F74-4501-885D-8735C5662726}" id="{24FCEE25-2272-43B2-8922-C4BBA68AF374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P30" dT="2024-08-20T09:08:54.83" personId="{4232887B-6F74-4501-885D-8735C5662726}" id="{F1BEEDB1-E607-44F0-8F99-AD7B9A57ED7B}" parentId="{623E1EB1-37EC-4D08-B630-481C6A6010CC}">
    <text>2.25kW allocation reduced due to live reading of 0.7kW</text>
  </threadedComment>
  <threadedComment ref="P30" dT="2024-11-27T14:04:12.73" personId="{4232887B-6F74-4501-885D-8735C5662726}" id="{F39B4D04-ECBF-4ADF-8D67-7FA046253E0E}" parentId="{623E1EB1-37EC-4D08-B630-481C6A6010CC}">
    <text>2.25kW allocation reduced due to live reading of 0.6kW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R30" dT="2024-08-20T09:10:40.12" personId="{4232887B-6F74-4501-885D-8735C5662726}" id="{4042513B-A732-4A7D-BD91-5444D6FA67E7}" parentId="{CEAB51EB-54C0-45D8-9C84-A96C218CA05E}">
    <text>2kW allocation reduced due to live reading of 1.3kW</text>
  </threadedComment>
  <threadedComment ref="R30" dT="2024-11-27T14:05:47.39" personId="{4232887B-6F74-4501-885D-8735C5662726}" id="{A83C4848-6D54-4281-A394-6366C68265EC}" parentId="{CEAB51EB-54C0-45D8-9C84-A96C218CA05E}">
    <text>2kW allocation reduced due to live reading of 1.3kW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T30" dT="2024-08-20T09:12:15.95" personId="{4232887B-6F74-4501-885D-8735C5662726}" id="{98F0C290-62C4-4799-827C-6E1F1EE68825}" parentId="{F6979837-93B2-4183-8428-01C2AF9307B9}">
    <text>2kW allocation reduced due to live reading of 0.7W</text>
  </threadedComment>
  <threadedComment ref="T30" dT="2024-11-27T14:07:00.49" personId="{4232887B-6F74-4501-885D-8735C5662726}" id="{19496C71-DCBE-4372-9A86-6F0E54D07989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V30" dT="2024-08-20T09:14:18.11" personId="{4232887B-6F74-4501-885D-8735C5662726}" id="{9B1C0315-8DF3-4838-B8A8-7B2D8CD6CEBD}" parentId="{66455130-CC7B-4C55-9A78-759E0DF3B0C0}">
    <text>2.1kW allocation reduced due to live reading of 0.3kW</text>
  </threadedComment>
  <threadedComment ref="V30" dT="2024-11-27T14:08:30.26" personId="{4232887B-6F74-4501-885D-8735C5662726}" id="{5B022BE0-D17B-462F-BBD7-3AF945AE1922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J31" dT="2024-08-20T09:17:30.38" personId="{4232887B-6F74-4501-885D-8735C5662726}" id="{91D59883-2F2F-4E68-9F84-86024586BF10}" parentId="{2F800565-B49A-4221-B077-4E9304CDEC65}">
    <text>4kW allocation reduced due to live reading of 3.5kW</text>
  </threadedComment>
  <threadedComment ref="J31" dT="2024-11-27T14:10:01.88" personId="{4232887B-6F74-4501-885D-8735C5662726}" id="{AD3580AE-65A0-446F-8BBC-EDBF6DC20715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L31" dT="2024-08-20T09:19:57.30" personId="{4232887B-6F74-4501-885D-8735C5662726}" id="{0B5CFCBF-0CC9-4523-975D-57DDD1B79CC4}" parentId="{6FAA4268-7179-4F43-8CCE-54CCD570AC88}">
    <text>2.5kW allocation reduced due to live reading of 1.8kW</text>
  </threadedComment>
  <threadedComment ref="L31" dT="2024-11-27T14:12:06.09" personId="{4232887B-6F74-4501-885D-8735C5662726}" id="{33CD587C-FD5A-46AF-AAF3-EF88ED4AE49E}" parentId="{6FAA4268-7179-4F43-8CCE-54CCD570AC88}">
    <text>2.5kW allocation reduced due to live reading of 2kW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P31" dT="2024-08-20T09:09:09.38" personId="{4232887B-6F74-4501-885D-8735C5662726}" id="{A1637DB2-C27B-4CE8-89C8-70F21AA14D99}" parentId="{18396993-B9F6-440A-BADB-001BF249AA3F}">
    <text>2.25kW allocation reduced due to live reading of 0.7kW</text>
  </threadedComment>
  <threadedComment ref="P31" dT="2024-11-27T14:04:26.63" personId="{4232887B-6F74-4501-885D-8735C5662726}" id="{214E12B1-BE07-464D-8B47-73E3B70A8B3F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R31" dT="2024-08-20T09:10:54.04" personId="{4232887B-6F74-4501-885D-8735C5662726}" id="{E1EF5D43-905E-440D-A7C7-D2FA329F80BB}" parentId="{716D6787-1278-4A36-9CBC-AAC5A33A1135}">
    <text>2kW allocation reduced due to live reading of 1.3kW</text>
  </threadedComment>
  <threadedComment ref="R31" dT="2024-11-27T14:06:01.60" personId="{4232887B-6F74-4501-885D-8735C5662726}" id="{A0085C54-D6DC-44BF-98A4-3E4ACA6EA3DA}" parentId="{716D6787-1278-4A36-9CBC-AAC5A33A1135}">
    <text>2kW allocation reduced due to live reading of 1.4kW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T31" dT="2024-08-20T09:12:32.26" personId="{4232887B-6F74-4501-885D-8735C5662726}" id="{803DE1AB-A156-4771-BA40-271FED9F4874}" parentId="{0CCF1512-389B-490E-A65F-3A7BB37077D0}">
    <text>2kW allocation reduced due to live reading of 0.8W</text>
  </threadedComment>
  <threadedComment ref="T31" dT="2024-11-27T14:07:08.15" personId="{4232887B-6F74-4501-885D-8735C5662726}" id="{323E6E78-61AC-49F9-9038-DA905BD6220B}" parentId="{0CCF1512-389B-490E-A65F-3A7BB37077D0}">
    <text>2kW allocation reduced due to live reading of 0.8W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V31" dT="2024-08-20T09:15:09.39" personId="{4232887B-6F74-4501-885D-8735C5662726}" id="{A50DF2AC-16B8-4B9F-AE92-EB7118173AF7}" parentId="{6AFD527B-C6C2-4F98-AF53-81DC1F3EFF76}">
    <text>2.1kW allocation reduced due to live reading of 0.2kW</text>
  </threadedComment>
  <threadedComment ref="V31" dT="2024-11-27T14:08:39.29" personId="{4232887B-6F74-4501-885D-8735C5662726}" id="{176FD2D7-2B6C-4192-8FE9-4902D441620E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O37" dT="2024-03-04T14:12:02.77" personId="{F6E7EC2D-8E6E-4BA1-BCDD-6D7FECF08119}" id="{8D579D89-C061-4CBE-92C4-9F725FBDBDA1}">
    <text>New AKAMAI rack is planned with a removal of an existing 2 racks in BL12 &amp; BL13 under ORMT_SAP_231220_15_10335416 with power 5KW</text>
  </threadedComment>
  <threadedComment ref="Q37" dT="2024-06-07T16:05:07.15" personId="{1E6DD3F2-E860-47E0-8C0E-4DFC2954E528}" id="{3057499C-D80B-48EF-AA59-AD58526FFB51}">
    <text>New AKAMAI rack is planned in BE09 under ORMT_SAP_231220_15_10335416</text>
  </threadedComment>
  <threadedComment ref="I38" dT="2024-04-30T10:55:53.07" personId="{7807B229-714C-4AA1-8F83-E7F46ACB7D83}" id="{D844858F-0605-4FDD-AF40-DFDED6DD3F77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J39" dT="2024-08-20T10:51:18.16" personId="{4232887B-6F74-4501-885D-8735C5662726}" id="{25961D3F-D245-488A-B71F-B47CC8D9C4AC}" parentId="{AAF163C0-28A8-43CE-96FF-B08C04C50F9E}">
    <text>38kW allocation reduced due to live reading of 0.2kW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L39" dT="2024-08-20T10:15:29.47" personId="{4232887B-6F74-4501-885D-8735C5662726}" id="{C9185325-889E-4A75-BF40-50B859F8C758}" parentId="{0AD3ACBC-D6B8-44E1-858E-6B3F9085D8CC}">
    <text>67kW allocation reduced due to live reading of 10.2kW</text>
  </threadedComment>
  <threadedComment ref="L39" dT="2024-09-16T12:12:26.85" personId="{4232887B-6F74-4501-885D-8735C5662726}" id="{7BB5D4D4-8106-4215-B7D6-F0EB876C7033}" parentId="{0AD3ACBC-D6B8-44E1-858E-6B3F9085D8CC}">
    <text>37.5kW allocation reduced due to live reading of 7.8kW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N39" dT="2024-08-20T10:33:07.71" personId="{4232887B-6F74-4501-885D-8735C5662726}" id="{077061D8-4D94-47A9-8BB6-DF4ADC967B4A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P39" dT="2024-08-20T10:41:43.05" personId="{4232887B-6F74-4501-885D-8735C5662726}" id="{20A3F6A9-D271-4AB2-9C4A-6B1C606A5C45}" parentId="{34CA145A-A04B-4B65-AE50-E53C91E969BE}">
    <text>8kW allocation reduced due to live reading of 7.5kW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R39" dT="2024-08-20T10:25:43.12" personId="{4232887B-6F74-4501-885D-8735C5662726}" id="{886F34FC-A8F5-4440-BF9F-04E002547CA0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T39" dT="2024-08-20T10:28:53.86" personId="{4232887B-6F74-4501-885D-8735C5662726}" id="{31EB78B7-343E-400E-B549-98778760FD8F}" parentId="{00C749D7-58E7-493E-839D-806910D877B6}">
    <text>4kW allocation reduced due to live reading of 3.2kW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V39" dT="2024-08-20T10:27:15.53" personId="{4232887B-6F74-4501-885D-8735C5662726}" id="{AF505C2D-AB0C-480B-ACAB-43524AA6B6DF}" parentId="{38702FA8-0F84-4EFB-848C-A5CE71AB178D}">
    <text>4kW allocation reduced due to live reading of 3.3kW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X39" dT="2024-08-20T10:59:18.19" personId="{4232887B-6F74-4501-885D-8735C5662726}" id="{B85C3CCB-3C47-4665-9AA4-C3560D334D3D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Z39" dT="2024-08-20T11:01:03.74" personId="{4232887B-6F74-4501-885D-8735C5662726}" id="{68563B24-7596-451D-A2CF-37968FE325F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B39" dT="2024-08-20T10:57:47.17" personId="{4232887B-6F74-4501-885D-8735C5662726}" id="{B978EE59-A6CC-4B5F-9C4D-C3A6DA7A0E3E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D39" dT="2024-08-20T10:24:19.39" personId="{4232887B-6F74-4501-885D-8735C5662726}" id="{09F0493B-AB7D-495E-AD22-441F7969E990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F39" dT="2024-08-20T10:43:42.10" personId="{4232887B-6F74-4501-885D-8735C5662726}" id="{DA8029EB-7D38-4B7A-A52C-D90A90351B31}" parentId="{6EFEBB33-3B9B-49DA-8F02-351FB5706FA9}">
    <text>4kW allocation reduced due to live reading of 1kW</text>
  </threadedComment>
  <threadedComment ref="AF39" dT="2024-09-16T12:50:00.88" personId="{2F866B83-624F-48C3-9D64-E2156FA23622}" id="{4978937B-5BDA-4EE2-BDD3-4FD56DCC025B}" parentId="{6EFEBB33-3B9B-49DA-8F02-351FB5706FA9}">
    <text xml:space="preserve">Allocation change to be 1.6kW per side for new equipment </text>
  </threadedComment>
  <threadedComment ref="AM39" dT="2024-12-09T14:24:56.33" personId="{23875134-620F-49C7-896C-147D628FB6EA}" id="{22B86E6A-F218-4B87-92FF-1AE0202B69E8}">
    <text>Nokia 7210 SAS SX New rack is planned and power allocated for 6.6KW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AS39" dT="2024-12-03T17:01:44.03" personId="{23875134-620F-49C7-896C-147D628FB6EA}" id="{3B8167EC-FB4E-444C-9D05-D21E111720F0}">
    <text>Wave Server(CIENA 6500-R4) is planned under ORMT_SAP_241010_7_10334046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J40" dT="2024-08-20T10:52:33.58" personId="{4232887B-6F74-4501-885D-8735C5662726}" id="{42E242A2-7C51-4136-A32D-991A446272CA}" parentId="{6C73629A-F682-4036-8714-8A14DF3B8070}">
    <text>38kW allocation reduced due to live reading of 1.8kW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L40" dT="2024-08-20T10:16:21.48" personId="{4232887B-6F74-4501-885D-8735C5662726}" id="{ED6595C2-8FEA-4622-BE3F-3B94A732DE5C}" parentId="{3FB2B93C-D463-4D99-B769-8ECB16F0D6DE}">
    <text>37.5kW allocation reduced due to live reading of 8.8kW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F40" dT="2024-08-20T10:45:34.93" personId="{4232887B-6F74-4501-885D-8735C5662726}" id="{0A568FA0-1BAE-447C-B138-CBFD3CEF19E8}" parentId="{07705D21-F6A2-4CE4-B80D-ADB88F322DD1}">
    <text>4kW allocation reduced due to live reading of 1kW</text>
  </threadedComment>
  <threadedComment ref="AF40" dT="2024-09-16T12:50:22.43" personId="{2F866B83-624F-48C3-9D64-E2156FA23622}" id="{69CE99F2-55A7-463F-9E03-A2838A31C12E}" parentId="{07705D21-F6A2-4CE4-B80D-ADB88F322DD1}">
    <text xml:space="preserve">Allocation change to be 1.6kW per side for new equipment </text>
  </threadedComment>
  <threadedComment ref="AM40" dT="2024-12-09T14:25:06.78" personId="{23875134-620F-49C7-896C-147D628FB6EA}" id="{21277964-AF7F-4C52-92FF-4651E5754EDE}">
    <text>Nokia 7210 SAS SX New rack is planned and power allocated for 6.6KW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AS40" dT="2024-12-03T17:02:03.31" personId="{23875134-620F-49C7-896C-147D628FB6EA}" id="{ABA34852-E2C6-47EA-9ACB-285C172E1F30}">
    <text>Wave Server(CIENA 6500-R4) is planned under ORMT_SAP_241010_7_10334046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M47" dT="2024-08-12T10:31:06.02" personId="{23875134-620F-49C7-896C-147D628FB6EA}" id="{6E7BE9F4-725B-423A-87CD-4FB20962D753}">
    <text>ORMT_SAP_240517_1_11255170 planned for Nokia 7750 SR2s</text>
  </threadedComment>
  <threadedComment ref="J48" personId="{31CF382B-C4A6-482E-AE04-28CACDB6A63A}" id="{8C99A49F-8782-4256-BFAD-4627AB00E89F}">
    <text>Was 5kw, live reading of 2.5kW so reduced down</text>
  </threadedComment>
  <threadedComment ref="J48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8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8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8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8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8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8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8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8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J48" dT="2024-11-27T15:00:05.36" personId="{4232887B-6F74-4501-885D-8735C5662726}" id="{FB4A454A-14D8-4F18-9581-C04BC2B08722}" parentId="{8C99A49F-8782-4256-BFAD-4627AB00E89F}">
    <text>2.5kW allocation reduced due to live reading of 1.3kW</text>
  </threadedComment>
  <threadedComment ref="N48" dT="2022-05-26T12:07:07.37" personId="{BC55F889-AFD3-4AD4-B814-0EDFA8411758}" id="{A7521DF4-68B0-4C32-B24B-BBA6F5DF8E95}">
    <text>Total 4kW allocation reduced due to live reading of 1kW</text>
  </threadedComment>
  <threadedComment ref="N48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8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8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8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8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8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8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8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8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8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N48" dT="2024-11-27T15:02:37.57" personId="{4232887B-6F74-4501-885D-8735C5662726}" id="{1EF10F13-1B62-4448-844C-BDA1270F5B80}" parentId="{A7521DF4-68B0-4C32-B24B-BBA6F5DF8E95}">
    <text>2kW allocation reduced due to live reading of 0.6kW</text>
  </threadedComment>
  <threadedComment ref="P48" dT="2022-05-26T12:08:00.30" personId="{BC55F889-AFD3-4AD4-B814-0EDFA8411758}" id="{F014E83B-EE0A-496B-A992-EFC0E234A972}">
    <text>Total 4kW allocation reduced due to live reading of 700W</text>
  </threadedComment>
  <threadedComment ref="P48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8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8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8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8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8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8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8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8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8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P48" dT="2024-11-27T15:03:58.09" personId="{4232887B-6F74-4501-885D-8735C5662726}" id="{1D492756-F7DE-45C3-BE6F-C07E484A5FAE}" parentId="{F014E83B-EE0A-496B-A992-EFC0E234A972}">
    <text>2kW allocation reduced due to live reading of 0.7kW</text>
  </threadedComment>
  <threadedComment ref="R48" dT="2022-05-26T12:08:00.30" personId="{BC55F889-AFD3-4AD4-B814-0EDFA8411758}" id="{4656BABB-5C05-462E-BEE1-50BE54E1E275}">
    <text>Total 4kW allocation reduced due to live reading of 700W</text>
  </threadedComment>
  <threadedComment ref="R48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8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8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8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8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8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8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8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8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8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R48" dT="2024-11-27T15:05:00.23" personId="{4232887B-6F74-4501-885D-8735C5662726}" id="{34128A7F-CE79-4D72-A9FA-66AB513E6BAF}" parentId="{4656BABB-5C05-462E-BEE1-50BE54E1E275}">
    <text>2kW allocation reduced due to live reading of 0.7kW</text>
  </threadedComment>
  <threadedComment ref="T48" dT="2022-05-26T12:08:00.30" personId="{BC55F889-AFD3-4AD4-B814-0EDFA8411758}" id="{56673078-DFE3-49D8-A9C2-4A00DD2C0BD0}">
    <text>Total 4kW allocation reduced due to live reading of 700W</text>
  </threadedComment>
  <threadedComment ref="T48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8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8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8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8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8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8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8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8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8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T48" dT="2024-11-27T15:05:54.21" personId="{4232887B-6F74-4501-885D-8735C5662726}" id="{693E8B9E-89C9-40EF-942F-8BBD6CA380E6}" parentId="{56673078-DFE3-49D8-A9C2-4A00DD2C0BD0}">
    <text>2kW allocation reduced due to live reading of 0.7kW</text>
  </threadedComment>
  <threadedComment ref="V48" dT="2023-07-12T06:59:03.11" personId="{F6E7EC2D-8E6E-4BA1-BCDD-6D7FECF08119}" id="{1A71BE2A-73CC-4792-880D-5C7B13F2C9E4}">
    <text>1kW allocation reduced due to live reading of 0.3KW</text>
  </threadedComment>
  <threadedComment ref="V48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8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8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8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8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8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8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V48" dT="2024-11-27T15:10:16.36" personId="{4232887B-6F74-4501-885D-8735C5662726}" id="{4B454937-29DB-48C0-B260-AD9D6F706697}" parentId="{1A71BE2A-73CC-4792-880D-5C7B13F2C9E4}">
    <text>1kW allocation reduced due to live reading of 0.2kW</text>
  </threadedComment>
  <threadedComment ref="X48" dT="2022-05-26T12:38:50.44" personId="{BC55F889-AFD3-4AD4-B814-0EDFA8411758}" id="{27FE6CB5-213B-49EC-8BF4-1AC62D799892}">
    <text>6kw allocation reduced due to live reading of 4kW</text>
  </threadedComment>
  <threadedComment ref="X48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8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8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8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8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8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8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8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8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8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X48" dT="2024-11-27T15:08:47.42" personId="{4232887B-6F74-4501-885D-8735C5662726}" id="{C0ED728E-9415-4A0F-A351-D5DC8E781CF5}" parentId="{27FE6CB5-213B-49EC-8BF4-1AC62D799892}">
    <text>3kW allocation reduced due to live reading of 2.3kW</text>
  </threadedComment>
  <threadedComment ref="Z48" dT="2023-07-12T06:51:46.25" personId="{F6E7EC2D-8E6E-4BA1-BCDD-6D7FECF08119}" id="{22A6C7F4-56BB-4BD5-AE21-C67EEFA4B7BC}">
    <text>2kW allocation reduced due to live reading of 0.9KW</text>
  </threadedComment>
  <threadedComment ref="Z48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8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8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8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8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8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8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8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8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Z48" dT="2024-11-27T15:09:31.20" personId="{4232887B-6F74-4501-885D-8735C5662726}" id="{8947A4DF-76AE-4448-9573-3EF495AC4FC7}" parentId="{22A6C7F4-56BB-4BD5-AE21-C67EEFA4B7BC}">
    <text>2kW allocation reduced due to live reading of 0.9kW</text>
  </threadedComment>
  <threadedComment ref="AD48" dT="2023-11-13T12:50:37.94" personId="{4232887B-6F74-4501-885D-8735C5662726}" id="{AED84940-5C9C-483A-A066-396E15A17C09}">
    <text>2.5kW allocation reduced due to live reading of 0.3kW</text>
  </threadedComment>
  <threadedComment ref="AD48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8" dT="2022-06-21T09:52:00.28" personId="{A2EEB511-B106-4ABB-A0A9-198E22579A21}" id="{9D19F34B-BD70-49EB-BBD0-2B5FFDE0C68D}">
    <text>2x N9K – 674W
1x ISR4331 – 42W
4x QB500 – 2414W</text>
  </threadedComment>
  <threadedComment ref="AH48" dT="2023-07-12T06:41:28.36" personId="{F6E7EC2D-8E6E-4BA1-BCDD-6D7FECF08119}" id="{E42D9B39-9B6F-404A-A687-04587FF247F3}">
    <text>4kW allocation reduced due to live reading of 2.8KW</text>
  </threadedComment>
  <threadedComment ref="AH48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8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8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8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8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8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8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8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8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H48" dT="2024-11-27T15:07:27.54" personId="{4232887B-6F74-4501-885D-8735C5662726}" id="{A48C0900-E441-4398-91CF-E17A82890036}" parentId="{E42D9B39-9B6F-404A-A687-04587FF247F3}">
    <text>4kW allocation reduced due to live reading of 2.8kW</text>
  </threadedComment>
  <threadedComment ref="AL48" dT="2023-06-08T09:14:40.59" personId="{7807B229-714C-4AA1-8F83-E7F46ACB7D83}" id="{54175C59-C6DB-43E8-BCFA-2592E06049C9}">
    <text>Live reading of .06 KW so original 1kW</text>
  </threadedComment>
  <threadedComment ref="AL48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8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8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8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8" dT="2023-01-12T17:28:05.49" personId="{BC55F889-AFD3-4AD4-B814-0EDFA8411758}" id="{1AC90AB7-4F98-4017-AF84-3A59288D51BC}">
    <text>Live reading 40A, so 3kW allocation reduced by 2.2kW</text>
  </threadedComment>
  <threadedComment ref="AP48" dT="2023-01-12T17:28:05.49" personId="{BC55F889-AFD3-4AD4-B814-0EDFA8411758}" id="{75D88D1E-F0F2-4678-A5C0-4A981D498B56}">
    <text>Live reading 36A, so 3kW allocation reduced by 2kW</text>
  </threadedComment>
  <threadedComment ref="J49" personId="{31CF382B-C4A6-482E-AE04-28CACDB6A63A}" id="{B8F5A2D6-F275-4883-B3A5-B52CFE741476}">
    <text>Was 5kw, live reading of 2.5kW so reduced down</text>
  </threadedComment>
  <threadedComment ref="J49" dT="2023-07-12T06:03:17.31" personId="{F6E7EC2D-8E6E-4BA1-BCDD-6D7FECF08119}" id="{7539E353-B97C-45AF-BBC5-63789ABB3222}" parentId="{B8F5A2D6-F275-4883-B3A5-B52CFE741476}">
    <text>2.5kW allocation reduced due to live reading of 1.2KW</text>
  </threadedComment>
  <threadedComment ref="J49" dT="2023-08-01T13:22:25.67" personId="{4232887B-6F74-4501-885D-8735C5662726}" id="{904C15DC-8866-48F9-9EF7-358CCEF760D0}" parentId="{B8F5A2D6-F275-4883-B3A5-B52CFE741476}">
    <text>2.5kW allocation reduced due to live reading of 1.3kW</text>
  </threadedComment>
  <threadedComment ref="J49" dT="2023-09-04T15:52:04.17" personId="{4232887B-6F74-4501-885D-8735C5662726}" id="{B975D866-54B2-437C-A1BA-B7B2D1F20B69}" parentId="{B8F5A2D6-F275-4883-B3A5-B52CFE741476}">
    <text>2.5kW allocation reduced due to live reading of 1.3kW</text>
  </threadedComment>
  <threadedComment ref="J49" dT="2023-10-23T11:28:52.38" personId="{F6E7EC2D-8E6E-4BA1-BCDD-6D7FECF08119}" id="{CF8590B2-870B-4766-A10E-669265CBEB96}" parentId="{B8F5A2D6-F275-4883-B3A5-B52CFE741476}">
    <text>2.5kW allocation reduced due to live reading of 0.8kW</text>
  </threadedComment>
  <threadedComment ref="J49" dT="2023-11-13T10:53:25.96" personId="{4232887B-6F74-4501-885D-8735C5662726}" id="{A810C4C1-98E2-4460-AF1B-9AD650272E71}" parentId="{B8F5A2D6-F275-4883-B3A5-B52CFE741476}">
    <text>2.5kW allocation reduced due to live reading of 1kW</text>
  </threadedComment>
  <threadedComment ref="J49" dT="2023-12-18T11:59:44.80" personId="{4232887B-6F74-4501-885D-8735C5662726}" id="{6A36D073-C45D-4A85-B74E-925661C9DAFC}" parentId="{B8F5A2D6-F275-4883-B3A5-B52CFE741476}">
    <text>2.5kW allocation reduced due to live reading of 1.1kW</text>
  </threadedComment>
  <threadedComment ref="J49" dT="2024-01-09T08:57:33.81" personId="{4232887B-6F74-4501-885D-8735C5662726}" id="{43E6919A-F962-443E-9D36-A9BCDD64E98C}" parentId="{B8F5A2D6-F275-4883-B3A5-B52CFE741476}">
    <text>2.5kW allocation reduced due to live reading of 1.1kW</text>
  </threadedComment>
  <threadedComment ref="J49" dT="2024-01-09T09:01:04.15" personId="{4232887B-6F74-4501-885D-8735C5662726}" id="{2E16000E-E2C9-4926-AEAD-2AE2C6CA988F}" parentId="{B8F5A2D6-F275-4883-B3A5-B52CFE741476}">
    <text>2.5kW allocation reduced due to live reading of 1.4kW</text>
  </threadedComment>
  <threadedComment ref="J49" dT="2024-02-15T19:02:03.51" personId="{F6E7EC2D-8E6E-4BA1-BCDD-6D7FECF08119}" id="{43EBE11D-424B-4571-93E2-691CCF6C1EB5}" parentId="{B8F5A2D6-F275-4883-B3A5-B52CFE741476}">
    <text>2.5kW allocation reduced due to live reading of 1kW</text>
  </threadedComment>
  <threadedComment ref="J49" dT="2024-03-14T18:48:07.56" personId="{F6E7EC2D-8E6E-4BA1-BCDD-6D7FECF08119}" id="{F69DCC8F-438C-40EB-BE7E-FD6B26C6CD88}" parentId="{B8F5A2D6-F275-4883-B3A5-B52CFE741476}">
    <text>2.5kW allocation reduced due to live reading of 1.5kW</text>
  </threadedComment>
  <threadedComment ref="J49" dT="2024-04-16T12:25:13.42" personId="{4232887B-6F74-4501-885D-8735C5662726}" id="{D9F3C6AB-9959-41C7-BAB0-9832706917CD}" parentId="{B8F5A2D6-F275-4883-B3A5-B52CFE741476}">
    <text>2.5kW allocation reduced due to live reading of 2kW</text>
  </threadedComment>
  <threadedComment ref="J49" dT="2024-04-16T12:26:16.22" personId="{4232887B-6F74-4501-885D-8735C5662726}" id="{4C3FCC03-AE36-425C-9744-6427503FBDB2}" parentId="{B8F5A2D6-F275-4883-B3A5-B52CFE741476}">
    <text>2.5kW allocation reduced due to live reading of 0.8kW</text>
  </threadedComment>
  <threadedComment ref="J49" dT="2024-11-27T15:00:50.47" personId="{4232887B-6F74-4501-885D-8735C5662726}" id="{7C2594FF-3EA4-4859-B2F4-BEBFE4496B3A}" parentId="{B8F5A2D6-F275-4883-B3A5-B52CFE741476}">
    <text>2.5kW allocation reduced due to live reading of 1.5kW</text>
  </threadedComment>
  <threadedComment ref="N49" dT="2022-05-26T12:07:07.37" personId="{BC55F889-AFD3-4AD4-B814-0EDFA8411758}" id="{62E82C51-23B1-49EA-A2FA-62AC00E855E8}">
    <text>Total 4kW allocation reduced due to live reading of 1kW</text>
  </threadedComment>
  <threadedComment ref="N49" dT="2023-07-12T06:17:50.74" personId="{F6E7EC2D-8E6E-4BA1-BCDD-6D7FECF08119}" id="{CA3D5683-F18C-4137-84A0-67765D265CDA}" parentId="{62E82C51-23B1-49EA-A2FA-62AC00E855E8}">
    <text>2kW allocation reduced due to live reading of 0.4KW</text>
  </threadedComment>
  <threadedComment ref="N49" dT="2023-08-01T13:28:21.12" personId="{4232887B-6F74-4501-885D-8735C5662726}" id="{6A648BFD-552F-4DFD-9538-5B34F2D2A67A}" parentId="{62E82C51-23B1-49EA-A2FA-62AC00E855E8}">
    <text>2kW allocation reduced due to live reading of 0.4kW</text>
  </threadedComment>
  <threadedComment ref="N49" dT="2023-09-04T16:01:57.48" personId="{4232887B-6F74-4501-885D-8735C5662726}" id="{D8FC597A-3385-49BC-8D01-A263CD5BC7B2}" parentId="{62E82C51-23B1-49EA-A2FA-62AC00E855E8}">
    <text>2kW allocation reduced due to live reading of 0.4kW</text>
  </threadedComment>
  <threadedComment ref="N49" dT="2023-10-23T11:36:04.80" personId="{F6E7EC2D-8E6E-4BA1-BCDD-6D7FECF08119}" id="{EC572D41-B6ED-48DB-A7A5-112E2661EC0A}" parentId="{62E82C51-23B1-49EA-A2FA-62AC00E855E8}">
    <text>2kW allocation reduced due to live reading of 0.4kW</text>
  </threadedComment>
  <threadedComment ref="N49" dT="2023-11-13T11:17:06.29" personId="{4232887B-6F74-4501-885D-8735C5662726}" id="{878390A1-0FFD-4A4F-80C4-E88DCE6A8086}" parentId="{62E82C51-23B1-49EA-A2FA-62AC00E855E8}">
    <text>2kW allocation reduced due to live reading of 0.4kW</text>
  </threadedComment>
  <threadedComment ref="N49" dT="2023-12-18T12:05:35.28" personId="{4232887B-6F74-4501-885D-8735C5662726}" id="{6BAA1737-0DF1-4C27-BF07-AA7F157BFD8C}" parentId="{62E82C51-23B1-49EA-A2FA-62AC00E855E8}">
    <text>2kW allocation reduced due to live reading of 0.4kW</text>
  </threadedComment>
  <threadedComment ref="N49" dT="2024-01-09T10:20:00.21" personId="{4232887B-6F74-4501-885D-8735C5662726}" id="{487CDF50-9EC1-4DB1-8498-64C563B2F6BA}" parentId="{62E82C51-23B1-49EA-A2FA-62AC00E855E8}">
    <text>2kW allocation reduced due to live reading of 0.5kW</text>
  </threadedComment>
  <threadedComment ref="N49" dT="2024-02-16T06:10:01.65" personId="{F6E7EC2D-8E6E-4BA1-BCDD-6D7FECF08119}" id="{DDA130AF-EF7E-428E-B941-51CB428E19B8}" parentId="{62E82C51-23B1-49EA-A2FA-62AC00E855E8}">
    <text>2kW allocation reduced due to live reading of 0.4kW</text>
  </threadedComment>
  <threadedComment ref="N49" dT="2024-03-14T18:55:50.06" personId="{F6E7EC2D-8E6E-4BA1-BCDD-6D7FECF08119}" id="{5B390AAB-06CA-4731-941C-032BB36FD9F8}" parentId="{62E82C51-23B1-49EA-A2FA-62AC00E855E8}">
    <text>2kW allocation reduced due to live reading of 0.5kW</text>
  </threadedComment>
  <threadedComment ref="N49" dT="2024-04-16T12:34:19.85" personId="{4232887B-6F74-4501-885D-8735C5662726}" id="{17931C64-7FD8-47B2-9119-0B36F00A4AC0}" parentId="{62E82C51-23B1-49EA-A2FA-62AC00E855E8}">
    <text>2kW allocation reduced due to live reading of 0.5kW</text>
  </threadedComment>
  <threadedComment ref="N49" dT="2024-11-27T15:03:10.30" personId="{4232887B-6F74-4501-885D-8735C5662726}" id="{029BD6A9-9006-4A0B-9817-A7B4F75D7B9A}" parentId="{62E82C51-23B1-49EA-A2FA-62AC00E855E8}">
    <text>2kW allocation reduced due to live reading of 0.7kW</text>
  </threadedComment>
  <threadedComment ref="P49" dT="2022-05-26T12:08:00.30" personId="{BC55F889-AFD3-4AD4-B814-0EDFA8411758}" id="{489A018B-7735-40CF-B751-155E579DBFAB}">
    <text>Total 4kW allocation reduced due to live reading of 700W</text>
  </threadedComment>
  <threadedComment ref="P49" dT="2023-07-12T06:19:54.87" personId="{F6E7EC2D-8E6E-4BA1-BCDD-6D7FECF08119}" id="{1A9BA901-B1ED-4050-96FE-D98807C71AB4}" parentId="{489A018B-7735-40CF-B751-155E579DBFAB}">
    <text>2kW allocation reduced due to live reading of 0.5KW</text>
  </threadedComment>
  <threadedComment ref="P49" dT="2023-08-01T13:30:48.15" personId="{4232887B-6F74-4501-885D-8735C5662726}" id="{8C024E38-8CE0-47FC-BB66-3AD2BD975B12}" parentId="{489A018B-7735-40CF-B751-155E579DBFAB}">
    <text>2kW allocation reduced due to live reading of 0.5kW</text>
  </threadedComment>
  <threadedComment ref="P49" dT="2023-09-04T16:02:47.66" personId="{4232887B-6F74-4501-885D-8735C5662726}" id="{399DE825-2201-4724-9CFD-016A31A0463B}" parentId="{489A018B-7735-40CF-B751-155E579DBFAB}">
    <text>2kW allocation reduced due to live reading of 0.5kW</text>
  </threadedComment>
  <threadedComment ref="P49" dT="2023-10-23T11:37:19.46" personId="{F6E7EC2D-8E6E-4BA1-BCDD-6D7FECF08119}" id="{9D005B58-79FE-43DC-8866-77D957EACC26}" parentId="{489A018B-7735-40CF-B751-155E579DBFAB}">
    <text>2kW allocation reduced due to live reading of 0.5kW</text>
  </threadedComment>
  <threadedComment ref="P49" dT="2023-11-13T11:18:19.58" personId="{4232887B-6F74-4501-885D-8735C5662726}" id="{A2A02376-C558-4C98-8140-1615BBBD00B0}" parentId="{489A018B-7735-40CF-B751-155E579DBFAB}">
    <text>2kW allocation reduced due to live reading of 0.5kW</text>
  </threadedComment>
  <threadedComment ref="P49" dT="2023-12-18T12:06:37.38" personId="{4232887B-6F74-4501-885D-8735C5662726}" id="{426DBD05-33EA-43EF-AC1D-2DF36A9EC5D4}" parentId="{489A018B-7735-40CF-B751-155E579DBFAB}">
    <text>2kW allocation reduced due to live reading of 0.5kW</text>
  </threadedComment>
  <threadedComment ref="P49" dT="2024-01-09T10:20:49.81" personId="{4232887B-6F74-4501-885D-8735C5662726}" id="{64D5637D-8459-48C3-BDB9-466421B7EB0C}" parentId="{489A018B-7735-40CF-B751-155E579DBFAB}">
    <text>2kW allocation reduced due to live reading of 0.5kW</text>
  </threadedComment>
  <threadedComment ref="P49" dT="2024-02-16T06:11:28.40" personId="{F6E7EC2D-8E6E-4BA1-BCDD-6D7FECF08119}" id="{570AADB8-9900-4ED6-8A6C-F8A20B77D2AB}" parentId="{489A018B-7735-40CF-B751-155E579DBFAB}">
    <text>2kW allocation reduced due to live reading of 0.6kW</text>
  </threadedComment>
  <threadedComment ref="P49" dT="2024-03-14T18:56:50.03" personId="{F6E7EC2D-8E6E-4BA1-BCDD-6D7FECF08119}" id="{7FE732D0-22FA-4A67-B2FE-53692B3A1AC4}" parentId="{489A018B-7735-40CF-B751-155E579DBFAB}">
    <text>2kW allocation reduced due to live reading of 0.6kW</text>
  </threadedComment>
  <threadedComment ref="P49" dT="2024-04-16T12:35:44.21" personId="{4232887B-6F74-4501-885D-8735C5662726}" id="{8353883D-54CE-4A72-8096-C54E37E8D0ED}" parentId="{489A018B-7735-40CF-B751-155E579DBFAB}">
    <text>2kW allocation reduced due to live reading of 0.6kW</text>
  </threadedComment>
  <threadedComment ref="P49" dT="2024-11-27T15:04:10.90" personId="{4232887B-6F74-4501-885D-8735C5662726}" id="{44684BBB-3C3F-47A8-B349-DB4E1DD5DDDB}" parentId="{489A018B-7735-40CF-B751-155E579DBFAB}">
    <text>2kW allocation reduced due to live reading of 0.8kW</text>
  </threadedComment>
  <threadedComment ref="R49" dT="2022-05-26T12:08:00.30" personId="{BC55F889-AFD3-4AD4-B814-0EDFA8411758}" id="{AE85584D-1ACE-4122-86C1-CECF9F11B3EA}">
    <text>Total 4kW allocation reduced due to live reading of 700W</text>
  </threadedComment>
  <threadedComment ref="R49" dT="2023-07-12T06:21:48.59" personId="{F6E7EC2D-8E6E-4BA1-BCDD-6D7FECF08119}" id="{C6709BCE-1507-4A78-B16A-89A603A6B9B5}" parentId="{AE85584D-1ACE-4122-86C1-CECF9F11B3EA}">
    <text>2kW allocation reduced due to live reading of 0.7KW</text>
  </threadedComment>
  <threadedComment ref="R49" dT="2023-08-01T13:32:37.02" personId="{4232887B-6F74-4501-885D-8735C5662726}" id="{71FC30E4-75BC-4E86-B53C-31919C76E034}" parentId="{AE85584D-1ACE-4122-86C1-CECF9F11B3EA}">
    <text>2kW allocation reduced due to live reading of 0.7kW</text>
  </threadedComment>
  <threadedComment ref="R49" dT="2023-09-04T16:03:44.01" personId="{4232887B-6F74-4501-885D-8735C5662726}" id="{3683D3FF-9256-4B5C-BFB9-D04D1FC7ED6B}" parentId="{AE85584D-1ACE-4122-86C1-CECF9F11B3EA}">
    <text>2kW allocation reduced due to live reading of 0.7kW</text>
  </threadedComment>
  <threadedComment ref="R49" dT="2023-10-23T11:39:26.32" personId="{F6E7EC2D-8E6E-4BA1-BCDD-6D7FECF08119}" id="{DBABB0D2-3D0D-4218-A63A-845D35D0AEA4}" parentId="{AE85584D-1ACE-4122-86C1-CECF9F11B3EA}">
    <text>2kW allocation reduced due to live reading of 0.6kW</text>
  </threadedComment>
  <threadedComment ref="R49" dT="2023-11-13T11:19:39.47" personId="{4232887B-6F74-4501-885D-8735C5662726}" id="{BCCFA3E6-AA09-4033-80EF-99ADF65108AD}" parentId="{AE85584D-1ACE-4122-86C1-CECF9F11B3EA}">
    <text>2kW allocation reduced due to live reading of 0.7kW</text>
  </threadedComment>
  <threadedComment ref="R49" dT="2023-12-18T12:35:02.56" personId="{4232887B-6F74-4501-885D-8735C5662726}" id="{2658CCE8-E7A3-45E9-912A-035E0260C007}" parentId="{AE85584D-1ACE-4122-86C1-CECF9F11B3EA}">
    <text>2kW allocation reduced due to live reading of 0.7kW</text>
  </threadedComment>
  <threadedComment ref="R49" dT="2024-01-09T14:19:40.05" personId="{4232887B-6F74-4501-885D-8735C5662726}" id="{14F2509D-F451-4E42-8C05-19143FCD8106}" parentId="{AE85584D-1ACE-4122-86C1-CECF9F11B3EA}">
    <text>2kW allocation reduced due to live reading of 0.7kW</text>
  </threadedComment>
  <threadedComment ref="R49" dT="2024-02-16T06:12:33.69" personId="{F6E7EC2D-8E6E-4BA1-BCDD-6D7FECF08119}" id="{290295F3-6C4B-44A5-A30E-1306D5D8B993}" parentId="{AE85584D-1ACE-4122-86C1-CECF9F11B3EA}">
    <text>2kW allocation reduced due to live reading of 0.7kW</text>
  </threadedComment>
  <threadedComment ref="R49" dT="2024-03-14T18:57:59.98" personId="{F6E7EC2D-8E6E-4BA1-BCDD-6D7FECF08119}" id="{F8210A9D-9D82-47B4-BE59-0EF4DDC6087F}" parentId="{AE85584D-1ACE-4122-86C1-CECF9F11B3EA}">
    <text>2kW allocation reduced due to live reading of 0.7kW</text>
  </threadedComment>
  <threadedComment ref="R49" dT="2024-04-16T12:37:28.97" personId="{4232887B-6F74-4501-885D-8735C5662726}" id="{E6BAF112-3F11-43F8-A118-DCA490E6FC78}" parentId="{AE85584D-1ACE-4122-86C1-CECF9F11B3EA}">
    <text>2kW allocation reduced due to live reading of 0.7kW</text>
  </threadedComment>
  <threadedComment ref="R49" dT="2024-11-27T15:05:21.43" personId="{4232887B-6F74-4501-885D-8735C5662726}" id="{5744A62B-27CF-4FDB-BE57-5E660D371A6F}" parentId="{AE85584D-1ACE-4122-86C1-CECF9F11B3EA}">
    <text>2kW allocation reduced due to live reading of 0.7kW</text>
  </threadedComment>
  <threadedComment ref="T49" dT="2022-05-26T12:08:00.30" personId="{BC55F889-AFD3-4AD4-B814-0EDFA8411758}" id="{CCA61A88-EC1B-455B-9948-2CF283D39C8C}">
    <text>Total 4kW allocation reduced due to live reading of 700W</text>
  </threadedComment>
  <threadedComment ref="T49" dT="2023-07-12T06:24:18.56" personId="{F6E7EC2D-8E6E-4BA1-BCDD-6D7FECF08119}" id="{90359C8B-DFB0-4625-B049-0C234D880B90}" parentId="{CCA61A88-EC1B-455B-9948-2CF283D39C8C}">
    <text>2kW allocation reduced due to live reading of 0.3KW</text>
  </threadedComment>
  <threadedComment ref="T49" dT="2023-08-01T13:34:54.04" personId="{4232887B-6F74-4501-885D-8735C5662726}" id="{805C0C10-7728-4181-95A7-E5D90ECB32FE}" parentId="{CCA61A88-EC1B-455B-9948-2CF283D39C8C}">
    <text>2kW allocation reduced due to live reading of 0.4kW</text>
  </threadedComment>
  <threadedComment ref="T49" dT="2023-09-04T16:04:33.76" personId="{4232887B-6F74-4501-885D-8735C5662726}" id="{2E9E0155-06D0-4626-81E6-E8936E0E63D9}" parentId="{CCA61A88-EC1B-455B-9948-2CF283D39C8C}">
    <text>2kW allocation reduced due to live reading of 0.4kW</text>
  </threadedComment>
  <threadedComment ref="T49" dT="2023-10-23T11:41:03.70" personId="{F6E7EC2D-8E6E-4BA1-BCDD-6D7FECF08119}" id="{B3EB21BF-8AF5-4DCE-837C-7D363C7EDA58}" parentId="{CCA61A88-EC1B-455B-9948-2CF283D39C8C}">
    <text>2kW allocation reduced due to live reading of 0.5kW</text>
  </threadedComment>
  <threadedComment ref="T49" dT="2023-11-13T12:26:37.88" personId="{4232887B-6F74-4501-885D-8735C5662726}" id="{A1D7D316-B392-4E86-92A9-93783F5E4C27}" parentId="{CCA61A88-EC1B-455B-9948-2CF283D39C8C}">
    <text>2kW allocation reduced due to live reading of 0.5kW</text>
  </threadedComment>
  <threadedComment ref="T49" dT="2023-12-18T12:36:07.44" personId="{4232887B-6F74-4501-885D-8735C5662726}" id="{8D35FC05-E3FE-4EB0-BC10-2F9A494703D3}" parentId="{CCA61A88-EC1B-455B-9948-2CF283D39C8C}">
    <text>2kW allocation reduced due to live reading of 0.5kW</text>
  </threadedComment>
  <threadedComment ref="T49" dT="2024-01-09T14:20:38.77" personId="{4232887B-6F74-4501-885D-8735C5662726}" id="{28B264D9-BB15-4CB0-862A-18088C2460C1}" parentId="{CCA61A88-EC1B-455B-9948-2CF283D39C8C}">
    <text>2kW allocation reduced due to live reading of 0.5kW</text>
  </threadedComment>
  <threadedComment ref="T49" dT="2024-02-16T06:15:30.80" personId="{F6E7EC2D-8E6E-4BA1-BCDD-6D7FECF08119}" id="{B5C28A98-2AD2-4940-B15A-99E051CA5D9F}" parentId="{CCA61A88-EC1B-455B-9948-2CF283D39C8C}">
    <text>2kW allocation reduced due to live reading of 0.5kW</text>
  </threadedComment>
  <threadedComment ref="T49" dT="2024-03-14T18:58:55.99" personId="{F6E7EC2D-8E6E-4BA1-BCDD-6D7FECF08119}" id="{C4F8399D-4A85-43D8-988C-C749F17FDB8E}" parentId="{CCA61A88-EC1B-455B-9948-2CF283D39C8C}">
    <text>2kW allocation reduced due to live reading of 0.5kW</text>
  </threadedComment>
  <threadedComment ref="T49" dT="2024-04-16T12:39:08.91" personId="{4232887B-6F74-4501-885D-8735C5662726}" id="{9FB93AE2-2B83-4E87-ABD3-2EA8CCD240A1}" parentId="{CCA61A88-EC1B-455B-9948-2CF283D39C8C}">
    <text>2kW allocation reduced due to live reading of 0.6kW</text>
  </threadedComment>
  <threadedComment ref="T49" dT="2024-11-27T15:06:10.93" personId="{4232887B-6F74-4501-885D-8735C5662726}" id="{78734247-ACCD-41BD-8C71-6606020DD720}" parentId="{CCA61A88-EC1B-455B-9948-2CF283D39C8C}">
    <text>2kW allocation reduced due to live reading of 0.7kW</text>
  </threadedComment>
  <threadedComment ref="V49" dT="2023-07-12T06:59:03.11" personId="{F6E7EC2D-8E6E-4BA1-BCDD-6D7FECF08119}" id="{0D1A177B-103D-475B-9131-43CDE1DBA706}">
    <text>1kW allocation reduced due to live reading of 0.3KW</text>
  </threadedComment>
  <threadedComment ref="V49" dT="2023-08-01T15:01:42.32" personId="{4232887B-6F74-4501-885D-8735C5662726}" id="{436EEDFE-3583-4232-A4F4-8C110FBFDE49}" parentId="{0D1A177B-103D-475B-9131-43CDE1DBA706}">
    <text>1kW allocation reduced due to live reading of 0.3kW</text>
  </threadedComment>
  <threadedComment ref="V49" dT="2023-09-06T16:02:30.09" personId="{4232887B-6F74-4501-885D-8735C5662726}" id="{CEA7FD75-802F-4E85-9097-889D9794D746}" parentId="{0D1A177B-103D-475B-9131-43CDE1DBA706}">
    <text>1kW allocation reduced due to live reading of 0.3kW</text>
  </threadedComment>
  <threadedComment ref="V49" dT="2023-12-19T11:04:16.76" personId="{4232887B-6F74-4501-885D-8735C5662726}" id="{CF490C26-4336-4EE2-8BC7-E3ADD43858E2}" parentId="{0D1A177B-103D-475B-9131-43CDE1DBA706}">
    <text>1kW allocation reduced due to live reading of 0.3kW</text>
  </threadedComment>
  <threadedComment ref="V49" dT="2024-01-10T12:33:24.91" personId="{4232887B-6F74-4501-885D-8735C5662726}" id="{0EFD539E-8AF7-4547-9D47-1534CD8FF3E1}" parentId="{0D1A177B-103D-475B-9131-43CDE1DBA706}">
    <text>1kW allocation reduced due to live reading of 0.3kW</text>
  </threadedComment>
  <threadedComment ref="V49" dT="2024-02-15T18:58:44.08" personId="{F6E7EC2D-8E6E-4BA1-BCDD-6D7FECF08119}" id="{C9462CAA-C8AD-4C54-B514-87A09227F6C4}" parentId="{0D1A177B-103D-475B-9131-43CDE1DBA706}">
    <text>1kW allocation reduced due to live reading of 0.3kW</text>
  </threadedComment>
  <threadedComment ref="V49" dT="2024-03-14T18:43:05.51" personId="{F6E7EC2D-8E6E-4BA1-BCDD-6D7FECF08119}" id="{505D95C0-813A-444A-9AFC-8560B9C6F362}" parentId="{0D1A177B-103D-475B-9131-43CDE1DBA706}">
    <text>1kW allocation reduced due to live reading of 0.3kW</text>
  </threadedComment>
  <threadedComment ref="V49" dT="2024-11-27T15:10:29.99" personId="{4232887B-6F74-4501-885D-8735C5662726}" id="{79483996-B8D3-4965-8ADC-A90E32CCC153}" parentId="{0D1A177B-103D-475B-9131-43CDE1DBA706}">
    <text>1kW allocation reduced due to live reading of 0.3kW</text>
  </threadedComment>
  <threadedComment ref="X49" dT="2022-05-26T12:38:50.44" personId="{BC55F889-AFD3-4AD4-B814-0EDFA8411758}" id="{8F805418-C919-4C2C-9AA9-091E2D380BB1}">
    <text>6kw allocation reduced due to live reading of 4kW</text>
  </threadedComment>
  <threadedComment ref="X49" dT="2023-07-12T06:43:54.82" personId="{F6E7EC2D-8E6E-4BA1-BCDD-6D7FECF08119}" id="{F91101AD-F8D2-452D-854B-86FE8252FBB8}" parentId="{8F805418-C919-4C2C-9AA9-091E2D380BB1}">
    <text>3kW allocation reduced due to live reading of 1.8KW</text>
  </threadedComment>
  <threadedComment ref="X49" dT="2023-08-01T14:58:31.22" personId="{4232887B-6F74-4501-885D-8735C5662726}" id="{E61B0A20-B92F-44C8-A17A-1374E1FB00B7}" parentId="{8F805418-C919-4C2C-9AA9-091E2D380BB1}">
    <text>3kW allocation reduced due to live reading of 1.8kW</text>
  </threadedComment>
  <threadedComment ref="X49" dT="2023-09-06T15:57:42.20" personId="{4232887B-6F74-4501-885D-8735C5662726}" id="{A95AC088-B7DB-473C-92C6-5901FA709568}" parentId="{8F805418-C919-4C2C-9AA9-091E2D380BB1}">
    <text>3kW allocation reduced due to live reading of 1.8kW</text>
  </threadedComment>
  <threadedComment ref="X49" dT="2023-12-19T11:00:40.60" personId="{4232887B-6F74-4501-885D-8735C5662726}" id="{FBABB8E1-4A70-4FA0-9AF4-ECE9F0EC9F54}" parentId="{8F805418-C919-4C2C-9AA9-091E2D380BB1}">
    <text>3kW allocation reduced due to live reading of 2kW</text>
  </threadedComment>
  <threadedComment ref="X49" dT="2024-01-10T12:26:58.77" personId="{4232887B-6F74-4501-885D-8735C5662726}" id="{C0C89485-E4A2-451D-A338-BD035BFCC59E}" parentId="{8F805418-C919-4C2C-9AA9-091E2D380BB1}">
    <text>3kW allocation reduced due to live reading of 1.9kW</text>
  </threadedComment>
  <threadedComment ref="X49" dT="2024-02-15T18:56:55.54" personId="{F6E7EC2D-8E6E-4BA1-BCDD-6D7FECF08119}" id="{55A0766C-E57E-4494-9B07-F2191EDF9D9F}" parentId="{8F805418-C919-4C2C-9AA9-091E2D380BB1}">
    <text>3kW allocation reduced due to live reading of 1.9kW</text>
  </threadedComment>
  <threadedComment ref="X49" dT="2024-03-14T18:40:38.83" personId="{F6E7EC2D-8E6E-4BA1-BCDD-6D7FECF08119}" id="{7C78354A-3C6E-415A-B1A9-8BCEE40F8C36}" parentId="{8F805418-C919-4C2C-9AA9-091E2D380BB1}">
    <text>3kW allocation reduced due to live reading of 2kW</text>
  </threadedComment>
  <threadedComment ref="X49" dT="2024-04-17T11:57:55.90" personId="{4232887B-6F74-4501-885D-8735C5662726}" id="{436F0444-F3C3-47EE-8BD0-61CB326EA656}" parentId="{8F805418-C919-4C2C-9AA9-091E2D380BB1}">
    <text>3kW allocation reduced due to live reading of 2kW</text>
  </threadedComment>
  <threadedComment ref="X49" dT="2024-11-27T15:08:58.58" personId="{4232887B-6F74-4501-885D-8735C5662726}" id="{BC375A5C-D8CC-462F-98AD-831053F9BBDC}" parentId="{8F805418-C919-4C2C-9AA9-091E2D380BB1}">
    <text>3kW allocation reduced due to live reading of 2kW</text>
  </threadedComment>
  <threadedComment ref="Z49" dT="2023-07-12T06:51:46.25" personId="{F6E7EC2D-8E6E-4BA1-BCDD-6D7FECF08119}" id="{B31DCD22-756B-4DC1-A410-EC88E314F3A6}">
    <text>2kW allocation reduced due to live reading of 0.9KW</text>
  </threadedComment>
  <threadedComment ref="Z49" dT="2023-08-01T15:00:19.16" personId="{4232887B-6F74-4501-885D-8735C5662726}" id="{89DC1C8E-869C-47BB-B8C2-584D3C006013}" parentId="{B31DCD22-756B-4DC1-A410-EC88E314F3A6}">
    <text>2kW allocation reduced due to live reading of 0.9kW</text>
  </threadedComment>
  <threadedComment ref="Z49" dT="2023-09-06T16:01:16.81" personId="{4232887B-6F74-4501-885D-8735C5662726}" id="{9B7DF51E-22E1-44CF-9A08-324EEBE23997}" parentId="{B31DCD22-756B-4DC1-A410-EC88E314F3A6}">
    <text>2kW allocation reduced due to live reading of 0.9kW</text>
  </threadedComment>
  <threadedComment ref="Z49" dT="2023-12-19T11:03:16.01" personId="{4232887B-6F74-4501-885D-8735C5662726}" id="{A623AF83-648E-4A4A-BD37-A4767F2E7626}" parentId="{B31DCD22-756B-4DC1-A410-EC88E314F3A6}">
    <text>2kW allocation reduced due to live reading of 0.9kW</text>
  </threadedComment>
  <threadedComment ref="Z49" dT="2024-01-10T12:30:08.40" personId="{4232887B-6F74-4501-885D-8735C5662726}" id="{68C15412-7D00-45E3-BA0E-AAA8782B8692}" parentId="{B31DCD22-756B-4DC1-A410-EC88E314F3A6}">
    <text>2kW allocation reduced due to live reading of 0.9kW</text>
  </threadedComment>
  <threadedComment ref="Z49" dT="2024-02-15T18:57:54.72" personId="{F6E7EC2D-8E6E-4BA1-BCDD-6D7FECF08119}" id="{53A3125B-96C1-4B5F-84EB-CB36172BEC25}" parentId="{B31DCD22-756B-4DC1-A410-EC88E314F3A6}">
    <text>2kW allocation reduced due to live reading of 0.9kW</text>
  </threadedComment>
  <threadedComment ref="Z49" dT="2024-03-14T18:42:09.23" personId="{F6E7EC2D-8E6E-4BA1-BCDD-6D7FECF08119}" id="{9EF6A309-3CA9-4BE0-A69D-BACBD85D6944}" parentId="{B31DCD22-756B-4DC1-A410-EC88E314F3A6}">
    <text>2kW allocation reduced due to live reading of 0.9kW</text>
  </threadedComment>
  <threadedComment ref="Z49" dT="2024-04-17T12:00:27.53" personId="{4232887B-6F74-4501-885D-8735C5662726}" id="{5288A00C-A291-4A18-B1B2-4FE21508ECE3}" parentId="{B31DCD22-756B-4DC1-A410-EC88E314F3A6}">
    <text>2kW allocation reduced due to live reading of 0.9kW</text>
  </threadedComment>
  <threadedComment ref="Z49" dT="2024-11-27T15:09:35.63" personId="{4232887B-6F74-4501-885D-8735C5662726}" id="{5F304211-B1BA-4955-A6C4-F6003D9C63A5}" parentId="{B31DCD22-756B-4DC1-A410-EC88E314F3A6}">
    <text>2kW allocation reduced due to live reading of 0.9kW</text>
  </threadedComment>
  <threadedComment ref="AD49" dT="2024-04-17T12:02:19.54" personId="{4232887B-6F74-4501-885D-8735C5662726}" id="{CC86A1A4-D724-4AC5-88FE-735763E2EF99}">
    <text>2.5kW allocation reduced due to live reading of 0.3kW</text>
  </threadedComment>
  <threadedComment ref="AF49" dT="2022-06-21T09:52:00.28" personId="{A2EEB511-B106-4ABB-A0A9-198E22579A21}" id="{12D27023-02DC-457D-B546-08A74FCB015E}">
    <text>2x N9K – 674W
1x ISR4331 – 42W
4x QB500 – 2414W</text>
  </threadedComment>
  <threadedComment ref="AH49" dT="2023-07-12T06:39:09.42" personId="{F6E7EC2D-8E6E-4BA1-BCDD-6D7FECF08119}" id="{0FEF28DC-B3DA-4090-B6CC-7DD3DE77F2D9}">
    <text>4kW allocation reduced due to live reading of 2.9KW</text>
  </threadedComment>
  <threadedComment ref="AH49" dT="2023-08-01T14:55:37.00" personId="{4232887B-6F74-4501-885D-8735C5662726}" id="{EF929192-8969-4E70-97A6-85DC079D7D2E}" parentId="{0FEF28DC-B3DA-4090-B6CC-7DD3DE77F2D9}">
    <text>4kW allocation reduced due to live reading of 2.9kW</text>
  </threadedComment>
  <threadedComment ref="AH49" dT="2023-09-06T15:56:08.35" personId="{4232887B-6F74-4501-885D-8735C5662726}" id="{298F04BC-82A5-408E-BC87-A408FB104491}" parentId="{0FEF28DC-B3DA-4090-B6CC-7DD3DE77F2D9}">
    <text>4kW allocation reduced due to live reading of 2.9kW</text>
  </threadedComment>
  <threadedComment ref="AH49" dT="2023-12-19T10:58:17.53" personId="{4232887B-6F74-4501-885D-8735C5662726}" id="{DABEE71C-D7D1-4371-A8CD-E9F42870BB0A}" parentId="{0FEF28DC-B3DA-4090-B6CC-7DD3DE77F2D9}">
    <text>4kW allocation reduced due to live reading of 2.9kW</text>
  </threadedComment>
  <threadedComment ref="AH49" dT="2024-01-10T12:24:09.18" personId="{4232887B-6F74-4501-885D-8735C5662726}" id="{3AD66DC3-301E-4A89-ACAC-3E42D02F0FFC}" parentId="{0FEF28DC-B3DA-4090-B6CC-7DD3DE77F2D9}">
    <text>4kW allocation reduced due to live reading of 2.9kW</text>
  </threadedComment>
  <threadedComment ref="AH49" dT="2024-02-15T18:54:33.88" personId="{F6E7EC2D-8E6E-4BA1-BCDD-6D7FECF08119}" id="{3152C077-07CF-4335-90B1-C8AC42388BD2}" parentId="{0FEF28DC-B3DA-4090-B6CC-7DD3DE77F2D9}">
    <text>4kW allocation reduced due to live reading of 2.9kW</text>
  </threadedComment>
  <threadedComment ref="AH49" dT="2024-03-14T18:38:58.19" personId="{F6E7EC2D-8E6E-4BA1-BCDD-6D7FECF08119}" id="{FDC743D2-8756-4DFB-8516-F529224432B5}" parentId="{0FEF28DC-B3DA-4090-B6CC-7DD3DE77F2D9}">
    <text>4kW allocation reduced due to live reading of 2.9kW</text>
  </threadedComment>
  <threadedComment ref="AH49" dT="2024-04-17T11:55:47.14" personId="{4232887B-6F74-4501-885D-8735C5662726}" id="{613CE76B-11FF-41BD-94F2-960D68CB8639}" parentId="{0FEF28DC-B3DA-4090-B6CC-7DD3DE77F2D9}">
    <text>4kW allocation reduced due to live reading of 2.9kW</text>
  </threadedComment>
  <threadedComment ref="AH49" dT="2024-11-27T15:07:34.03" personId="{4232887B-6F74-4501-885D-8735C5662726}" id="{BADEE028-4EC3-44B7-B3E7-BB4379026AB8}" parentId="{0FEF28DC-B3DA-4090-B6CC-7DD3DE77F2D9}">
    <text>4kW allocation reduced due to live reading of 2.8kW</text>
  </threadedComment>
  <threadedComment ref="AL49" dT="2023-07-12T06:09:26.85" personId="{F6E7EC2D-8E6E-4BA1-BCDD-6D7FECF08119}" id="{7A149BE2-A166-4AF7-8C7F-E1EA26D67C9C}">
    <text>0.5kW allocation reduced due to live reading of 0.1KW</text>
  </threadedComment>
  <threadedComment ref="AL49" dT="2024-04-16T12:33:01.33" personId="{4232887B-6F74-4501-885D-8735C5662726}" id="{2494354D-903B-44B2-974D-75FAA44A6378}" parentId="{7A149BE2-A166-4AF7-8C7F-E1EA26D67C9C}">
    <text>0.5kW allocation reduced due to live reading of 0.1KW</text>
  </threadedComment>
  <threadedComment ref="AN49" dT="2023-01-12T17:28:05.49" personId="{BC55F889-AFD3-4AD4-B814-0EDFA8411758}" id="{9627AEB7-48D8-4567-9699-D77E88AA0208}">
    <text>Live reading 40A, so 3kW allocation reduced by 2.2kW</text>
  </threadedComment>
  <threadedComment ref="AP49" dT="2023-01-12T17:28:05.49" personId="{BC55F889-AFD3-4AD4-B814-0EDFA8411758}" id="{873D90AC-3037-4314-8BC6-F6F5E5DF6860}">
    <text>Live reading 36A, so 3kW allocation reduced by 2kW</text>
  </threadedComment>
  <threadedComment ref="P50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0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0" dT="2024-05-08T12:10:51.90" personId="{4232887B-6F74-4501-885D-8735C5662726}" id="{6BEE253A-7840-4C23-B4EA-7A303AB27199}">
    <text>additional 40 amps power upgrade for Cisco 6300 rack C02- ORMT_SAP_240425_5_10330814x</text>
  </threadedComment>
  <threadedComment ref="U50" dT="2024-05-08T12:10:28.89" personId="{4232887B-6F74-4501-885D-8735C5662726}" id="{7722FFD4-11AC-4A11-93CE-AE539F441C36}">
    <text>additional 40 amps power upgrade for Cisco 6300 rack C04- ORMT_SAP_240425_5_10330814x</text>
  </threadedComment>
  <threadedComment ref="P51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1" dT="2024-05-08T12:10:51.90" personId="{4232887B-6F74-4501-885D-8735C5662726}" id="{295825A4-ABD1-4734-989F-45195881DFCE}">
    <text>additional 40 amps power upgrade for Cisco 6300 rack C02- ORMT_SAP_240425_5_10330814x</text>
  </threadedComment>
  <threadedComment ref="U51" dT="2024-05-08T12:10:28.89" personId="{4232887B-6F74-4501-885D-8735C5662726}" id="{1D98B439-0D21-4026-A2DF-D4A5EC5E3067}">
    <text>additional 40 amps power upgrade for Cisco 6300 rack C04- ORMT_SAP_240425_5_10330814x</text>
  </threadedComment>
  <threadedComment ref="J53" dT="2022-01-28T11:26:37.59" personId="{ABF5BCE6-B512-42E2-8B64-A070C9ED38DE}" id="{1E8AC428-D1A0-450F-94B7-22D82A07336B}">
    <text>Reduced from 5kW to 3kW based on figures for other RA's</text>
  </threadedComment>
  <threadedComment ref="J53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3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3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3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3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3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3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3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3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3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J53" dT="2024-11-05T13:02:09.10" personId="{4232887B-6F74-4501-885D-8735C5662726}" id="{05A2A57E-BEAE-48DA-A77A-0D1051D4BC56}" parentId="{1E8AC428-D1A0-450F-94B7-22D82A07336B}">
    <text>5kW allocation reduced due to live reading of 2.5KW</text>
  </threadedComment>
  <threadedComment ref="L53" personId="{31CF382B-C4A6-482E-AE04-28CACDB6A63A}" id="{E927540A-3D80-4EDA-A8C0-75239CFC5A50}">
    <text>Was 8kw, live readings show running at 6.7kW currently</text>
  </threadedComment>
  <threadedComment ref="L53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3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3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3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3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3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3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3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3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3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L53" dT="2024-11-05T13:17:53.15" personId="{4232887B-6F74-4501-885D-8735C5662726}" id="{41C0A46D-8DDE-421A-BE7F-B2E6245DD841}" parentId="{E927540A-3D80-4EDA-A8C0-75239CFC5A50}">
    <text>8kW allocation reduced due to live reading of 7.2KW</text>
  </threadedComment>
  <threadedComment ref="N53" dT="2022-05-26T11:22:59.41" personId="{BC55F889-AFD3-4AD4-B814-0EDFA8411758}" id="{1C71D630-9DAA-4537-A058-6D9D7CFB96C4}">
    <text>4kW allocation reduced due to live reading of 2kW</text>
  </threadedComment>
  <threadedComment ref="N53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3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3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3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3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3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3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3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3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3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N53" dT="2024-11-05T13:06:07.64" personId="{4232887B-6F74-4501-885D-8735C5662726}" id="{CD288FF3-6AB8-44EA-A77A-211652DB558E}" parentId="{1C71D630-9DAA-4537-A058-6D9D7CFB96C4}">
    <text>4kW allocation reduced due to live reading of 2KW</text>
  </threadedComment>
  <threadedComment ref="P53" dT="2022-05-26T11:24:17.84" personId="{BC55F889-AFD3-4AD4-B814-0EDFA8411758}" id="{E3E3B31B-DCC7-4172-AACA-B44E2F5F9E25}">
    <text>4kW allocation reduced due to live reading of 2.5kW</text>
  </threadedComment>
  <threadedComment ref="P53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3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3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3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3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3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3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3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3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3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P53" dT="2024-11-05T13:04:58.42" personId="{4232887B-6F74-4501-885D-8735C5662726}" id="{37D7F24A-C616-4FF9-8285-EA1308CC11E1}" parentId="{E3E3B31B-DCC7-4172-AACA-B44E2F5F9E25}">
    <text>4kW allocation reduced due to live reading of 2.6KW</text>
  </threadedComment>
  <threadedComment ref="R53" dT="2022-05-26T11:25:38.36" personId="{BC55F889-AFD3-4AD4-B814-0EDFA8411758}" id="{5F47F3AA-57D9-4081-B9BC-669A2283BCF2}">
    <text>16kW allocations reduced due to live reading of 4kW</text>
  </threadedComment>
  <threadedComment ref="R53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3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3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3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3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3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3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3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3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3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3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R53" dT="2024-11-05T13:11:44.62" personId="{4232887B-6F74-4501-885D-8735C5662726}" id="{E7D26D18-A803-4F0F-9640-47F4FE63211F}" parentId="{5F47F3AA-57D9-4081-B9BC-669A2283BCF2}">
    <text>16kW allocation reduced due to live reading of 5.8KW</text>
  </threadedComment>
  <threadedComment ref="V53" dT="2022-05-26T11:27:16.79" personId="{BC55F889-AFD3-4AD4-B814-0EDFA8411758}" id="{597FC811-E160-4FD2-9287-F8CDD1415E14}">
    <text>7kW allocation reduced due to live reading of 1.5kW</text>
  </threadedComment>
  <threadedComment ref="V53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3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3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3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3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3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3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3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3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3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3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V53" dT="2024-11-05T13:08:59.29" personId="{4232887B-6F74-4501-885D-8735C5662726}" id="{C59C3E31-1017-4808-B4B7-881381783034}" parentId="{597FC811-E160-4FD2-9287-F8CDD1415E14}">
    <text>7kW allocation reduced due to live reading of  5.2KW</text>
  </threadedComment>
  <threadedComment ref="X53" dT="2024-11-05T15:38:30.49" personId="{7807B229-714C-4AA1-8F83-E7F46ACB7D83}" id="{F7A8451C-45B3-4E8D-9806-EA2831C107B4}">
    <text>5.6kW allocation reduced due to live reading of 3.8kW</text>
  </threadedComment>
  <threadedComment ref="AD53" dT="2022-06-21T09:46:26.48" personId="{A2EEB511-B106-4ABB-A0A9-198E22579A21}" id="{433C9ADD-0041-4FDA-98B6-A91D03802C35}">
    <text>1x UCS C220 – 603W</text>
  </threadedComment>
  <threadedComment ref="AD53" dT="2022-09-01T13:55:38.83" personId="{A2EEB511-B106-4ABB-A0A9-198E22579A21}" id="{E93EBDD4-71A3-4825-AC26-DA4C075546A3}" parentId="{433C9ADD-0041-4FDA-98B6-A91D03802C35}">
    <text>updated to 880W</text>
  </threadedComment>
  <threadedComment ref="AD53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3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3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3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3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3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D53" dT="2024-11-05T13:16:42.22" personId="{4232887B-6F74-4501-885D-8735C5662726}" id="{91079320-A7A3-4C14-AFB5-A5AF32FB7D8F}" parentId="{433C9ADD-0041-4FDA-98B6-A91D03802C35}">
    <text>3kW allocation reduced due to live reading of 0.6KW</text>
  </threadedComment>
  <threadedComment ref="AF53" dT="2024-04-09T08:55:06.76" personId="{ABF5BCE6-B512-42E2-8B64-A070C9ED38DE}" id="{346FE4A6-4102-4F5B-952A-CCC1964837DC}">
    <text>Google rack new allocated load of 4.5kW.
Live load 2kW remaining allocation 2.5kW</text>
  </threadedComment>
  <threadedComment ref="AF53" dT="2024-04-17T14:48:08.85" personId="{4232887B-6F74-4501-885D-8735C5662726}" id="{B455BA4D-21C0-40A2-B617-E893570070CD}" parentId="{346FE4A6-4102-4F5B-952A-CCC1964837DC}">
    <text>4.5kW allocation reduced due to live reading of 2.3KW</text>
  </threadedComment>
  <threadedComment ref="AF53" dT="2024-11-05T12:53:04.37" personId="{4232887B-6F74-4501-885D-8735C5662726}" id="{8AF83E40-01B2-44E0-9BAC-DA154BD0B80C}" parentId="{346FE4A6-4102-4F5B-952A-CCC1964837DC}">
    <text>4kW allocation reduced due to live reading of 2.2KW</text>
  </threadedComment>
  <threadedComment ref="AJ53" dT="2023-03-24T15:06:05.87" personId="{BFC1E846-99FF-44B5-92AE-66A4D353BDC7}" id="{535B5C85-FEE4-4144-8B2A-F7C46E05A95E}">
    <text>ESA400s @ 520W each only 2 planned day 1</text>
  </threadedComment>
  <threadedComment ref="AJ53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3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3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3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3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3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3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AJ53" dT="2024-11-05T12:54:10.54" personId="{4232887B-6F74-4501-885D-8735C5662726}" id="{C467C601-13D6-477E-9F82-37C7ACDA5FC8}" parentId="{535B5C85-FEE4-4144-8B2A-F7C46E05A95E}">
    <text>4kW allocation reduced due to live reading of 1.1KW</text>
  </threadedComment>
  <threadedComment ref="J56" personId="{31CF382B-C4A6-482E-AE04-28CACDB6A63A}" id="{675E0EB3-B9CE-4B5B-9DF0-24D89BB22D2B}">
    <text>Jul-21 Was 5kW but confirmed currently running at 3.5kW</text>
  </threadedComment>
  <threadedComment ref="J56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6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6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6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6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6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6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6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6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6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J56" dT="2024-11-05T11:45:58.68" personId="{4232887B-6F74-4501-885D-8735C5662726}" id="{8B54420A-4243-47DA-A1C6-13D2621C6B5B}" parentId="{675E0EB3-B9CE-4B5B-9DF0-24D89BB22D2B}">
    <text>5kW allocation reduced due to live reading of 3.3KW</text>
  </threadedComment>
  <threadedComment ref="L56" personId="{31CF382B-C4A6-482E-AE04-28CACDB6A63A}" id="{452C9B22-923F-4BE4-8D2F-5525DB9C429E}">
    <text>Jul-21 Was 8kW, confirmed running at 6kW at the moment</text>
  </threadedComment>
  <threadedComment ref="L56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6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6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6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6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6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6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6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6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6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L56" dT="2024-11-05T11:47:28.58" personId="{4232887B-6F74-4501-885D-8735C5662726}" id="{56B74844-E42F-4C12-963C-2AB3292A4022}" parentId="{452C9B22-923F-4BE4-8D2F-5525DB9C429E}">
    <text>8kW allocation reduced due to live reading of 7KW</text>
  </threadedComment>
  <threadedComment ref="N56" dT="2022-05-26T09:25:28.75" personId="{A2EEB511-B106-4ABB-A0A9-198E22579A21}" id="{438DA2D3-CCF2-4EFB-9B3C-207707D24B3E}">
    <text>Updated actual load readings from AxScada; 3.4kW used; 10.3kW remaining</text>
  </threadedComment>
  <threadedComment ref="N56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6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6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6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6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6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6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6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6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6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6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N56" dT="2024-11-05T11:53:08.48" personId="{4232887B-6F74-4501-885D-8735C5662726}" id="{4E9869DE-0B16-401E-A6F1-DC45C59761DB}" parentId="{438DA2D3-CCF2-4EFB-9B3C-207707D24B3E}">
    <text>11kW allocation reduced due to live reading of 6.9KW</text>
  </threadedComment>
  <threadedComment ref="P56" dT="2022-05-26T10:27:55.99" personId="{BC55F889-AFD3-4AD4-B814-0EDFA8411758}" id="{68C69125-A608-4FF9-8D7C-BAF7073CB3AE}">
    <text>Reduced from 4kW due to live reading of 2.6kW</text>
  </threadedComment>
  <threadedComment ref="P56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6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6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6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6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6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6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6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6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6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P56" dT="2024-11-05T11:58:52.64" personId="{4232887B-6F74-4501-885D-8735C5662726}" id="{D03E048D-A386-498D-B80C-2D236F5C8261}" parentId="{68C69125-A608-4FF9-8D7C-BAF7073CB3AE}">
    <text>4kW allocation reduced due to live reading of 2KW</text>
  </threadedComment>
  <threadedComment ref="R56" dT="2022-05-26T10:26:47.07" personId="{BC55F889-AFD3-4AD4-B814-0EDFA8411758}" id="{848D8677-CE8C-48ED-9534-451914C19F41}">
    <text>Reduced from 4kW due to live reading of 2.3kW</text>
  </threadedComment>
  <threadedComment ref="R56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6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6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6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6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6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6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6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6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6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R56" dT="2024-11-05T11:56:48.49" personId="{4232887B-6F74-4501-885D-8735C5662726}" id="{0C2033E1-D75A-4710-B55D-C58A7E7349EB}" parentId="{848D8677-CE8C-48ED-9534-451914C19F41}">
    <text>4kW allocation reduced due to live reading of 2.1KW</text>
  </threadedComment>
  <threadedComment ref="T56" dT="2023-07-11T11:58:09.72" personId="{F6E7EC2D-8E6E-4BA1-BCDD-6D7FECF08119}" id="{23944026-283D-4F63-AFF5-CBC4B0B5B383}">
    <text>12kW allocation reduced due to live reading of 0.1KW</text>
  </threadedComment>
  <threadedComment ref="T56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6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6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6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6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6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6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6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6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T56" dT="2024-11-05T12:00:22.77" personId="{4232887B-6F74-4501-885D-8735C5662726}" id="{F2F669A3-C433-4353-9EF4-6EE3C97F48B8}" parentId="{23944026-283D-4F63-AFF5-CBC4B0B5B383}">
    <text>12kW allocation reduced due to live reading of 0.3KW</text>
  </threadedComment>
  <threadedComment ref="V56" dT="2022-05-26T10:25:09.95" personId="{BC55F889-AFD3-4AD4-B814-0EDFA8411758}" id="{841AF8BB-FE5C-4E71-8EE3-B5084D650E8E}">
    <text>Reduced from 7kW after live readings of 3.5kW</text>
  </threadedComment>
  <threadedComment ref="V56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6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6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6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6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6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6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6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6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6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V56" dT="2024-11-05T11:51:34.96" personId="{4232887B-6F74-4501-885D-8735C5662726}" id="{BE0129E6-9EA5-4AA4-9B26-95CB264670D2}" parentId="{841AF8BB-FE5C-4E71-8EE3-B5084D650E8E}">
    <text>7kW allocation reduced due to live reading of 5.2KW</text>
  </threadedComment>
  <threadedComment ref="Z56" dT="2022-05-26T10:30:53.56" personId="{BC55F889-AFD3-4AD4-B814-0EDFA8411758}" id="{FD1CA8BF-6C20-4299-B112-BA887F1BB37E}">
    <text>Reduced from 2.6kW due to live reading of 1.2kW</text>
  </threadedComment>
  <threadedComment ref="Z56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6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6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6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6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6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6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6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6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6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Z56" dT="2024-11-05T11:44:20.76" personId="{4232887B-6F74-4501-885D-8735C5662726}" id="{3A6EB443-37A9-434B-B204-A8F834CE1FBF}" parentId="{FD1CA8BF-6C20-4299-B112-BA887F1BB37E}">
    <text>2.6kW allocation reduced due to live reading of 1.5kW</text>
  </threadedComment>
  <threadedComment ref="AB56" dT="2022-06-22T11:58:49.54" personId="{A2EEB511-B106-4ABB-A0A9-198E22579A21}" id="{2782F904-60F4-44A2-8F6D-DF85AE56C13B}">
    <text xml:space="preserve"> NCS-57C3 - 500W - 2 feeds</text>
  </threadedComment>
  <threadedComment ref="AD56" dT="2024-02-15T18:36:14.33" personId="{F6E7EC2D-8E6E-4BA1-BCDD-6D7FECF08119}" id="{78903D3B-3597-4D6C-838E-BE0636576A75}">
    <text>10.9kW allocation reduced due to live reading of 0.5kW</text>
  </threadedComment>
  <threadedComment ref="AD56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6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D56" dT="2024-11-05T12:09:35.73" personId="{4232887B-6F74-4501-885D-8735C5662726}" id="{C1A87A1A-320A-4D08-AE80-30496E468283}" parentId="{78903D3B-3597-4D6C-838E-BE0636576A75}">
    <text>6.5kW allocation reduced due to live reading of 0.7kW</text>
  </threadedComment>
  <threadedComment ref="AF56" dT="2023-08-02T13:29:13.85" personId="{4232887B-6F74-4501-885D-8735C5662726}" id="{07A595FE-1A3C-40F3-B6E8-08CEA67501E7}">
    <text>2kW allocation reduced due to live reading of 0.3kW</text>
  </threadedComment>
  <threadedComment ref="AF56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6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6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6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6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6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6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6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F56" dT="2024-11-05T12:16:15.07" personId="{4232887B-6F74-4501-885D-8735C5662726}" id="{D7A12373-A3BF-4F5F-8C4C-222FBA556425}" parentId="{07A595FE-1A3C-40F3-B6E8-08CEA67501E7}">
    <text>2kW allocation reduced due to live reading of 0.3kW</text>
  </threadedComment>
  <threadedComment ref="AH56" dT="2023-01-24T11:27:49.46" personId="{BC55F889-AFD3-4AD4-B814-0EDFA8411758}" id="{864A3F0C-CE66-4828-A101-FD0C313A22F3}">
    <text>ESA400s @ 520W each only 2 planned day 1</text>
  </threadedComment>
  <threadedComment ref="AH56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6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6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6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6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H56" dT="2024-11-05T12:14:05.66" personId="{4232887B-6F74-4501-885D-8735C5662726}" id="{F8513DD1-FFE7-476A-B72C-D879D8BB03B3}" parentId="{864A3F0C-CE66-4828-A101-FD0C313A22F3}">
    <text>4kW allocation reduced due to live reading of 1.1kW</text>
  </threadedComment>
  <threadedComment ref="AJ56" dT="2023-07-11T10:13:34.78" personId="{F6E7EC2D-8E6E-4BA1-BCDD-6D7FECF08119}" id="{30BCBC7F-E63D-4260-8A77-C491C6DDEF73}">
    <text>1kW allocation reduced due to live reading of 0.1KW</text>
  </threadedComment>
  <threadedComment ref="AJ56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6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6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6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6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6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6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6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6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J56" dT="2024-11-05T11:49:40.57" personId="{4232887B-6F74-4501-885D-8735C5662726}" id="{73E85412-2847-40D8-BEB1-F10A304EBAFA}" parentId="{30BCBC7F-E63D-4260-8A77-C491C6DDEF73}">
    <text>1kW allocation reduced due to live reading of 0.1KW</text>
  </threadedComment>
  <threadedComment ref="AK56" dT="2023-12-06T13:03:55.78" personId="{4232887B-6F74-4501-885D-8735C5662726}" id="{92F20518-C6FB-4F49-89EC-50A85ED34F26}">
    <text>Waveserver_5(2.0KW)into B22-ORMT_SAP_231123_10_w014433 </text>
  </threadedComment>
  <threadedComment ref="AL56" dT="2024-11-05T12:15:22.66" personId="{4232887B-6F74-4501-885D-8735C5662726}" id="{170649B7-93C9-411A-971C-0F944A2EC56C}">
    <text>2kW allocation reduced due to live reading of 0.4kW</text>
  </threadedComment>
  <threadedComment ref="AM56" dT="2024-05-03T11:12:08.65" personId="{7807B229-714C-4AA1-8F83-E7F46ACB7D83}" id="{0D9E80B9-C964-415F-B400-8382240C7015}">
    <text>10 Servers and 1 Switch planned - ORMT_SAP_240306_5_10335416</text>
  </threadedComment>
  <threadedComment ref="AN56" dT="2024-11-05T12:12:10.84" personId="{4232887B-6F74-4501-885D-8735C5662726}" id="{D29EFAB7-60EB-4290-AD26-0D1ED4BBD0F2}">
    <text>5.6kW allocation reduced due to live reading of 3.5kW</text>
  </threadedComment>
  <threadedComment ref="J57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7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M57" dT="2024-08-12T11:12:27.62" personId="{23875134-620F-49C7-896C-147D628FB6EA}" id="{CF8B47B3-9169-4969-8215-7AE3E95CB53F}">
    <text>ORMT_SAP_240517_1_11255170 is planned for Nokia 7750 SR2s</text>
  </threadedComment>
  <threadedComment ref="J59" dT="2024-09-16T13:25:20.76" personId="{A4663B00-DB85-420B-AE65-1E515148FDF2}" id="{35BF8656-A402-4A0D-9035-A106D84E4629}">
    <text>Additional ADVA XG120 is planned under ORMT_SAP_240912_21_11268373</text>
  </threadedComment>
  <threadedComment ref="U69" dT="2023-11-23T15:28:29.52" personId="{7807B229-714C-4AA1-8F83-E7F46ACB7D83}" id="{B9D2DF39-A8AC-42E0-ACB6-F354A1DA10B4}">
    <text>Additional Ciena 6500-7(1.1KW) into existing cab AB2-ORMT_SAP_231122_3_26168659</text>
  </threadedComment>
  <threadedComment ref="W69" dT="2024-05-14T14:03:12.34" personId="{23875134-620F-49C7-896C-147D628FB6EA}" id="{B7666EDB-4E87-42B5-A03C-6EF2D2444581}">
    <text>40 Amps for NOKIA 7250 AND ORACLE ACME 6350 is planned under ORMT_SAP_240426_16_10330814x</text>
  </threadedComment>
  <threadedComment ref="Y69" dT="2024-05-14T14:03:12.34" personId="{23875134-620F-49C7-896C-147D628FB6EA}" id="{AD31683B-07E5-4833-8EAC-85867DAC723A}">
    <text>40 Amps for NOKIA 7250 AND ORACLE ACME 6350 is planned under ORMT_SAP_240426_16_10330814x</text>
  </threadedComment>
  <threadedComment ref="L71" dT="2022-05-26T11:33:03.42" personId="{BC55F889-AFD3-4AD4-B814-0EDFA8411758}" id="{F7979500-469D-4636-87F6-4B151A496335}">
    <text>5kW allocation reduced due to live reading of 2.5kW</text>
  </threadedComment>
  <threadedComment ref="L71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1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1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1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1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1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1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1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1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1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L71" dT="2024-08-15T17:11:05.91" personId="{23875134-620F-49C7-896C-147D628FB6EA}" id="{076C9460-AD93-43F2-8AF5-E1667BD368DB}" parentId="{F7979500-469D-4636-87F6-4B151A496335}">
    <text>2.5kW allocation reduced due to live reading of 1.9KW</text>
  </threadedComment>
  <threadedComment ref="L71" dT="2024-11-05T15:45:05.95" personId="{23875134-620F-49C7-896C-147D628FB6EA}" id="{121FE5CC-DE65-47A6-82B4-80E375AE75B4}" parentId="{F7979500-469D-4636-87F6-4B151A496335}">
    <text>2.5kW allocation reduced due to live reading of 1.8KW</text>
  </threadedComment>
  <threadedComment ref="L71" dT="2024-12-12T12:37:26.54" personId="{23875134-620F-49C7-896C-147D628FB6EA}" id="{BE5E64AF-C47C-4796-A3A0-0E07E8123244}" parentId="{F7979500-469D-4636-87F6-4B151A496335}">
    <text>2.5kW allocation reduced due to live reading of 1.85KW</text>
  </threadedComment>
  <threadedComment ref="N71" dT="2022-05-26T11:35:03.84" personId="{BC55F889-AFD3-4AD4-B814-0EDFA8411758}" id="{759BE320-FF70-4FCF-83EE-4368F66D4DA3}">
    <text>4.5kW allocation reduced due to live reading of 1.5kW</text>
  </threadedComment>
  <threadedComment ref="N71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1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1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1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1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1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1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1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1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1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N71" dT="2024-08-15T17:06:43.40" personId="{23875134-620F-49C7-896C-147D628FB6EA}" id="{E51CC577-440E-4268-A82C-922E9081EB2B}" parentId="{759BE320-FF70-4FCF-83EE-4368F66D4DA3}">
    <text>2.25kW allocation reduced due to live reading of 1.0KW</text>
  </threadedComment>
  <threadedComment ref="N71" dT="2024-11-05T15:56:22.86" personId="{23875134-620F-49C7-896C-147D628FB6EA}" id="{5EE7199A-EE8E-47E6-B6A3-AFF4E4C02801}" parentId="{759BE320-FF70-4FCF-83EE-4368F66D4DA3}">
    <text>2.25kW allocation reduced due to live reading of 1.2KW</text>
  </threadedComment>
  <threadedComment ref="N71" dT="2024-12-12T12:32:45.28" personId="{23875134-620F-49C7-896C-147D628FB6EA}" id="{8C372DC4-E976-4EE3-B0CD-7C1EA8897E4B}" parentId="{759BE320-FF70-4FCF-83EE-4368F66D4DA3}">
    <text>2.25kW allocation reduced due to live reading of 1.4KW</text>
  </threadedComment>
  <threadedComment ref="P71" dT="2022-05-26T11:36:00.57" personId="{BC55F889-AFD3-4AD4-B814-0EDFA8411758}" id="{B435FD41-1820-422A-8344-3302D0CF6FF0}">
    <text>4.5kW allocation reduced due to live reading of 2.6kW</text>
  </threadedComment>
  <threadedComment ref="P71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1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1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1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1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1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1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1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1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1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P71" dT="2024-08-15T16:59:10.37" personId="{23875134-620F-49C7-896C-147D628FB6EA}" id="{087DB040-8DE8-447C-9614-5C571F233055}" parentId="{B435FD41-1820-422A-8344-3302D0CF6FF0}">
    <text>2.25kW allocation reduced due to live reading of 1.9KW</text>
  </threadedComment>
  <threadedComment ref="P71" dT="2024-11-05T16:05:38.70" personId="{23875134-620F-49C7-896C-147D628FB6EA}" id="{B2014685-3171-44D7-9D4A-2CD39D23B7E4}" parentId="{B435FD41-1820-422A-8344-3302D0CF6FF0}">
    <text>2.25kW allocation reduced due to live reading of 1.9KW</text>
  </threadedComment>
  <threadedComment ref="P71" dT="2024-12-12T12:30:45.11" personId="{23875134-620F-49C7-896C-147D628FB6EA}" id="{4FBE6A74-AD27-4A1A-8EF9-D05398F39283}" parentId="{B435FD41-1820-422A-8344-3302D0CF6FF0}">
    <text>2.25kW allocation reduced due to live reading of 1.9KW</text>
  </threadedComment>
  <threadedComment ref="R71" dT="2022-05-26T11:35:03.84" personId="{BC55F889-AFD3-4AD4-B814-0EDFA8411758}" id="{7FB600CC-3DC6-478E-9646-063721E93385}">
    <text>4.5kW allocation reduced due to live reading of 1.5kW</text>
  </threadedComment>
  <threadedComment ref="R71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1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1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1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1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1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1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1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1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1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R71" dT="2024-08-15T16:50:22.05" personId="{23875134-620F-49C7-896C-147D628FB6EA}" id="{D4E7A66B-A221-4ED3-827E-43109DC534FD}" parentId="{7FB600CC-3DC6-478E-9646-063721E93385}">
    <text>2.25kW allocation reduced due to live reading of 1.2KW</text>
  </threadedComment>
  <threadedComment ref="R71" dT="2024-11-05T16:08:27.46" personId="{23875134-620F-49C7-896C-147D628FB6EA}" id="{EAB0AFEC-5FA1-41DE-8DBE-D9A61FF82F71}" parentId="{7FB600CC-3DC6-478E-9646-063721E93385}">
    <text>2.25kW allocation reduced due to live reading of 1.15KW</text>
  </threadedComment>
  <threadedComment ref="R71" dT="2024-12-12T12:27:09.32" personId="{23875134-620F-49C7-896C-147D628FB6EA}" id="{5A1B5E27-F80F-4345-AA14-DC135BD5A1B2}" parentId="{7FB600CC-3DC6-478E-9646-063721E93385}">
    <text>2.25kW allocation reduced due to live reading of 1.15KW</text>
  </threadedComment>
  <threadedComment ref="T71" dT="2023-01-12T14:34:04.06" personId="{BC55F889-AFD3-4AD4-B814-0EDFA8411758}" id="{49969A50-1347-4519-98FC-3B9C4C471BF6}">
    <text>Live reading 102A, so 6.5kW allocation reduced by 5.5kW</text>
  </threadedComment>
  <threadedComment ref="T71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1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1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1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1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1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1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1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1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1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T71" dT="2024-08-15T17:13:58.91" personId="{23875134-620F-49C7-896C-147D628FB6EA}" id="{738EF585-FC42-424F-81B9-AA98BADFF5CE}" parentId="{49969A50-1347-4519-98FC-3B9C4C471BF6}">
    <text>3.25kW allocation reduced due to live reading of 2.9KW</text>
  </threadedComment>
  <threadedComment ref="T71" dT="2024-11-05T15:41:23.16" personId="{23875134-620F-49C7-896C-147D628FB6EA}" id="{91F86ADC-E420-4C7E-BF11-0C1E762E5966}" parentId="{49969A50-1347-4519-98FC-3B9C4C471BF6}">
    <text>3.25kW allocation reduced due to live reading of 2.8KW</text>
  </threadedComment>
  <threadedComment ref="T71" dT="2024-12-12T13:05:07.66" personId="{23875134-620F-49C7-896C-147D628FB6EA}" id="{BF9540E1-131B-425D-9076-2F107CCF4E33}" parentId="{49969A50-1347-4519-98FC-3B9C4C471BF6}">
    <text>3.25kW allocation reduced due to live reading of 2.85KW</text>
  </threadedComment>
  <threadedComment ref="L72" dT="2022-05-26T11:33:03.42" personId="{BC55F889-AFD3-4AD4-B814-0EDFA8411758}" id="{4DCC6705-B4E3-4600-8568-1AE02D770216}">
    <text>5kW allocation reduced due to live reading of 2.5kW</text>
  </threadedComment>
  <threadedComment ref="L72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2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2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2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2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2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2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2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2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2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L72" dT="2024-08-15T17:11:54.74" personId="{23875134-620F-49C7-896C-147D628FB6EA}" id="{33309A78-EE5A-4662-B69E-75328924ADE7}" parentId="{4DCC6705-B4E3-4600-8568-1AE02D770216}">
    <text>2.5kW allocation reduced due to live reading of 1.8KW</text>
  </threadedComment>
  <threadedComment ref="L72" dT="2024-11-05T15:45:41.11" personId="{23875134-620F-49C7-896C-147D628FB6EA}" id="{B31860FF-3F5E-46BF-A904-C5EB240B8C74}" parentId="{4DCC6705-B4E3-4600-8568-1AE02D770216}">
    <text>2.5kW allocation reduced due to live reading of 1.8KW</text>
  </threadedComment>
  <threadedComment ref="L72" dT="2024-12-12T12:37:33.29" personId="{23875134-620F-49C7-896C-147D628FB6EA}" id="{910AE19F-B181-4FB6-9EDA-D8646744BF6A}" parentId="{4DCC6705-B4E3-4600-8568-1AE02D770216}">
    <text>2.5kW allocation reduced due to live reading of 1.85KW</text>
  </threadedComment>
  <threadedComment ref="N72" dT="2022-05-26T11:35:03.84" personId="{BC55F889-AFD3-4AD4-B814-0EDFA8411758}" id="{3844EAD8-8D70-4637-96D1-3F8D5DC28503}">
    <text>4.5kW allocation reduced due to live reading of 1.5kW</text>
  </threadedComment>
  <threadedComment ref="N72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2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2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2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2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2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2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2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2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2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N72" dT="2024-08-15T17:07:25.06" personId="{23875134-620F-49C7-896C-147D628FB6EA}" id="{10D55162-0801-4FE6-A739-388B08D9A6B0}" parentId="{3844EAD8-8D70-4637-96D1-3F8D5DC28503}">
    <text>2.25kW allocation reduced due to live reading of 1.1KW</text>
  </threadedComment>
  <threadedComment ref="N72" dT="2024-11-05T15:57:11.62" personId="{23875134-620F-49C7-896C-147D628FB6EA}" id="{B3AF76A9-F276-4C94-A3EA-73241EC9059C}" parentId="{3844EAD8-8D70-4637-96D1-3F8D5DC28503}">
    <text>2.25kW allocation reduced due to live reading of 1.1KW</text>
  </threadedComment>
  <threadedComment ref="N72" dT="2024-11-05T15:58:07.93" personId="{23875134-620F-49C7-896C-147D628FB6EA}" id="{F4427E05-4FE4-43F7-8F4F-E9D63837D536}" parentId="{3844EAD8-8D70-4637-96D1-3F8D5DC28503}">
    <text>2.25kW allocation reduced due to live reading of 1.2KW</text>
  </threadedComment>
  <threadedComment ref="N72" dT="2024-12-12T12:33:31.07" personId="{23875134-620F-49C7-896C-147D628FB6EA}" id="{83C85FB6-DFB0-48C3-A954-B4C87CB1498C}" parentId="{3844EAD8-8D70-4637-96D1-3F8D5DC28503}">
    <text>2.25kW allocation reduced due to live reading of 1.4KW</text>
  </threadedComment>
  <threadedComment ref="P72" dT="2022-05-26T11:36:00.57" personId="{BC55F889-AFD3-4AD4-B814-0EDFA8411758}" id="{2DEFDEA6-A745-4A6A-8456-DB1342885FE4}">
    <text>4.5kW allocation reduced due to live reading of 2.6kW</text>
  </threadedComment>
  <threadedComment ref="P72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2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2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2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2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2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2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2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2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2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P72" dT="2024-08-15T17:00:02.27" personId="{23875134-620F-49C7-896C-147D628FB6EA}" id="{41180187-EF9E-4E5F-8A6E-8F1EEFDBFE76}" parentId="{2DEFDEA6-A745-4A6A-8456-DB1342885FE4}">
    <text>2.25kW allocation reduced due to live reading of 1.9KW</text>
  </threadedComment>
  <threadedComment ref="P72" dT="2024-11-05T16:06:00.23" personId="{23875134-620F-49C7-896C-147D628FB6EA}" id="{CA6F7BD3-076F-46FD-8523-A41402D81229}" parentId="{2DEFDEA6-A745-4A6A-8456-DB1342885FE4}">
    <text>2.25kW allocation reduced due to live reading of 1.9KW</text>
  </threadedComment>
  <threadedComment ref="P72" dT="2024-12-12T12:30:49.91" personId="{23875134-620F-49C7-896C-147D628FB6EA}" id="{A882C0D4-678A-4353-9B19-CB1CC5A27FEF}" parentId="{2DEFDEA6-A745-4A6A-8456-DB1342885FE4}">
    <text>2.25kW allocation reduced due to live reading of 1.9KW</text>
  </threadedComment>
  <threadedComment ref="R72" dT="2022-05-26T11:35:03.84" personId="{BC55F889-AFD3-4AD4-B814-0EDFA8411758}" id="{77A1DE33-8375-4D93-91FA-C6B8AE1375A6}">
    <text>4.5kW allocation reduced due to live reading of 1.5kW</text>
  </threadedComment>
  <threadedComment ref="R72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2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2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2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2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2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2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2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2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2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R72" dT="2024-08-15T16:49:47.89" personId="{23875134-620F-49C7-896C-147D628FB6EA}" id="{3E9A9C8C-9C0C-4904-96EE-C1A3062E3A79}" parentId="{77A1DE33-8375-4D93-91FA-C6B8AE1375A6}">
    <text>2.25kW allocation reduced due to live reading of 1.1KW</text>
  </threadedComment>
  <threadedComment ref="R72" dT="2024-11-05T16:08:50.24" personId="{23875134-620F-49C7-896C-147D628FB6EA}" id="{A71D3C71-D70E-4CAB-82EE-C16AD35BE037}" parentId="{77A1DE33-8375-4D93-91FA-C6B8AE1375A6}">
    <text>2.25kW allocation reduced due to live reading of 1.15KW</text>
  </threadedComment>
  <threadedComment ref="R72" dT="2024-12-12T12:27:20.14" personId="{23875134-620F-49C7-896C-147D628FB6EA}" id="{E0A4B7FF-2CD9-49F6-9F69-1155F43517C9}" parentId="{77A1DE33-8375-4D93-91FA-C6B8AE1375A6}">
    <text>2.25kW allocation reduced due to live reading of 1.15KW</text>
  </threadedComment>
  <threadedComment ref="T72" dT="2023-01-12T14:34:04.06" personId="{BC55F889-AFD3-4AD4-B814-0EDFA8411758}" id="{E4B0744D-061F-4269-94AC-D1C6256C7730}">
    <text>Live reading 102A, so 6.5kW allocation reduced by 5.5kW</text>
  </threadedComment>
  <threadedComment ref="T72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2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2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2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2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2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2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2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2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2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T72" dT="2024-08-15T17:14:33.09" personId="{23875134-620F-49C7-896C-147D628FB6EA}" id="{57730BC8-DA14-4C30-A573-7ADB5F11E4AB}" parentId="{E4B0744D-061F-4269-94AC-D1C6256C7730}">
    <text>3.25kW allocation reduced due to live reading of 2.7KW</text>
  </threadedComment>
  <threadedComment ref="T72" dT="2024-11-05T15:41:57.27" personId="{23875134-620F-49C7-896C-147D628FB6EA}" id="{CD802A7D-4F16-46D0-A0B2-176EECAA792F}" parentId="{E4B0744D-061F-4269-94AC-D1C6256C7730}">
    <text>3.25kW allocation reduced due to live reading of 2.8KW</text>
  </threadedComment>
  <threadedComment ref="T72" dT="2024-12-12T13:05:56.24" personId="{23875134-620F-49C7-896C-147D628FB6EA}" id="{2C5E0E0B-51FD-489A-B798-AB7ABF20B34C}" parentId="{E4B0744D-061F-4269-94AC-D1C6256C7730}">
    <text>3.25kW allocation reduced due to live reading of 2.85KW</text>
  </threadedComment>
  <threadedComment ref="J73" dT="2023-10-23T10:12:59.36" personId="{F6E7EC2D-8E6E-4BA1-BCDD-6D7FECF08119}" id="{4FABE1E5-AAE7-43DF-BA20-588146DEC72A}">
    <text>6kW allocation reduced due to live reading of 0.1kW</text>
  </threadedComment>
  <threadedComment ref="J73" dT="2024-11-05T16:28:32.64" personId="{23875134-620F-49C7-896C-147D628FB6EA}" id="{8719FFDE-1472-4364-AAEF-7BF973094AB6}" parentId="{4FABE1E5-AAE7-43DF-BA20-588146DEC72A}">
    <text>6kW allocation reduced due to live reading of 0.15kW</text>
  </threadedComment>
  <threadedComment ref="J73" dT="2024-12-12T10:24:12.53" personId="{23875134-620F-49C7-896C-147D628FB6EA}" id="{986ED6D9-5742-44B2-A4AF-1C476B9D397C}" parentId="{4FABE1E5-AAE7-43DF-BA20-588146DEC72A}">
    <text>6kW allocation reduced due to live reading of 0.2kW</text>
  </threadedComment>
  <threadedComment ref="J74" dT="2023-09-07T10:58:26.32" personId="{4232887B-6F74-4501-885D-8735C5662726}" id="{F1423C7C-FCD9-4294-BFEB-7D8E02BFB991}">
    <text>6kW allocation reduced due to live reading of 0.1kW</text>
  </threadedComment>
  <threadedComment ref="J74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4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4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4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4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4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4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4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J74" dT="2024-08-15T17:29:53.42" personId="{23875134-620F-49C7-896C-147D628FB6EA}" id="{6F912A55-C1CA-4ECC-8440-772FD0C9CB96}" parentId="{F1423C7C-FCD9-4294-BFEB-7D8E02BFB991}">
    <text>6kW allocation reduced due to live reading of 0.2kW</text>
  </threadedComment>
  <threadedComment ref="J74" dT="2024-09-05T14:05:31.30" personId="{23875134-620F-49C7-896C-147D628FB6EA}" id="{4E5C3B7D-FB64-4028-A538-672AA3EDA13B}" parentId="{F1423C7C-FCD9-4294-BFEB-7D8E02BFB991}">
    <text>6kW allocation reduced due to live reading of 0.2kW</text>
  </threadedComment>
  <threadedComment ref="J74" dT="2024-10-11T08:55:04.39" personId="{23875134-620F-49C7-896C-147D628FB6EA}" id="{485DFD36-6EF3-477F-88C7-1EA198F609AB}" parentId="{F1423C7C-FCD9-4294-BFEB-7D8E02BFB991}">
    <text>6kW allocation reduced due to live reading of 0.2kW</text>
  </threadedComment>
  <threadedComment ref="J74" dT="2024-11-05T16:29:18.93" personId="{23875134-620F-49C7-896C-147D628FB6EA}" id="{435C09BD-D70B-413E-94CB-CB23AECBCC3D}" parentId="{F1423C7C-FCD9-4294-BFEB-7D8E02BFB991}">
    <text>6kW allocation reduced due to live reading of 0.15kW</text>
  </threadedComment>
  <threadedComment ref="J74" dT="2024-12-12T10:24:22.31" personId="{23875134-620F-49C7-896C-147D628FB6EA}" id="{CF2738F1-E7DA-4204-A1B8-11C9567A80BA}" parentId="{F1423C7C-FCD9-4294-BFEB-7D8E02BFB991}">
    <text>6kW allocation reduced due to live reading of 0.2kW</text>
  </threadedComment>
  <threadedComment ref="Q75" dT="2024-11-19T16:50:36.40" personId="{23875134-620F-49C7-896C-147D628FB6EA}" id="{C34C8E20-B6E6-4C64-B18C-573A59D1E089}">
    <text>ORMT_SAP_240904_13_W859570 under this ORMT we have allocated the 1KW</text>
  </threadedComment>
  <threadedComment ref="S75" dT="2024-04-16T14:47:38.63" personId="{4232887B-6F74-4501-885D-8735C5662726}" id="{588B00FE-0E52-44E2-88FB-FFA43FFCCF30}">
    <text>Power upgrade given for ORMT_SAP_240415_18_Y854576</text>
  </threadedComment>
  <threadedComment ref="Q76" dT="2024-11-19T16:50:44.27" personId="{23875134-620F-49C7-896C-147D628FB6EA}" id="{DF3E25C3-A370-4F91-AFF4-B71E067B9B70}">
    <text>ORMT_SAP_240904_13_W859570 under this ORMT we have allocated the 1KW</text>
  </threadedComment>
  <threadedComment ref="S76" dT="2024-04-16T14:47:38.63" personId="{4232887B-6F74-4501-885D-8735C5662726}" id="{373A0698-9696-4195-9973-6D25DAE4BA51}">
    <text>Power upgrade given for ORMT_SAP_240415_18_Y854576</text>
  </threadedComment>
  <threadedComment ref="J79" dT="2023-08-03T10:44:20.83" personId="{F6E7EC2D-8E6E-4BA1-BCDD-6D7FECF08119}" id="{0E45B417-7AAB-433A-835B-5C4DB72933D8}">
    <text>6kW allocation reduced due to live reading of 0.1kW</text>
  </threadedComment>
  <threadedComment ref="J79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79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79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79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79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79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79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79" dT="2024-08-15T17:35:20.29" personId="{23875134-620F-49C7-896C-147D628FB6EA}" id="{8F92D959-9739-4C5B-9101-DB0BAFD1FCCB}" parentId="{0E45B417-7AAB-433A-835B-5C4DB72933D8}">
    <text>6kW allocation reduced due to live reading of 0.2kW</text>
  </threadedComment>
  <threadedComment ref="J79" dT="2024-09-05T14:11:58.76" personId="{23875134-620F-49C7-896C-147D628FB6EA}" id="{B3393C15-747A-49F9-B591-83DA7E448684}" parentId="{0E45B417-7AAB-433A-835B-5C4DB72933D8}">
    <text>6kW allocation reduced due to live reading of 0.2kW</text>
  </threadedComment>
  <threadedComment ref="J79" dT="2024-10-11T09:06:57.43" personId="{23875134-620F-49C7-896C-147D628FB6EA}" id="{8C60C329-FA23-4AC6-A1B9-9129381C86BC}" parentId="{0E45B417-7AAB-433A-835B-5C4DB72933D8}">
    <text>6kW allocation reduced due to live reading of 0.2kW</text>
  </threadedComment>
  <threadedComment ref="J79" dT="2024-11-05T16:38:12.48" personId="{23875134-620F-49C7-896C-147D628FB6EA}" id="{34AB7F1F-1680-4E5F-91D1-36D8CEFEABDB}" parentId="{0E45B417-7AAB-433A-835B-5C4DB72933D8}">
    <text>6kW allocation reduced due to live reading of 0.15kW</text>
  </threadedComment>
  <threadedComment ref="J79" dT="2024-12-12T10:31:43.58" personId="{23875134-620F-49C7-896C-147D628FB6EA}" id="{4B1DB14D-5152-4618-8860-63CB5DEBBC8E}" parentId="{0E45B417-7AAB-433A-835B-5C4DB72933D8}">
    <text>6kW allocation reduced due to live reading of 0.15kW</text>
  </threadedComment>
  <threadedComment ref="J80" dT="2023-08-03T10:44:20.83" personId="{F6E7EC2D-8E6E-4BA1-BCDD-6D7FECF08119}" id="{CD56A13C-FD94-4CD2-87D2-5578CFFF803D}">
    <text>6kW allocation reduced due to live reading of 0.1kW</text>
  </threadedComment>
  <threadedComment ref="J80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0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0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0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0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0" dT="2024-09-05T14:12:25.36" personId="{23875134-620F-49C7-896C-147D628FB6EA}" id="{70232494-F7C2-4A84-BFDF-53B4100C629A}" parentId="{CD56A13C-FD94-4CD2-87D2-5578CFFF803D}">
    <text>6kW allocation reduced due to live reading of 0.1kW</text>
  </threadedComment>
  <threadedComment ref="J80" dT="2024-10-11T09:07:29.90" personId="{23875134-620F-49C7-896C-147D628FB6EA}" id="{92C23452-7645-40F7-A6A8-029D478DE9D6}" parentId="{CD56A13C-FD94-4CD2-87D2-5578CFFF803D}">
    <text>6kW allocation reduced due to live reading of 0.1kW</text>
  </threadedComment>
  <threadedComment ref="J80" dT="2024-11-05T16:38:36.00" personId="{23875134-620F-49C7-896C-147D628FB6EA}" id="{24170BCE-9C22-4B9D-A441-BD32BE38B66C}" parentId="{CD56A13C-FD94-4CD2-87D2-5578CFFF803D}">
    <text>6kW allocation reduced due to live reading of 0.15kW</text>
  </threadedComment>
  <threadedComment ref="J80" dT="2024-12-12T10:31:51.34" personId="{23875134-620F-49C7-896C-147D628FB6EA}" id="{2F79CE24-D611-4D0A-8FE3-DB53B1A638A5}" parentId="{CD56A13C-FD94-4CD2-87D2-5578CFFF803D}">
    <text>6kW allocation reduced due to live reading of 0.15kW</text>
  </threadedComment>
  <threadedComment ref="J82" dT="2022-03-21T09:58:05.45" personId="{ABF5BCE6-B512-42E2-8B64-A070C9ED38DE}" id="{C53CD6C6-B91D-4B8F-A9F1-3E7D588BF493}">
    <text>reduced from 5kw to 3kW estimated usage</text>
  </threadedComment>
  <threadedComment ref="I85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K85" dT="2024-12-04T17:04:18.50" personId="{23875134-620F-49C7-896C-147D628FB6EA}" id="{5CAE69C5-D8D7-4986-A36D-5913A3907878}">
    <text>WAVESERVER rack is planned under ORMT_SAP_241010_7_10334046</text>
  </threadedComment>
  <threadedComment ref="J90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3" dT="2022-01-27T11:27:23.49" personId="{BC462CC0-A6C1-4CC6-998C-DC5B13C070BC}" id="{0F2B1766-1F97-4BDA-AEC2-CE0C7052B785}">
    <text>Reduced from 5kW</text>
  </threadedComment>
  <threadedComment ref="J93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3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K93" dT="2023-11-08T13:17:17.89" personId="{A4663B00-DB85-420B-AE65-1E515148FDF2}" id="{EA040513-6BE5-4217-96A2-C4660F4AE60F}">
    <text>Marconi MSPP 1684 is planned under ORMT_SAP_231103_12_y842157</text>
  </threadedComment>
  <threadedComment ref="J101" personId="{31CF382B-C4A6-482E-AE04-28CACDB6A63A}" id="{4FD97909-64FD-498F-9525-7E62D702366B}">
    <text>9th Aug - reduced to 1.5kW as now on (using figures for other nodes)</text>
  </threadedComment>
  <threadedComment ref="J101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1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1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1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1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1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1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1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1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1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J101" dT="2024-08-19T11:25:03.96" personId="{23875134-620F-49C7-896C-147D628FB6EA}" id="{94DE8531-67F4-42CC-856B-11A024720FC6}" parentId="{4FD97909-64FD-498F-9525-7E62D702366B}">
    <text>2.5kW allocation reduced due to live reading of 1.1kW</text>
  </threadedComment>
  <threadedComment ref="J101" dT="2024-09-16T15:55:12.46" personId="{23875134-620F-49C7-896C-147D628FB6EA}" id="{364BD4D9-E3A2-4F4E-B88E-38733BE0914A}" parentId="{4FD97909-64FD-498F-9525-7E62D702366B}">
    <text>2.5kW allocation reduced due to live reading of 1.1kW</text>
  </threadedComment>
  <threadedComment ref="J101" dT="2024-11-05T16:48:42.64" personId="{23875134-620F-49C7-896C-147D628FB6EA}" id="{3F8A0F9C-8138-4A07-B4FC-0649AE5BBF00}" parentId="{4FD97909-64FD-498F-9525-7E62D702366B}">
    <text>2.5kW allocation reduced due to live reading of 1.5kW</text>
  </threadedComment>
  <threadedComment ref="J101" dT="2024-12-12T13:50:25.61" personId="{23875134-620F-49C7-896C-147D628FB6EA}" id="{1A5A8628-7648-439C-93FC-84781E901275}" parentId="{4FD97909-64FD-498F-9525-7E62D702366B}">
    <text>2.5kW allocation reduced due to live reading of 1.5kW</text>
  </threadedComment>
  <threadedComment ref="L101" personId="{31CF382B-C4A6-482E-AE04-28CACDB6A63A}" id="{352DB0C1-2EAF-48A9-AFBE-938EDF9C8897}">
    <text>9th Aug reduced to 2.5kw as turn on (using figures from other live sites) originally 8kW</text>
  </threadedComment>
  <threadedComment ref="L101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1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1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1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1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1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1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1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1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1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L101" dT="2024-08-19T11:25:34.84" personId="{23875134-620F-49C7-896C-147D628FB6EA}" id="{40498828-665F-4FF0-A112-8293EBF6F24A}" parentId="{352DB0C1-2EAF-48A9-AFBE-938EDF9C8897}">
    <text>4kW allocation reduced due to live reading of 3.4kW</text>
  </threadedComment>
  <threadedComment ref="L101" dT="2024-09-16T16:00:47.20" personId="{23875134-620F-49C7-896C-147D628FB6EA}" id="{DDFC9743-07F1-4AEE-886C-3D2414D2ABB6}" parentId="{352DB0C1-2EAF-48A9-AFBE-938EDF9C8897}">
    <text>4kW allocation reduced due to live reading of 3.5kW</text>
  </threadedComment>
  <threadedComment ref="L101" dT="2024-11-05T16:51:34.14" personId="{23875134-620F-49C7-896C-147D628FB6EA}" id="{6822DDF4-4084-4878-AC44-07818E289C90}" parentId="{352DB0C1-2EAF-48A9-AFBE-938EDF9C8897}">
    <text>4kW allocation reduced due to live reading of 3.5kW</text>
  </threadedComment>
  <threadedComment ref="L101" dT="2024-12-12T13:53:30.96" personId="{23875134-620F-49C7-896C-147D628FB6EA}" id="{507F722A-A3AF-41E6-990A-E10AABA787B3}" parentId="{352DB0C1-2EAF-48A9-AFBE-938EDF9C8897}">
    <text>4kW allocation reduced due to live reading of 3.5kW</text>
  </threadedComment>
  <threadedComment ref="N101" dT="2022-05-26T12:23:43.66" personId="{BC55F889-AFD3-4AD4-B814-0EDFA8411758}" id="{FF07A646-018C-4F20-8190-88B11998D8E5}">
    <text>4kW allocation reduced due to live reading of 1.3kW</text>
  </threadedComment>
  <threadedComment ref="N101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1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1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1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1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1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1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1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1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1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N101" dT="2024-08-19T11:30:53.60" personId="{23875134-620F-49C7-896C-147D628FB6EA}" id="{C78865F1-3839-4E1E-ABBF-F8BE901C51D2}" parentId="{FF07A646-018C-4F20-8190-88B11998D8E5}">
    <text>2kW allocation reduced due to live reading of 0.7kW</text>
  </threadedComment>
  <threadedComment ref="N101" dT="2024-09-16T16:07:45.52" personId="{23875134-620F-49C7-896C-147D628FB6EA}" id="{09AAA012-0BA8-4E02-81E4-D1E9F292A945}" parentId="{FF07A646-018C-4F20-8190-88B11998D8E5}">
    <text>2kW allocation reduced due to live reading of 0.7kW</text>
  </threadedComment>
  <threadedComment ref="N101" dT="2024-11-05T16:57:45.23" personId="{23875134-620F-49C7-896C-147D628FB6EA}" id="{BF491AC4-8B27-4620-9AF9-4BCD46365548}" parentId="{FF07A646-018C-4F20-8190-88B11998D8E5}">
    <text>2kW allocation reduced due to live reading of 0.7kW</text>
  </threadedComment>
  <threadedComment ref="N101" dT="2024-12-12T14:03:48.75" personId="{23875134-620F-49C7-896C-147D628FB6EA}" id="{16233036-40CC-4046-912A-BA5434612B77}" parentId="{FF07A646-018C-4F20-8190-88B11998D8E5}">
    <text>2kW allocation reduced due to live reading of 0.75kW</text>
  </threadedComment>
  <threadedComment ref="P101" dT="2022-05-26T12:24:45.63" personId="{BC55F889-AFD3-4AD4-B814-0EDFA8411758}" id="{584C801A-6FBA-45CE-87AD-2A8D71BDF9B1}">
    <text>4kW allocation reduced due to live reading of 1kW</text>
  </threadedComment>
  <threadedComment ref="P101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1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1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1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1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1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1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1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1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1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P101" dT="2024-08-19T11:31:47.66" personId="{23875134-620F-49C7-896C-147D628FB6EA}" id="{5201B80C-AE1D-446E-B907-A99DEC28DD6D}" parentId="{584C801A-6FBA-45CE-87AD-2A8D71BDF9B1}">
    <text>2kW allocation reduced due to live reading of 0.4kW</text>
  </threadedComment>
  <threadedComment ref="P101" dT="2024-09-16T16:09:25.35" personId="{23875134-620F-49C7-896C-147D628FB6EA}" id="{4A9E9448-65D7-465C-A7EF-1AAE2D4142CA}" parentId="{584C801A-6FBA-45CE-87AD-2A8D71BDF9B1}">
    <text>2kW allocation reduced due to live reading of 0.4kW</text>
  </threadedComment>
  <threadedComment ref="P101" dT="2024-11-05T17:00:48.20" personId="{23875134-620F-49C7-896C-147D628FB6EA}" id="{8602416A-09F4-467A-8DE2-90849988382F}" parentId="{584C801A-6FBA-45CE-87AD-2A8D71BDF9B1}">
    <text>2kW allocation reduced due to live reading of 0.55kW</text>
  </threadedComment>
  <threadedComment ref="P101" dT="2024-12-12T14:06:02.18" personId="{23875134-620F-49C7-896C-147D628FB6EA}" id="{E9BF7D26-53CE-4C57-9789-3A968DA21549}" parentId="{584C801A-6FBA-45CE-87AD-2A8D71BDF9B1}">
    <text>2kW allocation reduced due to live reading of 0.55kW</text>
  </threadedComment>
  <threadedComment ref="R101" dT="2023-09-12T08:03:53.40" personId="{4232887B-6F74-4501-885D-8735C5662726}" id="{5E485C22-40A5-4118-B7B5-1AB685C7A5A5}">
    <text>0.5kW allocation reduced due to live reading of 0.2kW</text>
  </threadedComment>
  <threadedComment ref="R101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1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1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1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1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1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1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R101" dT="2024-08-19T11:26:07.18" personId="{23875134-620F-49C7-896C-147D628FB6EA}" id="{DE343081-FFC9-4468-A8E3-40E92D973783}" parentId="{5E485C22-40A5-4118-B7B5-1AB685C7A5A5}">
    <text>0.5kW allocation reduced due to live reading of 0.2kW</text>
  </threadedComment>
  <threadedComment ref="R101" dT="2024-09-16T16:05:53.85" personId="{23875134-620F-49C7-896C-147D628FB6EA}" id="{5D8D8136-CDD0-47BE-BB6F-5CF3DD2AF5E5}" parentId="{5E485C22-40A5-4118-B7B5-1AB685C7A5A5}">
    <text>0.5kW allocation reduced due to live reading of 0.2kW</text>
  </threadedComment>
  <threadedComment ref="R101" dT="2024-11-05T16:53:30.52" personId="{23875134-620F-49C7-896C-147D628FB6EA}" id="{2D2A1444-6763-4BAA-A120-5EAEF2730A04}" parentId="{5E485C22-40A5-4118-B7B5-1AB685C7A5A5}">
    <text>0.5kW allocation reduced due to live reading of 0.2kW</text>
  </threadedComment>
  <threadedComment ref="R101" dT="2024-12-12T13:55:07.58" personId="{23875134-620F-49C7-896C-147D628FB6EA}" id="{D6B85364-C018-4922-ACE0-E01856DC55CD}" parentId="{5E485C22-40A5-4118-B7B5-1AB685C7A5A5}">
    <text>0.5kW allocation reduced due to live reading of 0.2kW</text>
  </threadedComment>
  <threadedComment ref="T101" dT="2023-11-14T11:54:02.75" personId="{4232887B-6F74-4501-885D-8735C5662726}" id="{695434EB-6487-4B27-B8DA-842D6C4D1342}">
    <text>2kW allocation reduced due to live reading of 0.2kW</text>
  </threadedComment>
  <threadedComment ref="T101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1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1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1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1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T101" dT="2024-08-19T11:33:30.90" personId="{23875134-620F-49C7-896C-147D628FB6EA}" id="{89D7A786-358E-47FE-B5BC-5FE3FAEE3830}" parentId="{695434EB-6487-4B27-B8DA-842D6C4D1342}">
    <text>2kW allocation reduced due to live reading of 0.2kW</text>
  </threadedComment>
  <threadedComment ref="T101" dT="2024-09-16T16:18:39.77" personId="{23875134-620F-49C7-896C-147D628FB6EA}" id="{5DF2768A-2B8E-4D5A-BAEF-153394ADC392}" parentId="{695434EB-6487-4B27-B8DA-842D6C4D1342}">
    <text>2kW allocation reduced due to live reading of 0.2kW</text>
  </threadedComment>
  <threadedComment ref="T101" dT="2024-11-05T17:04:26.50" personId="{23875134-620F-49C7-896C-147D628FB6EA}" id="{203A7638-06AC-40F0-9EA6-07811B3D26D4}" parentId="{695434EB-6487-4B27-B8DA-842D6C4D1342}">
    <text>2kW allocation reduced due to live reading of 0.2kW</text>
  </threadedComment>
  <threadedComment ref="T101" dT="2024-12-12T14:11:11.94" personId="{23875134-620F-49C7-896C-147D628FB6EA}" id="{060D3C0D-9745-4294-B3E1-05138C71B53A}" parentId="{695434EB-6487-4B27-B8DA-842D6C4D1342}">
    <text>2kW allocation reduced due to live reading of 0.2kW</text>
  </threadedComment>
  <threadedComment ref="V101" dT="2023-12-19T09:05:37.13" personId="{F6E7EC2D-8E6E-4BA1-BCDD-6D7FECF08119}" id="{EC65E2A1-A275-4C10-B603-7F5FFB297226}">
    <text>2kW allocation reduced due to live reading of 0.3kW</text>
  </threadedComment>
  <threadedComment ref="V101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1" dT="2023-12-19T08:57:16.59" personId="{F6E7EC2D-8E6E-4BA1-BCDD-6D7FECF08119}" id="{F417CFA6-4151-4A81-B059-6E358C99E5BB}">
    <text>1.3kW allocation reduced due to live reading of 0.6kW</text>
  </threadedComment>
  <threadedComment ref="AF101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2" dT="2022-03-31T08:57:48.48" personId="{A2EEB511-B106-4ABB-A0A9-198E22579A21}" id="{3C2C41D1-9203-405B-8803-B2247C2118C0}">
    <text>Load split across both power systems</text>
  </threadedComment>
  <threadedComment ref="J102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2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2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2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2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2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2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2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2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2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J102" dT="2024-08-19T11:25:20.21" personId="{23875134-620F-49C7-896C-147D628FB6EA}" id="{D111A902-70FF-49C4-974E-635B5E065640}" parentId="{3C2C41D1-9203-405B-8803-B2247C2118C0}">
    <text>2.5kW allocation reduced due to live reading of 1.9kW</text>
  </threadedComment>
  <threadedComment ref="J102" dT="2024-09-16T15:56:55.58" personId="{23875134-620F-49C7-896C-147D628FB6EA}" id="{FB46F1C2-6E06-4323-9AAF-FE91D2172B9B}" parentId="{3C2C41D1-9203-405B-8803-B2247C2118C0}">
    <text>2.5kW allocation reduced due to live reading of 1.9kW</text>
  </threadedComment>
  <threadedComment ref="J102" dT="2024-11-05T16:48:56.05" personId="{23875134-620F-49C7-896C-147D628FB6EA}" id="{6FD66738-ACAC-4B22-8DB9-EFE7E239EE6E}" parentId="{3C2C41D1-9203-405B-8803-B2247C2118C0}">
    <text>2.5kW allocation reduced due to live reading of 1.5kW</text>
  </threadedComment>
  <threadedComment ref="J102" dT="2024-12-12T13:50:34.91" personId="{23875134-620F-49C7-896C-147D628FB6EA}" id="{3A761CEF-EEBD-40F4-83B3-63B81CE03A7C}" parentId="{3C2C41D1-9203-405B-8803-B2247C2118C0}">
    <text>2.5kW allocation reduced due to live reading of 1.5kW</text>
  </threadedComment>
  <threadedComment ref="L102" dT="2022-03-31T08:58:18.42" personId="{A2EEB511-B106-4ABB-A0A9-198E22579A21}" id="{118A5E6A-00F6-452A-B948-332E1CCFC350}">
    <text>Load split across both power systems</text>
  </threadedComment>
  <threadedComment ref="L102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2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2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2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2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2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2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2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2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2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L102" dT="2024-08-19T11:25:43.10" personId="{23875134-620F-49C7-896C-147D628FB6EA}" id="{606C79EC-3B8D-42DA-B46F-4C1ED72DF967}" parentId="{118A5E6A-00F6-452A-B948-332E1CCFC350}">
    <text>4kW allocation reduced due to live reading of 3.5kW</text>
  </threadedComment>
  <threadedComment ref="L102" dT="2024-09-16T16:02:32.87" personId="{23875134-620F-49C7-896C-147D628FB6EA}" id="{E79796B8-C138-4AA6-AFDE-9DA5ECA796B5}" parentId="{118A5E6A-00F6-452A-B948-332E1CCFC350}">
    <text>4kW allocation reduced due to live reading of 3.5kW</text>
  </threadedComment>
  <threadedComment ref="L102" dT="2024-11-05T16:51:39.87" personId="{23875134-620F-49C7-896C-147D628FB6EA}" id="{A8783F0A-E64E-41D4-A350-786127B64247}" parentId="{118A5E6A-00F6-452A-B948-332E1CCFC350}">
    <text>4kW allocation reduced due to live reading of 3.5kW</text>
  </threadedComment>
  <threadedComment ref="L102" dT="2024-12-12T13:53:35.74" personId="{23875134-620F-49C7-896C-147D628FB6EA}" id="{5DE445D0-02D5-4513-95AF-EED48E23C420}" parentId="{118A5E6A-00F6-452A-B948-332E1CCFC350}">
    <text>4kW allocation reduced due to live reading of 3.5kW</text>
  </threadedComment>
  <threadedComment ref="N102" dT="2022-05-26T12:23:43.66" personId="{BC55F889-AFD3-4AD4-B814-0EDFA8411758}" id="{D0B44343-49D5-409F-8E38-B6ACF162087A}">
    <text>4kW allocation reduced due to live reading of 1.3kW</text>
  </threadedComment>
  <threadedComment ref="N102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2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2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2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2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2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2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2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2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2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N102" dT="2024-08-19T11:31:02.43" personId="{23875134-620F-49C7-896C-147D628FB6EA}" id="{D3E1B940-9D0F-495F-83A7-6F082C5448CE}" parentId="{D0B44343-49D5-409F-8E38-B6ACF162087A}">
    <text>2kW allocation reduced due to live reading of 0.8kW</text>
  </threadedComment>
  <threadedComment ref="N102" dT="2024-09-16T16:08:03.82" personId="{23875134-620F-49C7-896C-147D628FB6EA}" id="{219AB3E6-FBCD-421E-A749-E5FFB181CEB1}" parentId="{D0B44343-49D5-409F-8E38-B6ACF162087A}">
    <text>2kW allocation reduced due to live reading of 0.8kW</text>
  </threadedComment>
  <threadedComment ref="N102" dT="2024-11-05T16:57:58.37" personId="{23875134-620F-49C7-896C-147D628FB6EA}" id="{A1C760BA-519C-454E-ADFB-AC3D25A8F4DE}" parentId="{D0B44343-49D5-409F-8E38-B6ACF162087A}">
    <text>2kW allocation reduced due to live reading of 0.7kW</text>
  </threadedComment>
  <threadedComment ref="N102" dT="2024-12-12T14:03:58.11" personId="{23875134-620F-49C7-896C-147D628FB6EA}" id="{9706A8A3-840B-451E-BEA9-6ABB781B485B}" parentId="{D0B44343-49D5-409F-8E38-B6ACF162087A}">
    <text>2kW allocation reduced due to live reading of 0.75kW</text>
  </threadedComment>
  <threadedComment ref="P102" dT="2022-05-26T12:24:45.63" personId="{BC55F889-AFD3-4AD4-B814-0EDFA8411758}" id="{179D318A-746F-4573-B3B9-990BC068B4B5}">
    <text>4kW allocation reduced due to live reading of 1kW</text>
  </threadedComment>
  <threadedComment ref="P102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2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2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2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2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2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2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2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2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2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P102" dT="2024-08-19T11:32:14.98" personId="{23875134-620F-49C7-896C-147D628FB6EA}" id="{8B26A520-5CBD-4E44-93F4-6939FE6C33DD}" parentId="{179D318A-746F-4573-B3B9-990BC068B4B5}">
    <text>2kW allocation reduced due to live reading of 0.7kW</text>
  </threadedComment>
  <threadedComment ref="P102" dT="2024-09-16T16:09:49.74" personId="{23875134-620F-49C7-896C-147D628FB6EA}" id="{C75A1FE9-CD3E-41C3-81F5-D5D99DDF99E8}" parentId="{179D318A-746F-4573-B3B9-990BC068B4B5}">
    <text>2kW allocation reduced due to live reading of 0.7kW</text>
  </threadedComment>
  <threadedComment ref="P102" dT="2024-11-05T17:01:37.40" personId="{23875134-620F-49C7-896C-147D628FB6EA}" id="{8DAC9894-4894-4CA5-8504-3F305012594C}" parentId="{179D318A-746F-4573-B3B9-990BC068B4B5}">
    <text>2kW allocation reduced due to live reading of 0.55kW</text>
  </threadedComment>
  <threadedComment ref="P102" dT="2024-12-12T14:06:38.66" personId="{23875134-620F-49C7-896C-147D628FB6EA}" id="{2D70369C-D460-43B9-B8C2-AAFD0B6F146D}" parentId="{179D318A-746F-4573-B3B9-990BC068B4B5}">
    <text>2kW allocation reduced due to live reading of 0.55kW</text>
  </threadedComment>
  <threadedComment ref="R102" dT="2023-09-12T08:04:06.04" personId="{4232887B-6F74-4501-885D-8735C5662726}" id="{34029124-BCFA-4C66-89C5-EE19C1352913}">
    <text>0.5kW allocation reduced due to live reading of 0.2kW</text>
  </threadedComment>
  <threadedComment ref="R102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2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2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2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2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2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2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R102" dT="2024-08-19T11:26:12.75" personId="{23875134-620F-49C7-896C-147D628FB6EA}" id="{1C8DD12D-5D75-44E1-808E-AFFA98174428}" parentId="{34029124-BCFA-4C66-89C5-EE19C1352913}">
    <text>0.5kW allocation reduced due to live reading of 0.2kW</text>
  </threadedComment>
  <threadedComment ref="R102" dT="2024-09-16T16:06:03.33" personId="{23875134-620F-49C7-896C-147D628FB6EA}" id="{115A46DD-896A-41FA-BF1E-76B3ED8C1612}" parentId="{34029124-BCFA-4C66-89C5-EE19C1352913}">
    <text>0.5kW allocation reduced due to live reading of 0.2kW</text>
  </threadedComment>
  <threadedComment ref="R102" dT="2024-11-05T16:55:06.71" personId="{23875134-620F-49C7-896C-147D628FB6EA}" id="{62BCBC72-3168-4DAD-BF96-AAFC0130A37C}" parentId="{34029124-BCFA-4C66-89C5-EE19C1352913}">
    <text>0.5kW allocation reduced due to live reading of 0.2kW</text>
  </threadedComment>
  <threadedComment ref="R102" dT="2024-12-12T13:55:12.02" personId="{23875134-620F-49C7-896C-147D628FB6EA}" id="{742F9ABE-2023-43D7-B17F-97852C5095C7}" parentId="{34029124-BCFA-4C66-89C5-EE19C1352913}">
    <text>0.5kW allocation reduced due to live reading of 0.2kW</text>
  </threadedComment>
  <threadedComment ref="T102" dT="2023-11-14T11:54:02.75" personId="{4232887B-6F74-4501-885D-8735C5662726}" id="{3D06987C-F82C-461D-B9F9-2EA54195BFA8}">
    <text>2kW allocation reduced due to live reading of 0.2kW</text>
  </threadedComment>
  <threadedComment ref="T102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2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2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2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2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T102" dT="2024-08-19T11:33:35.68" personId="{23875134-620F-49C7-896C-147D628FB6EA}" id="{C2E3A3D1-9FE7-40CD-A4C4-C086CB3383F3}" parentId="{3D06987C-F82C-461D-B9F9-2EA54195BFA8}">
    <text>2kW allocation reduced due to live reading of 0.2kW</text>
  </threadedComment>
  <threadedComment ref="T102" dT="2024-09-16T16:18:49.58" personId="{23875134-620F-49C7-896C-147D628FB6EA}" id="{03C89D4D-0643-4B5B-9C34-4FDEE1480525}" parentId="{3D06987C-F82C-461D-B9F9-2EA54195BFA8}">
    <text>2kW allocation reduced due to live reading of 0.2kW</text>
  </threadedComment>
  <threadedComment ref="T102" dT="2024-11-05T17:04:32.26" personId="{23875134-620F-49C7-896C-147D628FB6EA}" id="{B95E55C9-E291-49BB-A342-09DC3C7A95C2}" parentId="{3D06987C-F82C-461D-B9F9-2EA54195BFA8}">
    <text>2kW allocation reduced due to live reading of 0.2kW</text>
  </threadedComment>
  <threadedComment ref="T102" dT="2024-12-12T14:11:17.45" personId="{23875134-620F-49C7-896C-147D628FB6EA}" id="{EE670FC0-5CE8-4A03-AB69-F6E6C692FAEE}" parentId="{3D06987C-F82C-461D-B9F9-2EA54195BFA8}">
    <text>2kW allocation reduced due to live reading of 0.2kW</text>
  </threadedComment>
  <threadedComment ref="V102" dT="2023-12-19T09:06:03.54" personId="{F6E7EC2D-8E6E-4BA1-BCDD-6D7FECF08119}" id="{D429025A-2297-42AB-8400-8B774875952F}">
    <text>2kW allocation reduced due to live reading of 0.2kW</text>
  </threadedComment>
  <threadedComment ref="V102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2" dT="2023-12-19T08:57:44.01" personId="{F6E7EC2D-8E6E-4BA1-BCDD-6D7FECF08119}" id="{1463F565-4FD4-402D-85D5-2EC7E7BC17A9}">
    <text>1.3kW allocation reduced due to live reading of 0.1kW</text>
  </threadedComment>
  <threadedComment ref="AF102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3" dT="2022-02-14T17:15:59.36" personId="{BA2F53B7-A3C1-42BC-BA3B-8FB69390D064}" id="{B822A3C3-B991-4133-B407-EF36BC60A798}">
    <text>11.2 kW split across A&amp;B systems</text>
  </threadedComment>
  <threadedComment ref="T103" dT="2022-06-21T09:49:39.73" personId="{A2EEB511-B106-4ABB-A0A9-198E22579A21}" id="{7700C50F-BFBB-46A6-9FDF-36E8F7CC0404}">
    <text>1x UCS C220 – 603W</text>
  </threadedComment>
  <threadedComment ref="V103" dT="2022-06-22T11:56:21.82" personId="{A2EEB511-B106-4ABB-A0A9-198E22579A21}" id="{3B5DCA00-86B0-4DFE-9402-4AC2807C518A}">
    <text xml:space="preserve"> NCS-57C3 - 500W - 2 feeds</text>
  </threadedComment>
  <threadedComment ref="J108" dT="2023-08-03T10:57:21.99" personId="{F6E7EC2D-8E6E-4BA1-BCDD-6D7FECF08119}" id="{42D6319A-0E1C-4C1F-A905-7FCF0CBA4F71}">
    <text>6kW allocation reduced due to live reading of 0.1kW</text>
  </threadedComment>
  <threadedComment ref="J108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8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8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8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8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8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8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8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08" dT="2024-08-16T02:33:38.93" personId="{23875134-620F-49C7-896C-147D628FB6EA}" id="{7E1AE819-362F-4882-A0C0-1F24727D6F88}" parentId="{42D6319A-0E1C-4C1F-A905-7FCF0CBA4F71}">
    <text>6kW allocation reduced due to live reading of 0.2kW</text>
  </threadedComment>
  <threadedComment ref="J108" dT="2024-09-05T14:20:30.70" personId="{23875134-620F-49C7-896C-147D628FB6EA}" id="{58BF2391-2147-42B8-92E3-6AB235E6FBB3}" parentId="{42D6319A-0E1C-4C1F-A905-7FCF0CBA4F71}">
    <text>6kW allocation reduced due to live reading of 0.2kW</text>
  </threadedComment>
  <threadedComment ref="J108" dT="2024-10-14T14:04:24.58" personId="{23875134-620F-49C7-896C-147D628FB6EA}" id="{EB2AFA46-9CA4-477B-B590-3968EF66FE55}" parentId="{42D6319A-0E1C-4C1F-A905-7FCF0CBA4F71}">
    <text>6kW allocation reduced due to live reading of 0.2kW</text>
  </threadedComment>
  <threadedComment ref="J108" dT="2024-11-05T17:13:48.10" personId="{23875134-620F-49C7-896C-147D628FB6EA}" id="{C7B4E5DA-3DDB-4AE1-A344-FC95020B4BA4}" parentId="{42D6319A-0E1C-4C1F-A905-7FCF0CBA4F71}">
    <text>6kW allocation reduced due to live reading of 0.1kW</text>
  </threadedComment>
  <threadedComment ref="J108" dT="2024-12-12T10:38:04.31" personId="{23875134-620F-49C7-896C-147D628FB6EA}" id="{6AD99281-9068-4CA4-9B88-4A82974D96C1}" parentId="{42D6319A-0E1C-4C1F-A905-7FCF0CBA4F71}">
    <text>6kW allocation reduced due to live reading of 0.2kW</text>
  </threadedComment>
  <threadedComment ref="J109" dT="2023-09-06T03:18:06.90" personId="{F6E7EC2D-8E6E-4BA1-BCDD-6D7FECF08119}" id="{33C74018-FA62-4E44-8DC6-C960CB564F32}">
    <text>6kW allocation reduced due to live reading of 0.1kW</text>
  </threadedComment>
  <threadedComment ref="J109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09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09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09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09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09" dT="2024-09-05T14:20:09.00" personId="{23875134-620F-49C7-896C-147D628FB6EA}" id="{CC3D4D06-E304-4194-87D7-659733AB9E10}" parentId="{33C74018-FA62-4E44-8DC6-C960CB564F32}">
    <text>6kW allocation reduced due to live reading of 0.2kW</text>
  </threadedComment>
  <threadedComment ref="J109" dT="2024-11-05T17:14:03.41" personId="{23875134-620F-49C7-896C-147D628FB6EA}" id="{0651A16D-F4A7-405A-A76D-7CB6CD1B385D}" parentId="{33C74018-FA62-4E44-8DC6-C960CB564F32}">
    <text>6kW allocation reduced due to live reading of 0.1kW</text>
  </threadedComment>
  <threadedComment ref="J109" dT="2024-12-12T10:38:23.84" personId="{23875134-620F-49C7-896C-147D628FB6EA}" id="{9F385E89-8D23-46A7-821D-2F078A5A3BA2}" parentId="{33C74018-FA62-4E44-8DC6-C960CB564F32}">
    <text>6kW allocation reduced due to live reading of 0.2kW</text>
  </threadedComment>
  <threadedComment ref="J113" dT="2023-09-12T08:22:17.64" personId="{4232887B-6F74-4501-885D-8735C5662726}" id="{740C4B41-8504-4D1E-BFA0-6828B512020F}">
    <text>6kW allocation reduced due to live reading of 0.1kW</text>
  </threadedComment>
  <threadedComment ref="J113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3" dT="2024-11-06T15:41:38.46" personId="{23875134-620F-49C7-896C-147D628FB6EA}" id="{52230D18-0D5F-4D61-80D1-C8DFC0B21451}" parentId="{740C4B41-8504-4D1E-BFA0-6828B512020F}">
    <text>6kW allocation reduced due to live reading of 0.1kW</text>
  </threadedComment>
  <threadedComment ref="J113" dT="2024-12-12T11:03:40.16" personId="{23875134-620F-49C7-896C-147D628FB6EA}" id="{9833C04F-DBE8-40AF-AAA9-9643CE170452}" parentId="{740C4B41-8504-4D1E-BFA0-6828B512020F}">
    <text>6kW allocation reduced due to live reading of 0.2kW</text>
  </threadedComment>
  <threadedComment ref="K113" dT="2024-07-24T09:55:07.15" personId="{4232887B-6F74-4501-885D-8735C5662726}" id="{58E25DAF-DEE8-42E5-A78D-282646D3BA73}">
    <text>additional 40 amps power upgrade for Ciena 6500 rack D04- ORMT_SAP_240719_8_w144739</text>
  </threadedComment>
  <threadedComment ref="J114" dT="2023-08-03T09:36:01.69" personId="{4232887B-6F74-4501-885D-8735C5662726}" id="{D937C33F-3041-4695-AA0C-9A09F4755728}">
    <text>6kW allocation reduced due to live reading of 0.1kW</text>
  </threadedComment>
  <threadedComment ref="J114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4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4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4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4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4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4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4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4" dT="2024-08-16T15:11:51.18" personId="{23875134-620F-49C7-896C-147D628FB6EA}" id="{87C60C39-89D6-4EB7-BF03-45D28B84DF7C}" parentId="{D937C33F-3041-4695-AA0C-9A09F4755728}">
    <text>6kW allocation reduced due to live reading of 0.2kW</text>
  </threadedComment>
  <threadedComment ref="J114" dT="2024-09-05T14:25:58.71" personId="{23875134-620F-49C7-896C-147D628FB6EA}" id="{7858AB0B-85CE-42BA-9CF6-B1A87DE5E207}" parentId="{D937C33F-3041-4695-AA0C-9A09F4755728}">
    <text>6kW allocation reduced due to live reading of 0.2kW</text>
  </threadedComment>
  <threadedComment ref="J114" dT="2024-10-14T14:09:33.48" personId="{23875134-620F-49C7-896C-147D628FB6EA}" id="{FC12FB3C-5E03-462F-B7C0-380DBD7A5D31}" parentId="{D937C33F-3041-4695-AA0C-9A09F4755728}">
    <text>6kW allocation reduced due to live reading of 0.2kW</text>
  </threadedComment>
  <threadedComment ref="J114" dT="2024-11-06T15:41:48.30" personId="{23875134-620F-49C7-896C-147D628FB6EA}" id="{0C9589DF-5292-4158-958B-165E57F9B016}" parentId="{D937C33F-3041-4695-AA0C-9A09F4755728}">
    <text>6kW allocation reduced due to live reading of 0.1kW</text>
  </threadedComment>
  <threadedComment ref="J114" dT="2024-12-12T11:03:52.27" personId="{23875134-620F-49C7-896C-147D628FB6EA}" id="{FF40A733-FF71-4EDF-A031-713468CC5839}" parentId="{D937C33F-3041-4695-AA0C-9A09F4755728}">
    <text>6kW allocation reduced due to live reading of 0.2kW</text>
  </threadedComment>
  <threadedComment ref="K114" dT="2024-07-24T09:55:41.77" personId="{4232887B-6F74-4501-885D-8735C5662726}" id="{63443C90-B22A-4EC0-8D73-F9E1EFE1BE30}">
    <text>additional 40 amps power upgrade for Ciena 6500 rack D04- ORMT_SAP_240719_8_w144739</text>
  </threadedComment>
  <threadedComment ref="J115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5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6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6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6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6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6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6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6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6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6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J116" dT="2024-08-19T11:40:13.79" personId="{23875134-620F-49C7-896C-147D628FB6EA}" id="{003BBE5D-324E-461D-879E-A05CD71A3251}" parentId="{792D6D13-EF76-4098-AA88-A4FD54FE5F10}">
    <text>2.5kW allocation reduced due to live reading of 0.3kW</text>
  </threadedComment>
  <threadedComment ref="J116" dT="2024-10-14T14:20:06.04" personId="{23875134-620F-49C7-896C-147D628FB6EA}" id="{53C08397-5D6E-45B1-9A2F-ABAAC6DC4FC3}" parentId="{792D6D13-EF76-4098-AA88-A4FD54FE5F10}">
    <text>2.5kW allocation reduced due to live reading of 0.3kW</text>
  </threadedComment>
  <threadedComment ref="J116" dT="2024-11-06T16:03:13.73" personId="{23875134-620F-49C7-896C-147D628FB6EA}" id="{3764F63E-DC59-46A9-8E59-979E866FD129}" parentId="{792D6D13-EF76-4098-AA88-A4FD54FE5F10}">
    <text>2.5kW allocation reduced due to live reading of 0.35kW</text>
  </threadedComment>
  <threadedComment ref="L116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6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6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6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6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6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6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6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6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L116" dT="2024-08-19T11:41:06.61" personId="{23875134-620F-49C7-896C-147D628FB6EA}" id="{9A9AFCF4-F3E2-4083-A8EA-3642A6477816}" parentId="{FAB19BEE-E97A-4E54-8A5F-81EA39A6F568}">
    <text>2.5kW allocation reduced due to live reading of 0.1kW</text>
  </threadedComment>
  <threadedComment ref="L116" dT="2024-10-14T14:21:22.01" personId="{23875134-620F-49C7-896C-147D628FB6EA}" id="{41F0AD73-5A7E-4CB8-A528-5A2553DC5F64}" parentId="{FAB19BEE-E97A-4E54-8A5F-81EA39A6F568}">
    <text>2.5kW allocation reduced due to live reading of 0.1kW</text>
  </threadedComment>
  <threadedComment ref="L116" dT="2024-11-06T16:05:06.33" personId="{23875134-620F-49C7-896C-147D628FB6EA}" id="{37A8DCA5-97DF-4110-83D7-DDC3FA968B57}" parentId="{FAB19BEE-E97A-4E54-8A5F-81EA39A6F568}">
    <text>2.5kW allocation reduced due to live reading of 0.15kW</text>
  </threadedComment>
  <threadedComment ref="N116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6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6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6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6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6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6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6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6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N116" dT="2024-08-19T11:41:52.50" personId="{23875134-620F-49C7-896C-147D628FB6EA}" id="{DAA78318-A8E4-434D-BA54-70F42DFD3310}" parentId="{EC9D3C4B-74A4-43B8-877D-E7FF5750569B}">
    <text>2.5kW allocation reduced due to live reading of 1.1kW</text>
  </threadedComment>
  <threadedComment ref="N116" dT="2024-10-14T14:22:52.11" personId="{23875134-620F-49C7-896C-147D628FB6EA}" id="{6B6EF32F-A342-4DF4-B1A2-5278D881C751}" parentId="{EC9D3C4B-74A4-43B8-877D-E7FF5750569B}">
    <text>2.5kW allocation reduced due to live reading of 1.1kW</text>
  </threadedComment>
  <threadedComment ref="N116" dT="2024-11-06T16:00:55.09" personId="{23875134-620F-49C7-896C-147D628FB6EA}" id="{DF8C48DD-A2F5-4216-A09F-5E744338CECF}" parentId="{EC9D3C4B-74A4-43B8-877D-E7FF5750569B}">
    <text>2.5kW allocation reduced due to live reading of 1.2kW</text>
  </threadedComment>
  <threadedComment ref="P116" dT="2023-09-29T11:16:21.82" personId="{4232887B-6F74-4501-885D-8735C5662726}" id="{820519D8-8840-450F-819F-9339FCFDE16F}">
    <text>1kW allocation reduced due to live reading of 0.2kW</text>
  </threadedComment>
  <threadedComment ref="P116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6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6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6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6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6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6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P116" dT="2024-08-19T11:44:21.89" personId="{23875134-620F-49C7-896C-147D628FB6EA}" id="{F16EC728-5A72-4411-9B75-A649362E6653}" parentId="{820519D8-8840-450F-819F-9339FCFDE16F}">
    <text>1kW allocation reduced due to live reading of 0.2kW</text>
  </threadedComment>
  <threadedComment ref="P116" dT="2024-10-14T14:38:57.10" personId="{23875134-620F-49C7-896C-147D628FB6EA}" id="{389C69C8-F834-4AC4-8FF1-12BADFE14640}" parentId="{820519D8-8840-450F-819F-9339FCFDE16F}">
    <text>1kW allocation reduced due to live reading of 0.2kW</text>
  </threadedComment>
  <threadedComment ref="P116" dT="2024-11-06T15:59:38.07" personId="{23875134-620F-49C7-896C-147D628FB6EA}" id="{80FDB14D-D5D4-443D-8490-7D4D4D850527}" parentId="{820519D8-8840-450F-819F-9339FCFDE16F}">
    <text>1kW allocation reduced due to live reading of 0.2kW</text>
  </threadedComment>
  <threadedComment ref="R116" dT="2023-09-29T12:04:19.21" personId="{4232887B-6F74-4501-885D-8735C5662726}" id="{6DF610CB-866D-41C7-B8C8-C9F5BCFCA317}">
    <text>0.5kW allocation reduced due to live reading of 0.1kW</text>
  </threadedComment>
  <threadedComment ref="R116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6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6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6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6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6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6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R116" dT="2024-08-19T11:39:25.12" personId="{23875134-620F-49C7-896C-147D628FB6EA}" id="{C25DCEF3-3535-45E6-84A4-A13638C3FCB5}" parentId="{6DF610CB-866D-41C7-B8C8-C9F5BCFCA317}">
    <text>0.5kW allocation reduced due to live reading of 0.2kW</text>
  </threadedComment>
  <threadedComment ref="R116" dT="2024-10-14T14:40:40.05" personId="{23875134-620F-49C7-896C-147D628FB6EA}" id="{8D482D5E-7B29-46BD-A1DE-45CBD1646179}" parentId="{6DF610CB-866D-41C7-B8C8-C9F5BCFCA317}">
    <text>0.5kW allocation reduced due to live reading of 0.2kW</text>
  </threadedComment>
  <threadedComment ref="R116" dT="2024-11-06T15:56:38.03" personId="{23875134-620F-49C7-896C-147D628FB6EA}" id="{E5C03FA1-F296-47D9-8F94-09AD00B1E9AA}" parentId="{6DF610CB-866D-41C7-B8C8-C9F5BCFCA317}">
    <text>0.5kW allocation reduced due to live reading of 0.2kW</text>
  </threadedComment>
  <threadedComment ref="J117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7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7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7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7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7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7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7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7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J117" dT="2024-08-19T11:40:26.73" personId="{23875134-620F-49C7-896C-147D628FB6EA}" id="{CE4AB70C-9390-4212-8A12-6CF495AC3CB0}" parentId="{1DBA42F5-BABB-4E92-B51C-34A317C94CA8}">
    <text>2.5kW allocation reduced due to live reading of 0.4kW</text>
  </threadedComment>
  <threadedComment ref="J117" dT="2024-10-14T14:20:35.40" personId="{23875134-620F-49C7-896C-147D628FB6EA}" id="{B33E00A2-D136-4697-984B-48C6C6BCD906}" parentId="{1DBA42F5-BABB-4E92-B51C-34A317C94CA8}">
    <text>2.5kW allocation reduced due to live reading of 0.4kW</text>
  </threadedComment>
  <threadedComment ref="J117" dT="2024-11-06T16:03:31.89" personId="{23875134-620F-49C7-896C-147D628FB6EA}" id="{B0630D4F-E873-4EFB-981B-440DC5BE26D9}" parentId="{1DBA42F5-BABB-4E92-B51C-34A317C94CA8}">
    <text>2.5kW allocation reduced due to live reading of 0.35kW</text>
  </threadedComment>
  <threadedComment ref="L117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7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7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7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7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7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7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7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7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L117" dT="2024-08-19T11:41:21.59" personId="{23875134-620F-49C7-896C-147D628FB6EA}" id="{DED142DE-E9A1-48F6-A139-EF6B5D0E58AD}" parentId="{AC4DAAFE-CB16-41EB-AD83-6879B4ABD8AB}">
    <text>2.5kW allocation reduced due to live reading of 0.2kW</text>
  </threadedComment>
  <threadedComment ref="L117" dT="2024-10-14T14:21:46.78" personId="{23875134-620F-49C7-896C-147D628FB6EA}" id="{8F3FAAEC-37F7-48B7-89A5-1C9B7AABA4A1}" parentId="{AC4DAAFE-CB16-41EB-AD83-6879B4ABD8AB}">
    <text>2.5kW allocation reduced due to live reading of 0.2kW</text>
  </threadedComment>
  <threadedComment ref="L117" dT="2024-11-06T16:05:44.97" personId="{23875134-620F-49C7-896C-147D628FB6EA}" id="{157470E2-E911-418C-A583-8DB7120F4111}" parentId="{AC4DAAFE-CB16-41EB-AD83-6879B4ABD8AB}">
    <text>2.5kW allocation reduced due to live reading of 0.15kW</text>
  </threadedComment>
  <threadedComment ref="N117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7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7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7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7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7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7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7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7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N117" dT="2024-08-19T11:42:42.95" personId="{23875134-620F-49C7-896C-147D628FB6EA}" id="{CC084F62-79A1-4732-BDDD-D1EB8C31FC86}" parentId="{91B82212-A151-441B-9881-A0B1961F5B69}">
    <text>2.5kW allocation reduced due to live reading of 1.3kW</text>
  </threadedComment>
  <threadedComment ref="N117" dT="2024-10-14T14:23:26.23" personId="{23875134-620F-49C7-896C-147D628FB6EA}" id="{D7B73070-3F75-4C56-93D2-0A0A54E06E7C}" parentId="{91B82212-A151-441B-9881-A0B1961F5B69}">
    <text>2.5kW allocation reduced due to live reading of 1.3kW</text>
  </threadedComment>
  <threadedComment ref="N117" dT="2024-11-06T16:01:21.90" personId="{23875134-620F-49C7-896C-147D628FB6EA}" id="{C16D7FDD-270E-4CCE-AD70-DAF9A667320B}" parentId="{91B82212-A151-441B-9881-A0B1961F5B69}">
    <text>2.5kW allocation reduced due to live reading of 1.2kW</text>
  </threadedComment>
  <threadedComment ref="P117" dT="2023-09-29T11:16:33.92" personId="{4232887B-6F74-4501-885D-8735C5662726}" id="{C73221CF-2EB2-4856-BE0E-CC53C62CEFF6}">
    <text>1kW allocation reduced due to live reading of 0.2kW</text>
  </threadedComment>
  <threadedComment ref="P117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7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7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7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7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7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7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P117" dT="2024-08-19T11:44:46.46" personId="{23875134-620F-49C7-896C-147D628FB6EA}" id="{AAF614A2-2EB6-4891-979E-F0AC7EBBCE7A}" parentId="{C73221CF-2EB2-4856-BE0E-CC53C62CEFF6}">
    <text>1kW allocation reduced due to live reading of 0.2kW</text>
  </threadedComment>
  <threadedComment ref="P117" dT="2024-10-14T14:39:43.32" personId="{23875134-620F-49C7-896C-147D628FB6EA}" id="{4968ED65-F95F-4BD8-82D0-768F28774929}" parentId="{C73221CF-2EB2-4856-BE0E-CC53C62CEFF6}">
    <text>1kW allocation reduced due to live reading of 0.2kW</text>
  </threadedComment>
  <threadedComment ref="P117" dT="2024-11-06T15:59:43.60" personId="{23875134-620F-49C7-896C-147D628FB6EA}" id="{435FCEDC-5AE6-42D2-82A3-7E65A5DEA8D1}" parentId="{C73221CF-2EB2-4856-BE0E-CC53C62CEFF6}">
    <text>1kW allocation reduced due to live reading of 0.2kW</text>
  </threadedComment>
  <threadedComment ref="R117" dT="2023-09-29T12:04:45.13" personId="{4232887B-6F74-4501-885D-8735C5662726}" id="{8E521D02-ADC0-4D24-8727-449F1ED106A9}">
    <text>0.5kW allocation reduced due to live reading of 0.1kW</text>
  </threadedComment>
  <threadedComment ref="R117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7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7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7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7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7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7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R117" dT="2024-08-19T11:39:43.59" personId="{23875134-620F-49C7-896C-147D628FB6EA}" id="{3781C73D-58E4-45D6-8D28-9D8DF55CC73F}" parentId="{8E521D02-ADC0-4D24-8727-449F1ED106A9}">
    <text>0.5kW allocation reduced due to live reading of 0.2kW</text>
  </threadedComment>
  <threadedComment ref="R117" dT="2024-10-14T14:40:52.62" personId="{23875134-620F-49C7-896C-147D628FB6EA}" id="{712D82D0-66F3-40D8-B7AF-A56844B3A4EB}" parentId="{8E521D02-ADC0-4D24-8727-449F1ED106A9}">
    <text>0.5kW allocation reduced due to live reading of 0.2kW</text>
  </threadedComment>
  <threadedComment ref="R117" dT="2024-11-06T15:56:43.16" personId="{23875134-620F-49C7-896C-147D628FB6EA}" id="{B2BED43C-D06B-4C15-811C-D318E3769762}" parentId="{8E521D02-ADC0-4D24-8727-449F1ED106A9}">
    <text>0.5kW allocation reduced due to live reading of 0.2kW</text>
  </threadedComment>
  <threadedComment ref="J118" personId="{31CF382B-C4A6-482E-AE04-28CACDB6A63A}" id="{0FAAB219-1E32-4ABF-98E3-E49DE16E5C14}">
    <text>8kW total allocation reduced due to live reading of 6.5kW</text>
  </threadedComment>
  <threadedComment ref="L118" dT="2022-05-26T12:27:12.76" personId="{BC55F889-AFD3-4AD4-B814-0EDFA8411758}" id="{35E956FA-48D8-4358-8E34-98B5FA88AF25}">
    <text>4kW allocation reduced due to live reading of 1kW</text>
  </threadedComment>
  <threadedComment ref="L118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8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8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8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8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8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8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8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8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8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L118" dT="2024-08-19T11:01:46.26" personId="{23875134-620F-49C7-896C-147D628FB6EA}" id="{D8608239-6261-41D1-8876-E5D531EE5880}" parentId="{35E956FA-48D8-4358-8E34-98B5FA88AF25}">
    <text>2kW allocation reduced due to live reading of 0.9kW</text>
  </threadedComment>
  <threadedComment ref="L118" dT="2024-09-16T14:52:38.36" personId="{23875134-620F-49C7-896C-147D628FB6EA}" id="{2AA3317E-9386-4C93-A648-6C0B1773B335}" parentId="{35E956FA-48D8-4358-8E34-98B5FA88AF25}">
    <text>2kW allocation reduced due to live reading of 1.0kW</text>
  </threadedComment>
  <threadedComment ref="L118" dT="2024-11-06T16:34:39.35" personId="{23875134-620F-49C7-896C-147D628FB6EA}" id="{AC3DE9C1-64A6-40C4-AD7C-F1CE03FC8FDB}" parentId="{35E956FA-48D8-4358-8E34-98B5FA88AF25}">
    <text>2kW allocation reduced due to live reading of 0.9kW</text>
  </threadedComment>
  <threadedComment ref="N118" dT="2022-05-26T12:27:12.76" personId="{BC55F889-AFD3-4AD4-B814-0EDFA8411758}" id="{7911CC74-CAAE-4937-912E-C9281F5AF60B}">
    <text>4kW allocation reduced due to live reading of 1kW</text>
  </threadedComment>
  <threadedComment ref="N118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8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8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8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8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8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8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8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8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8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N118" dT="2024-08-19T11:03:59.11" personId="{23875134-620F-49C7-896C-147D628FB6EA}" id="{8C98D66B-5646-4765-93D4-632FFA0604F9}" parentId="{7911CC74-CAAE-4937-912E-C9281F5AF60B}">
    <text>2kW allocation reduced due to live reading of 0.6kW</text>
  </threadedComment>
  <threadedComment ref="N118" dT="2024-09-16T14:56:59.71" personId="{23875134-620F-49C7-896C-147D628FB6EA}" id="{5D781211-F22D-4285-842F-57F2E16C17EB}" parentId="{7911CC74-CAAE-4937-912E-C9281F5AF60B}">
    <text>2kW allocation reduced due to live reading of 0.6kW</text>
  </threadedComment>
  <threadedComment ref="N118" dT="2024-11-06T16:36:50.23" personId="{23875134-620F-49C7-896C-147D628FB6EA}" id="{AED1C357-2500-442D-A924-0CFB9A17BEBC}" parentId="{7911CC74-CAAE-4937-912E-C9281F5AF60B}">
    <text>2kW allocation reduced due to live reading of 0.55kW</text>
  </threadedComment>
  <threadedComment ref="P118" dT="2022-05-26T12:28:35.72" personId="{BC55F889-AFD3-4AD4-B814-0EDFA8411758}" id="{756FA753-23CD-4746-B3E2-10DEBEFD0E89}">
    <text>5kW allocation reduced due to live reading of 2.8kW</text>
  </threadedComment>
  <threadedComment ref="P118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8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8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8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8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8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8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8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8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8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P118" dT="2024-08-19T10:57:00.56" personId="{23875134-620F-49C7-896C-147D628FB6EA}" id="{9D92644C-AF7C-4307-8F25-63CF6F889C53}" parentId="{756FA753-23CD-4746-B3E2-10DEBEFD0E89}">
    <text>2.5kW allocation reduced due to live reading of 2.2kW</text>
  </threadedComment>
  <threadedComment ref="P118" dT="2024-09-16T14:43:15.22" personId="{23875134-620F-49C7-896C-147D628FB6EA}" id="{AFD0574E-AA88-473E-9FA1-0F194A92E4B2}" parentId="{756FA753-23CD-4746-B3E2-10DEBEFD0E89}">
    <text>2.5kW allocation reduced due to live reading of 2.2kW</text>
  </threadedComment>
  <threadedComment ref="P118" dT="2024-11-06T16:28:53.22" personId="{23875134-620F-49C7-896C-147D628FB6EA}" id="{27F4BE8E-8989-4D8E-AF03-D43178EF56EA}" parentId="{756FA753-23CD-4746-B3E2-10DEBEFD0E89}">
    <text>2.5kW allocation reduced due to live reading of 1.45kW</text>
  </threadedComment>
  <threadedComment ref="R118" dT="2023-01-24T11:41:41.54" personId="{BC55F889-AFD3-4AD4-B814-0EDFA8411758}" id="{F6BE0A40-9282-409C-B172-AC4D18EFAD99}">
    <text>2kW total allocation reduced due to live reading of 0.3kW</text>
  </threadedComment>
  <threadedComment ref="R118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8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8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8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8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8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8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8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8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8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R118" dT="2024-08-19T11:07:45.13" personId="{23875134-620F-49C7-896C-147D628FB6EA}" id="{CA9E2F46-C94C-4985-B621-A065EB3A578E}" parentId="{F6BE0A40-9282-409C-B172-AC4D18EFAD99}">
    <text>1kW allocation reduced due to live reading of 0.1kW</text>
  </threadedComment>
  <threadedComment ref="R118" dT="2024-09-16T15:02:21.42" personId="{23875134-620F-49C7-896C-147D628FB6EA}" id="{1C4D8DC2-1661-41B7-B81C-059BCEAFF3C4}" parentId="{F6BE0A40-9282-409C-B172-AC4D18EFAD99}">
    <text>1kW allocation reduced due to live reading of 0.1kW</text>
  </threadedComment>
  <threadedComment ref="R118" dT="2024-11-06T16:43:15.73" personId="{23875134-620F-49C7-896C-147D628FB6EA}" id="{4E08932A-06E3-4296-9AEE-5197F7A9863D}" parentId="{F6BE0A40-9282-409C-B172-AC4D18EFAD99}">
    <text>1kW allocation reduced due to live reading of 0.1kW</text>
  </threadedComment>
  <threadedComment ref="T118" dT="2023-01-24T11:41:41.54" personId="{BC55F889-AFD3-4AD4-B814-0EDFA8411758}" id="{0B4CF949-5792-4DBF-9E60-21A57D7C2D7D}">
    <text>2kW total allocation reduced due to live reading of 0.5kW</text>
  </threadedComment>
  <threadedComment ref="T118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8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8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8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8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8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8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8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8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8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T118" dT="2024-08-19T11:05:37.56" personId="{23875134-620F-49C7-896C-147D628FB6EA}" id="{CB62A229-F12B-4447-B713-11AAECCC63A6}" parentId="{0B4CF949-5792-4DBF-9E60-21A57D7C2D7D}">
    <text>1kW allocation reduced due to live reading of 0.2kW</text>
  </threadedComment>
  <threadedComment ref="T118" dT="2024-09-16T14:59:37.04" personId="{23875134-620F-49C7-896C-147D628FB6EA}" id="{83F4952E-778B-4DC1-BB83-3B0A65EF59BB}" parentId="{0B4CF949-5792-4DBF-9E60-21A57D7C2D7D}">
    <text>1kW allocation reduced due to live reading of 0.2kW</text>
  </threadedComment>
  <threadedComment ref="T118" dT="2024-11-06T16:40:19.93" personId="{23875134-620F-49C7-896C-147D628FB6EA}" id="{A6152C1B-7F42-449D-92D2-17154AF0C06F}" parentId="{0B4CF949-5792-4DBF-9E60-21A57D7C2D7D}">
    <text>1kW allocation reduced due to live reading of 0.25kW</text>
  </threadedComment>
  <threadedComment ref="V118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8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V118" dT="2024-08-19T11:13:26.60" personId="{23875134-620F-49C7-896C-147D628FB6EA}" id="{8F743957-F16C-467D-913A-976E15718841}" parentId="{320CF7C4-D357-4114-9AB9-0CF49ADEDC91}">
    <text>2kW allocation reduced due to live reading of 0.4kW</text>
  </threadedComment>
  <threadedComment ref="V118" dT="2024-09-16T15:03:46.13" personId="{23875134-620F-49C7-896C-147D628FB6EA}" id="{5E4019B9-AE1A-49DD-9C1F-DE36E52B77C3}" parentId="{320CF7C4-D357-4114-9AB9-0CF49ADEDC91}">
    <text>2kW allocation reduced due to live reading of 0.2kW</text>
  </threadedComment>
  <threadedComment ref="V118" dT="2024-11-06T16:46:26.50" personId="{23875134-620F-49C7-896C-147D628FB6EA}" id="{5CFED0CF-4F71-44C0-AE61-A029545F9FEE}" parentId="{320CF7C4-D357-4114-9AB9-0CF49ADEDC91}">
    <text>2kW allocation reduced due to live reading of 0.25kW</text>
  </threadedComment>
  <threadedComment ref="V118" dT="2024-11-21T16:58:47.58" personId="{7807B229-714C-4AA1-8F83-E7F46ACB7D83}" id="{A8E2DF40-A79C-4E3E-9BF0-DCD4E0F07019}" parentId="{320CF7C4-D357-4114-9AB9-0CF49ADEDC91}">
    <text>1.5kW allocation reduced due to live reading of 0.25kW</text>
  </threadedComment>
  <threadedComment ref="X118" dT="2023-07-10T11:38:50.09" personId="{4232887B-6F74-4501-885D-8735C5662726}" id="{024B929C-601A-454D-BDE3-C81CE03F1EEE}">
    <text>4kW allocation reduced due to live reading of 3.4kW</text>
  </threadedComment>
  <threadedComment ref="X118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8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8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8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8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8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8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8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8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X118" dT="2024-08-19T10:59:32.39" personId="{23875134-620F-49C7-896C-147D628FB6EA}" id="{2725D048-C2B8-4A2D-8EF0-C22753DF2F19}" parentId="{024B929C-601A-454D-BDE3-C81CE03F1EEE}">
    <text>4kW allocation reduced due to live reading of 3.5kW</text>
  </threadedComment>
  <threadedComment ref="X118" dT="2024-09-16T14:46:01.44" personId="{23875134-620F-49C7-896C-147D628FB6EA}" id="{99179667-2D9E-4012-9DBA-2A62B07D2C69}" parentId="{024B929C-601A-454D-BDE3-C81CE03F1EEE}">
    <text>4kW allocation reduced due to live reading of 3.5kW</text>
  </threadedComment>
  <threadedComment ref="X118" dT="2024-11-06T16:32:16.07" personId="{23875134-620F-49C7-896C-147D628FB6EA}" id="{45D9D97E-5C49-4DDF-BC38-5A6EB11AC55D}" parentId="{024B929C-601A-454D-BDE3-C81CE03F1EEE}">
    <text>4kW allocation reduced due to live reading of 3.4kW</text>
  </threadedComment>
  <threadedComment ref="Y118" dT="2023-11-07T10:34:07.97" personId="{A4663B00-DB85-420B-AE65-1E515148FDF2}" id="{D7EBAE55-905E-41EB-92D5-0FC99A7217CB}">
    <text>RLS &amp; Waveserver rack is planned under CPL removal project.</text>
  </threadedComment>
  <threadedComment ref="Y118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8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Y118" dT="2024-08-19T10:51:15.83" personId="{23875134-620F-49C7-896C-147D628FB6EA}" id="{553232A8-E2E6-4921-A53E-B29383176EA1}" parentId="{D7EBAE55-905E-41EB-92D5-0FC99A7217CB}">
    <text>2.5kW allocation reduced due to live reading of 0.5kW</text>
  </threadedComment>
  <threadedComment ref="Y118" dT="2024-09-16T14:36:32.73" personId="{23875134-620F-49C7-896C-147D628FB6EA}" id="{364CB9DA-0E59-449B-A66D-0B9B3448B958}" parentId="{D7EBAE55-905E-41EB-92D5-0FC99A7217CB}">
    <text>2.5kW allocation reduced due to live reading of 0.5kW</text>
  </threadedComment>
  <threadedComment ref="Y118" dT="2024-11-06T16:21:33.70" personId="{23875134-620F-49C7-896C-147D628FB6EA}" id="{74C34142-46D0-4006-9CF6-8C691E6F645E}" parentId="{D7EBAE55-905E-41EB-92D5-0FC99A7217CB}">
    <text>2.5kW allocation reduced due to live reading of 0.45kW</text>
  </threadedComment>
  <threadedComment ref="AA118" dT="2023-11-14T13:19:55.51" personId="{A4663B00-DB85-420B-AE65-1E515148FDF2}" id="{5694752F-3F78-431E-8BDE-85FF814714E2}">
    <text>WAVESERVER 5 Rack is planned- ORMT_SAP_231110_8_w014433</text>
  </threadedComment>
  <threadedComment ref="AA118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8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AA118" dT="2024-08-19T10:54:35.51" personId="{23875134-620F-49C7-896C-147D628FB6EA}" id="{91EBA966-91DD-4779-AD9C-1CFAD41ED641}" parentId="{5694752F-3F78-431E-8BDE-85FF814714E2}">
    <text>2.5kW allocation reduced due to live reading of 0.3kW</text>
  </threadedComment>
  <threadedComment ref="AA118" dT="2024-09-16T14:40:40.05" personId="{23875134-620F-49C7-896C-147D628FB6EA}" id="{B5E7A2F5-D64E-4854-A106-65A066431828}" parentId="{5694752F-3F78-431E-8BDE-85FF814714E2}">
    <text>2.5kW allocation reduced due to live reading of 0.3kW</text>
  </threadedComment>
  <threadedComment ref="AA118" dT="2024-11-06T16:25:46.24" personId="{23875134-620F-49C7-896C-147D628FB6EA}" id="{A239C5C5-0072-4037-BB6B-B5BE222DC0AA}" parentId="{5694752F-3F78-431E-8BDE-85FF814714E2}">
    <text>2.5kW allocation reduced due to live reading of 0.3kW</text>
  </threadedComment>
  <threadedComment ref="J119" personId="{31CF382B-C4A6-482E-AE04-28CACDB6A63A}" id="{D41A921C-CB2E-48D5-97C6-E6592EE4A2F4}">
    <text>8kW total allocation reduced due to live reading of 6.5kW</text>
  </threadedComment>
  <threadedComment ref="L119" dT="2022-05-26T12:27:12.76" personId="{BC55F889-AFD3-4AD4-B814-0EDFA8411758}" id="{2AD6C1EE-F498-4F28-9980-783E54A7B021}">
    <text>4kW allocation reduced due to live reading of 1kW</text>
  </threadedComment>
  <threadedComment ref="L119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19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19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19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19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19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19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19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19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19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L119" dT="2024-08-19T11:02:00.17" personId="{23875134-620F-49C7-896C-147D628FB6EA}" id="{84F96A5C-A926-4EF5-9670-9A6451527B45}" parentId="{2AD6C1EE-F498-4F28-9980-783E54A7B021}">
    <text>2kW allocation reduced due to live reading of 0.8kW</text>
  </threadedComment>
  <threadedComment ref="L119" dT="2024-09-16T14:54:11.52" personId="{23875134-620F-49C7-896C-147D628FB6EA}" id="{97A2BF92-C5B7-4575-A81C-1EA072D50819}" parentId="{2AD6C1EE-F498-4F28-9980-783E54A7B021}">
    <text>2kW allocation reduced due to live reading of 0.8kW</text>
  </threadedComment>
  <threadedComment ref="L119" dT="2024-11-06T16:35:13.54" personId="{23875134-620F-49C7-896C-147D628FB6EA}" id="{6E69F4AB-1192-4E39-8AB9-0C5454E17AD6}" parentId="{2AD6C1EE-F498-4F28-9980-783E54A7B021}">
    <text>2kW allocation reduced due to live reading of 0.9kW</text>
  </threadedComment>
  <threadedComment ref="N119" dT="2022-05-26T12:27:12.76" personId="{BC55F889-AFD3-4AD4-B814-0EDFA8411758}" id="{312CC317-34FF-4066-9910-E00D3B0F267A}">
    <text>4kW allocation reduced due to live reading of 1kW</text>
  </threadedComment>
  <threadedComment ref="N119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19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19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19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19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19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19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19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19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19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N119" dT="2024-08-19T11:04:08.84" personId="{23875134-620F-49C7-896C-147D628FB6EA}" id="{6F3BA764-8F0F-4017-9B20-AEA665FC7FD1}" parentId="{312CC317-34FF-4066-9910-E00D3B0F267A}">
    <text>2kW allocation reduced due to live reading of 0.5kW</text>
  </threadedComment>
  <threadedComment ref="N119" dT="2024-09-16T14:57:15.46" personId="{23875134-620F-49C7-896C-147D628FB6EA}" id="{FDE84077-999E-41B0-A122-1BB09BAD8502}" parentId="{312CC317-34FF-4066-9910-E00D3B0F267A}">
    <text>2kW allocation reduced due to live reading of 0.5kW</text>
  </threadedComment>
  <threadedComment ref="N119" dT="2024-11-06T16:37:04.81" personId="{23875134-620F-49C7-896C-147D628FB6EA}" id="{4180FC4D-8E61-473E-90B0-0B7A209C1294}" parentId="{312CC317-34FF-4066-9910-E00D3B0F267A}">
    <text>2kW allocation reduced due to live reading of 0.55kW</text>
  </threadedComment>
  <threadedComment ref="P119" dT="2022-05-26T12:28:35.72" personId="{BC55F889-AFD3-4AD4-B814-0EDFA8411758}" id="{2FE6997F-C3DE-46EF-831E-E668F19AE1C3}">
    <text>5kW allocation reduced due to live reading of 2.8kW</text>
  </threadedComment>
  <threadedComment ref="P119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19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19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19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19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19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19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19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19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19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P119" dT="2024-08-19T10:57:33.23" personId="{23875134-620F-49C7-896C-147D628FB6EA}" id="{2DEADB7D-82FB-4447-9C25-52DCA37AE65F}" parentId="{2FE6997F-C3DE-46EF-831E-E668F19AE1C3}">
    <text>2.5kW allocation reduced due to live reading of 0.7kW</text>
  </threadedComment>
  <threadedComment ref="P119" dT="2024-09-16T14:43:28.88" personId="{23875134-620F-49C7-896C-147D628FB6EA}" id="{93CC3E6D-9EF9-4679-BA70-1152FEF6600C}" parentId="{2FE6997F-C3DE-46EF-831E-E668F19AE1C3}">
    <text>2.5kW allocation reduced due to live reading of 0.7kW</text>
  </threadedComment>
  <threadedComment ref="P119" dT="2024-11-06T16:29:15.01" personId="{23875134-620F-49C7-896C-147D628FB6EA}" id="{8335B7E5-BBBF-4E27-AE88-8CF5B4406C66}" parentId="{2FE6997F-C3DE-46EF-831E-E668F19AE1C3}">
    <text>2.5kW allocation reduced due to live reading of 1.45kW</text>
  </threadedComment>
  <threadedComment ref="R119" dT="2023-01-24T11:41:41.54" personId="{BC55F889-AFD3-4AD4-B814-0EDFA8411758}" id="{7A695C9E-E9D4-439F-802B-7337527C2CA2}">
    <text>2kW total allocation reduced due to live reading of 0.3kW</text>
  </threadedComment>
  <threadedComment ref="R119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19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19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19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19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19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19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19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19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19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R119" dT="2024-08-19T11:07:51.88" personId="{23875134-620F-49C7-896C-147D628FB6EA}" id="{AB54A528-7292-4047-BA21-03590E0C0B3D}" parentId="{7A695C9E-E9D4-439F-802B-7337527C2CA2}">
    <text>1kW allocation reduced due to live reading of 0.1kW</text>
  </threadedComment>
  <threadedComment ref="R119" dT="2024-09-16T15:02:30.14" personId="{23875134-620F-49C7-896C-147D628FB6EA}" id="{56EE2C03-3FB0-49C9-91BF-7BB3F88C3E3F}" parentId="{7A695C9E-E9D4-439F-802B-7337527C2CA2}">
    <text>1kW allocation reduced due to live reading of 0.1kW</text>
  </threadedComment>
  <threadedComment ref="R119" dT="2024-11-06T16:43:21.73" personId="{23875134-620F-49C7-896C-147D628FB6EA}" id="{0D3637F6-8021-4E8A-9B72-0C74B0CB2A8D}" parentId="{7A695C9E-E9D4-439F-802B-7337527C2CA2}">
    <text>1kW allocation reduced due to live reading of 0.1kW</text>
  </threadedComment>
  <threadedComment ref="T119" dT="2023-01-24T11:41:41.54" personId="{BC55F889-AFD3-4AD4-B814-0EDFA8411758}" id="{46F0F661-5509-47C0-9465-3C2F95B126F8}">
    <text>2kW total allocation reduced due to live reading of 0.5kW</text>
  </threadedComment>
  <threadedComment ref="T119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19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19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19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19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19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19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19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19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19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T119" dT="2024-08-19T11:05:46.64" personId="{23875134-620F-49C7-896C-147D628FB6EA}" id="{143B657C-BE00-401E-90B1-CB44F6B7C347}" parentId="{46F0F661-5509-47C0-9465-3C2F95B126F8}">
    <text>1kW allocation reduced due to live reading of 0.3kW</text>
  </threadedComment>
  <threadedComment ref="T119" dT="2024-09-16T15:00:15.59" personId="{23875134-620F-49C7-896C-147D628FB6EA}" id="{87FA96F8-5B03-4436-9B32-E3ACA3895477}" parentId="{46F0F661-5509-47C0-9465-3C2F95B126F8}">
    <text>1kW allocation reduced due to live reading of 0.2kW</text>
  </threadedComment>
  <threadedComment ref="T119" dT="2024-11-06T16:40:30.05" personId="{23875134-620F-49C7-896C-147D628FB6EA}" id="{79426241-21C2-417F-A176-47CEAD7E34E0}" parentId="{46F0F661-5509-47C0-9465-3C2F95B126F8}">
    <text>1kW allocation reduced due to live reading of 0.25kW</text>
  </threadedComment>
  <threadedComment ref="V119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19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V119" dT="2024-08-19T11:13:35.06" personId="{23875134-620F-49C7-896C-147D628FB6EA}" id="{04AFC115-9835-4BE4-BE8D-FD116FB31060}" parentId="{64464F24-9931-4AF5-A2FE-07FE7AEBDE20}">
    <text>2kW allocation reduced due to live reading of 0.1kW</text>
  </threadedComment>
  <threadedComment ref="V119" dT="2024-11-06T16:46:38.25" personId="{23875134-620F-49C7-896C-147D628FB6EA}" id="{70413756-E463-470F-9684-26933629AB44}" parentId="{64464F24-9931-4AF5-A2FE-07FE7AEBDE20}">
    <text>2kW allocation reduced due to live reading of 0.25kW</text>
  </threadedComment>
  <threadedComment ref="V119" dT="2024-11-21T16:59:16.05" personId="{7807B229-714C-4AA1-8F83-E7F46ACB7D83}" id="{FB236FD7-DFD2-4299-87EE-C53E8D13CB23}" parentId="{64464F24-9931-4AF5-A2FE-07FE7AEBDE20}">
    <text>1.5kW allocation reduced due to live reading of 0.25kW</text>
  </threadedComment>
  <threadedComment ref="X119" dT="2023-07-10T11:39:21.01" personId="{4232887B-6F74-4501-885D-8735C5662726}" id="{0235380F-B14B-4A7A-940A-6418069871DA}">
    <text>4kW allocation reduced due to live reading of 3.2kW</text>
  </threadedComment>
  <threadedComment ref="X119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19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19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19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19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19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19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19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19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X119" dT="2024-08-19T10:59:58.15" personId="{23875134-620F-49C7-896C-147D628FB6EA}" id="{55D5EFD2-2D49-43D2-9C53-AF027777AB1C}" parentId="{0235380F-B14B-4A7A-940A-6418069871DA}">
    <text>4kW allocation reduced due to live reading of 3.3kW</text>
  </threadedComment>
  <threadedComment ref="X119" dT="2024-09-16T14:46:11.71" personId="{23875134-620F-49C7-896C-147D628FB6EA}" id="{1E92FD0F-FAFF-485A-9B99-25ABE0568E35}" parentId="{0235380F-B14B-4A7A-940A-6418069871DA}">
    <text>4kW allocation reduced due to live reading of 3.3kW</text>
  </threadedComment>
  <threadedComment ref="X119" dT="2024-11-06T16:32:22.25" personId="{23875134-620F-49C7-896C-147D628FB6EA}" id="{79D8173A-9F9D-4281-9C9B-3DE4D50212D7}" parentId="{0235380F-B14B-4A7A-940A-6418069871DA}">
    <text>4kW allocation reduced due to live reading of 3.4kW</text>
  </threadedComment>
  <threadedComment ref="Y119" dT="2023-11-07T10:34:14.06" personId="{A4663B00-DB85-420B-AE65-1E515148FDF2}" id="{A3C6AFD1-134A-49A1-A9AA-24E36E2C6E91}">
    <text>RLS &amp; Waveserver rack is planned under CPL removal project.</text>
  </threadedComment>
  <threadedComment ref="Y119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19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Y119" dT="2024-08-19T10:51:46.00" personId="{23875134-620F-49C7-896C-147D628FB6EA}" id="{7BB4BCE1-CFD9-47ED-974E-2A1F16372421}" parentId="{A3C6AFD1-134A-49A1-A9AA-24E36E2C6E91}">
    <text>2.5kW allocation reduced due to live reading of 0.4kW</text>
  </threadedComment>
  <threadedComment ref="Y119" dT="2024-09-16T14:36:56.62" personId="{23875134-620F-49C7-896C-147D628FB6EA}" id="{067C434F-C7D9-4863-807A-42C9503D47F6}" parentId="{A3C6AFD1-134A-49A1-A9AA-24E36E2C6E91}">
    <text>2.5kW allocation reduced due to live reading of 0.4kW</text>
  </threadedComment>
  <threadedComment ref="Y119" dT="2024-11-06T16:21:48.56" personId="{23875134-620F-49C7-896C-147D628FB6EA}" id="{C6335440-D734-4873-A2A1-366D9A214EA5}" parentId="{A3C6AFD1-134A-49A1-A9AA-24E36E2C6E91}">
    <text>2.5kW allocation reduced due to live reading of 0.45kW</text>
  </threadedComment>
  <threadedComment ref="AA119" dT="2023-11-14T13:19:55.51" personId="{A4663B00-DB85-420B-AE65-1E515148FDF2}" id="{07D603F3-7145-442F-9DB8-F3FAAB6D2F2E}">
    <text>WAVESERVER 5 Rack is planned- ORMT_SAP_231110_8_w014433</text>
  </threadedComment>
  <threadedComment ref="AA119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19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AA119" dT="2024-08-19T10:54:51.15" personId="{23875134-620F-49C7-896C-147D628FB6EA}" id="{C46B797F-F370-440E-965F-DD5ACC229C73}" parentId="{07D603F3-7145-442F-9DB8-F3FAAB6D2F2E}">
    <text>2.5kW allocation reduced due to live reading of 0.3kW</text>
  </threadedComment>
  <threadedComment ref="AA119" dT="2024-09-16T14:40:47.41" personId="{23875134-620F-49C7-896C-147D628FB6EA}" id="{0CF64D29-15E6-4871-8275-FEBA7862F4FC}" parentId="{07D603F3-7145-442F-9DB8-F3FAAB6D2F2E}">
    <text>2.5kW allocation reduced due to live reading of 0.3kW</text>
  </threadedComment>
  <threadedComment ref="AA119" dT="2024-11-06T16:25:50.88" personId="{23875134-620F-49C7-896C-147D628FB6EA}" id="{5D7A24A8-BE3D-4264-B56A-1DD683EF145A}" parentId="{07D603F3-7145-442F-9DB8-F3FAAB6D2F2E}">
    <text>2.5kW allocation reduced due to live reading of 0.3kW</text>
  </threadedComment>
  <threadedComment ref="J120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2" dT="2022-02-07T10:41:05.54" personId="{BC462CC0-A6C1-4CC6-998C-DC5B13C070BC}" id="{5BEB131F-6B38-430D-8D85-59F5D4EF5FBF}">
    <text>awaiting floorplan update</text>
  </threadedComment>
  <threadedComment ref="K122" dT="2024-05-07T10:58:33.70" personId="{1E6DD3F2-E860-47E0-8C0E-4DFC2954E528}" id="{047FE20D-275E-49A2-933F-938D41279C15}">
    <text>A06 - Power upgrade for 40 amps ( 2.2Kw )under ORMT_SAP_240326_7_Y854539 </text>
  </threadedComment>
  <threadedComment ref="J128" dT="2022-03-21T10:29:00.55" personId="{ABF5BCE6-B512-42E2-8B64-A070C9ED38DE}" id="{AD36B12E-59F6-4B4E-8FFC-A8F0B42A9BC4}">
    <text>reduced from 5kW to 3kW estimated usage</text>
  </threadedComment>
  <threadedComment ref="J128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8" dT="2023-12-18T15:30:03.68" personId="{A4663B00-DB85-420B-AE65-1E515148FDF2}" id="{51473AB1-E95B-4526-9914-3D8DEDBDBCB9}">
    <text>Additional BT EAD[KA7] 0.5 kw into existing cab C03-ORMT_SAP_231218_9_Y861526</text>
  </threadedComment>
  <threadedComment ref="Q128" dT="2024-08-12T12:15:43.28" personId="{23875134-620F-49C7-896C-147D628FB6EA}" id="{6CDE8285-C462-4230-8892-D9B8E42C749B}">
    <text>ORMT_SAP_240517_1_11255170 is planned for Nokia 7750 SR2s_JK6</text>
  </threadedComment>
  <threadedComment ref="J130" dT="2022-03-21T10:16:04.89" personId="{ABF5BCE6-B512-42E2-8B64-A070C9ED38DE}" id="{30645FD8-6203-481F-A18B-989402619994}">
    <text>reduced from 5kw to 3kW estimated usage</text>
  </threadedComment>
  <threadedComment ref="J130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1" dT="2022-02-15T11:28:56.31" personId="{BA2F53B7-A3C1-42BC-BA3B-8FB69390D064}" id="{12509181-F116-408B-9623-D3B83DFEB41A}">
    <text>Estimated 2kW reduction as box now in service. Reduced from 5kW to 3kW</text>
  </threadedComment>
  <threadedComment ref="J131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3" dT="2023-08-15T10:20:43.96" personId="{38472A79-BA69-4DE1-8653-78C711836CC1}" id="{9CA6CCFB-28BC-447D-BD6A-824D2015E259}">
    <text>Reduced from 5 to 3kW estimated (confirmed by Rich)</text>
  </threadedComment>
  <threadedComment ref="J133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3" dT="2023-08-15T10:22:00.50" personId="{38472A79-BA69-4DE1-8653-78C711836CC1}" id="{0EFFB4B3-7B64-4149-BD65-4414DA5EDEC0}">
    <text>Reduced from 4.5 to 2kW estimated (confirmed by Rich)</text>
  </threadedComment>
  <threadedComment ref="J135" dT="2022-03-18T12:13:33.89" personId="{ABF5BCE6-B512-42E2-8B64-A070C9ED38DE}" id="{D3BA70A4-1E04-4D73-8D98-A2E89BE035DA}">
    <text>reduced from 5kW to 3kW estimated</text>
  </threadedComment>
  <threadedComment ref="J135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5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8" dT="2024-06-07T14:37:10.29" personId="{4232887B-6F74-4501-885D-8735C5662726}" id="{E66D12DF-16E3-42A9-8243-95C71073B5E0}">
    <text>Additional power has been added under ORMT_SAP_240508_11_Y854105 </text>
  </threadedComment>
  <threadedComment ref="J139" dT="2022-05-26T12:03:30.11" personId="{BC55F889-AFD3-4AD4-B814-0EDFA8411758}" id="{7727DB60-8375-41A0-B032-52C6B2246BCC}">
    <text>5kW allocation reduced due to live reading of 2.5kW</text>
  </threadedComment>
  <threadedComment ref="J139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39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39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39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39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39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39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39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39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39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J139" dT="2024-08-19T16:28:59.26" personId="{23875134-620F-49C7-896C-147D628FB6EA}" id="{4256C2A3-0F4C-42E9-B121-C71108B42F64}" parentId="{7727DB60-8375-41A0-B032-52C6B2246BCC}">
    <text>5kW allocation reduced due to live reading of 4.0kW</text>
  </threadedComment>
  <threadedComment ref="J139" dT="2024-09-16T14:22:44.50" personId="{23875134-620F-49C7-896C-147D628FB6EA}" id="{4AF0C47D-55FC-46C3-AC97-552E3979CFB1}" parentId="{7727DB60-8375-41A0-B032-52C6B2246BCC}">
    <text>5kW allocation reduced due to live reading of 4.0kW</text>
  </threadedComment>
  <threadedComment ref="J139" dT="2024-10-14T14:00:14.31" personId="{23875134-620F-49C7-896C-147D628FB6EA}" id="{5839A944-B77D-47EC-9826-E3F17A2130C3}" parentId="{7727DB60-8375-41A0-B032-52C6B2246BCC}">
    <text>5kW allocation reduced due to live reading of 3.9kW</text>
  </threadedComment>
  <threadedComment ref="J139" dT="2024-11-06T17:06:03.74" personId="{23875134-620F-49C7-896C-147D628FB6EA}" id="{F1EFD620-5A49-4D0F-B1E6-9CCA6BB051D2}" parentId="{7727DB60-8375-41A0-B032-52C6B2246BCC}">
    <text>5kW allocation reduced due to live reading of 3.9kW</text>
  </threadedComment>
  <threadedComment ref="J139" dT="2024-12-12T16:14:32.84" personId="{23875134-620F-49C7-896C-147D628FB6EA}" id="{671E75E7-BE73-476C-BACD-15C0DA1AF666}" parentId="{7727DB60-8375-41A0-B032-52C6B2246BCC}">
    <text>5kW allocation reduced due to live reading of 3.9kW</text>
  </threadedComment>
  <threadedComment ref="L139" dT="2024-02-14T13:28:59.72" personId="{F6E7EC2D-8E6E-4BA1-BCDD-6D7FECF08119}" id="{4DFCD2A9-0605-42B1-BF8A-E71E39B4E62C}">
    <text>5kW allocation reduced due to live reading of 1kW</text>
  </threadedComment>
  <threadedComment ref="L139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O139" dT="2024-11-19T16:48:52.72" personId="{23875134-620F-49C7-896C-147D628FB6EA}" id="{7758C971-B3DD-41AC-9C00-7F528257CA73}">
    <text xml:space="preserve">ORMT_SAP_240904_13_W859570 under this ORMT we have allocated the 2KW </text>
  </threadedComment>
  <threadedComment ref="U139" dT="2024-08-14T14:54:26.47" personId="{23875134-620F-49C7-896C-147D628FB6EA}" id="{13FA675A-7E0F-4A17-BE63-093EC3A86618}">
    <text>ORMT_SAP_240517_1_11255170 ia planned for Nokia 7750 SR2s</text>
  </threadedComment>
  <threadedComment ref="J142" personId="{31CF382B-C4A6-482E-AE04-28CACDB6A63A}" id="{A1B60126-11E2-46B1-8A29-E6C018275447}">
    <text>Jul-21 Was 5kW but confirmed currently running at 3.5kW</text>
  </threadedComment>
  <threadedComment ref="J142" dT="2023-07-10T18:08:10.33" personId="{4232887B-6F74-4501-885D-8735C5662726}" id="{2078D08A-899D-4C78-9251-44B05D6F8A0F}" parentId="{A1B60126-11E2-46B1-8A29-E6C018275447}">
    <text xml:space="preserve">2.5kW allocation reduced due to live reading of 0.9kW
</text>
  </threadedComment>
  <threadedComment ref="J142" dT="2023-08-03T11:34:49.34" personId="{4232887B-6F74-4501-885D-8735C5662726}" id="{904CE897-ED20-4D27-987B-D0B0750436EB}" parentId="{A1B60126-11E2-46B1-8A29-E6C018275447}">
    <text>2.5kW allocation reduced due to live reading of 1kW</text>
  </threadedComment>
  <threadedComment ref="J142" dT="2023-09-13T09:54:04.04" personId="{4232887B-6F74-4501-885D-8735C5662726}" id="{4B889144-FC41-4096-8215-F8CE99A3B7D4}" parentId="{A1B60126-11E2-46B1-8A29-E6C018275447}">
    <text>2.5kW allocation reduced due to live reading of 1.2kW</text>
  </threadedComment>
  <threadedComment ref="J142" dT="2023-10-23T10:26:03.66" personId="{F6E7EC2D-8E6E-4BA1-BCDD-6D7FECF08119}" id="{5AC40FEE-6FFC-4E1A-A7A2-E432651FBC81}" parentId="{A1B60126-11E2-46B1-8A29-E6C018275447}">
    <text>2.5kW allocation reduced due to live reading of 0.5kW</text>
  </threadedComment>
  <threadedComment ref="J142" dT="2023-11-22T10:07:50.28" personId="{4232887B-6F74-4501-885D-8735C5662726}" id="{85AC12AE-E216-4052-BB7C-7EC54EBA6C62}" parentId="{A1B60126-11E2-46B1-8A29-E6C018275447}">
    <text>2.5kW allocation reduced due to live reading of 0.3kW</text>
  </threadedComment>
  <threadedComment ref="J142" dT="2023-12-18T13:24:05.34" personId="{F6E7EC2D-8E6E-4BA1-BCDD-6D7FECF08119}" id="{0974D65F-091D-4E73-9768-71EA51248AAE}" parentId="{A1B60126-11E2-46B1-8A29-E6C018275447}">
    <text>2.5kW allocation reduced due to live reading of 0.3kW</text>
  </threadedComment>
  <threadedComment ref="J142" dT="2024-01-10T13:21:10.06" personId="{F6E7EC2D-8E6E-4BA1-BCDD-6D7FECF08119}" id="{EFA33E72-3151-4068-B3D5-7405AF9489DE}" parentId="{A1B60126-11E2-46B1-8A29-E6C018275447}">
    <text>2.5kW allocation reduced due to live reading of 0.3kW</text>
  </threadedComment>
  <threadedComment ref="J142" dT="2024-02-14T13:33:46.39" personId="{F6E7EC2D-8E6E-4BA1-BCDD-6D7FECF08119}" id="{276AC786-AD40-4695-BE24-BC627C1D81FE}" parentId="{A1B60126-11E2-46B1-8A29-E6C018275447}">
    <text>2.5kW allocation reduced due to live reading of 0.1kW</text>
  </threadedComment>
  <threadedComment ref="J142" dT="2024-03-14T07:25:53.65" personId="{F6E7EC2D-8E6E-4BA1-BCDD-6D7FECF08119}" id="{B3D589F3-884D-4671-B759-C1887A530219}" parentId="{A1B60126-11E2-46B1-8A29-E6C018275447}">
    <text>2.5kW allocation reduced due to live reading of 0.4kW</text>
  </threadedComment>
  <threadedComment ref="J142" dT="2024-10-30T16:05:53.76" personId="{23875134-620F-49C7-896C-147D628FB6EA}" id="{772F0BEC-6A02-4412-8E0D-8B14D16D971D}" parentId="{A1B60126-11E2-46B1-8A29-E6C018275447}">
    <text>2.5kW allocation reduced due to live reading of 0.3kW</text>
  </threadedComment>
  <threadedComment ref="J142" dT="2024-11-05T13:06:10.07" personId="{23875134-620F-49C7-896C-147D628FB6EA}" id="{334E4101-9EB7-42CB-8D91-E96439508E6F}" parentId="{A1B60126-11E2-46B1-8A29-E6C018275447}">
    <text>2.5kW allocation reduced due to live reading of 1.5kW</text>
  </threadedComment>
  <threadedComment ref="L142" personId="{31CF382B-C4A6-482E-AE04-28CACDB6A63A}" id="{2519FDBC-DEF0-4DDD-A987-9C019E9F9A39}">
    <text>Jul-21 Was 8kW, confirmed currently running at 6kW</text>
  </threadedComment>
  <threadedComment ref="L142" dT="2023-07-10T18:12:54.86" personId="{4232887B-6F74-4501-885D-8735C5662726}" id="{126836EB-A5E8-45E9-BEC6-F7C691BE246F}" parentId="{2519FDBC-DEF0-4DDD-A987-9C019E9F9A39}">
    <text>4kW allocation reduced due to live reading of 3.4kW</text>
  </threadedComment>
  <threadedComment ref="L142" dT="2023-08-03T11:37:00.70" personId="{4232887B-6F74-4501-885D-8735C5662726}" id="{DA07B768-A6F8-419D-B8BD-FE2EAF245C70}" parentId="{2519FDBC-DEF0-4DDD-A987-9C019E9F9A39}">
    <text>4kW allocation reduced due to live reading of 3.5kW</text>
  </threadedComment>
  <threadedComment ref="L142" dT="2023-10-23T10:47:01.52" personId="{F6E7EC2D-8E6E-4BA1-BCDD-6D7FECF08119}" id="{7E9E0BCE-8E09-49C0-8F54-AC57C1A1763E}" parentId="{2519FDBC-DEF0-4DDD-A987-9C019E9F9A39}">
    <text>4kW allocation reduced due to live reading of 3.6kW</text>
  </threadedComment>
  <threadedComment ref="L142" dT="2023-11-22T10:10:32.48" personId="{4232887B-6F74-4501-885D-8735C5662726}" id="{903197DF-E4FB-4566-877B-AFF8195BED24}" parentId="{2519FDBC-DEF0-4DDD-A987-9C019E9F9A39}">
    <text>4kW allocation reduced due to live reading of 3.5kW</text>
  </threadedComment>
  <threadedComment ref="L142" dT="2023-12-18T13:34:24.80" personId="{F6E7EC2D-8E6E-4BA1-BCDD-6D7FECF08119}" id="{E9E96550-505C-41CC-9952-DD80A9411D76}" parentId="{2519FDBC-DEF0-4DDD-A987-9C019E9F9A39}">
    <text>4kW allocation reduced due to live reading of 3.5kW</text>
  </threadedComment>
  <threadedComment ref="L142" dT="2024-01-10T13:22:04.20" personId="{F6E7EC2D-8E6E-4BA1-BCDD-6D7FECF08119}" id="{EB69C121-9DB1-4F06-B99C-66E9C357FBA7}" parentId="{2519FDBC-DEF0-4DDD-A987-9C019E9F9A39}">
    <text>4kW allocation reduced due to live reading of 3.6kW</text>
  </threadedComment>
  <threadedComment ref="L142" dT="2024-02-14T13:35:12.96" personId="{F6E7EC2D-8E6E-4BA1-BCDD-6D7FECF08119}" id="{A12CA5EC-295A-4572-A689-5C61E64ABF4F}" parentId="{2519FDBC-DEF0-4DDD-A987-9C019E9F9A39}">
    <text>4kW allocation reduced due to live reading of 3.6kW</text>
  </threadedComment>
  <threadedComment ref="L142" dT="2024-03-14T07:27:28.06" personId="{F6E7EC2D-8E6E-4BA1-BCDD-6D7FECF08119}" id="{BB5D98B6-C860-421B-A149-5AE1F87F98EC}" parentId="{2519FDBC-DEF0-4DDD-A987-9C019E9F9A39}">
    <text>4kW allocation reduced due to live reading of 3.6kW</text>
  </threadedComment>
  <threadedComment ref="L142" dT="2024-05-17T08:39:11.59" personId="{23875134-620F-49C7-896C-147D628FB6EA}" id="{3755E222-3E8E-4BE7-9026-FBC9DC809D40}" parentId="{2519FDBC-DEF0-4DDD-A987-9C019E9F9A39}">
    <text>4kW allocation reduced due to live reading of 3.6kW</text>
  </threadedComment>
  <threadedComment ref="L142" dT="2024-08-20T08:43:09.57" personId="{23875134-620F-49C7-896C-147D628FB6EA}" id="{A8A8B183-62D9-4500-9AD2-1565A0D893C1}" parentId="{2519FDBC-DEF0-4DDD-A987-9C019E9F9A39}">
    <text>4kW allocation reduced due to live reading of 3.5kW</text>
  </threadedComment>
  <threadedComment ref="L142" dT="2024-09-10T13:01:57.45" personId="{23875134-620F-49C7-896C-147D628FB6EA}" id="{23A135DB-E805-442F-86E8-329C47CEC42D}" parentId="{2519FDBC-DEF0-4DDD-A987-9C019E9F9A39}">
    <text>4kW allocation reduced due to live reading of 3.5kW</text>
  </threadedComment>
  <threadedComment ref="L142" dT="2024-10-30T16:03:09.12" personId="{23875134-620F-49C7-896C-147D628FB6EA}" id="{846E5593-C339-466A-AB0B-C1CB19AD30BF}" parentId="{2519FDBC-DEF0-4DDD-A987-9C019E9F9A39}">
    <text>4kW allocation reduced due to live reading of 3.5kW</text>
  </threadedComment>
  <threadedComment ref="L142" dT="2024-11-05T14:07:09.65" personId="{23875134-620F-49C7-896C-147D628FB6EA}" id="{398DCA8C-A6A4-4209-8781-E9FC91287C42}" parentId="{2519FDBC-DEF0-4DDD-A987-9C019E9F9A39}">
    <text>4kW allocation reduced due to live reading of 3.75kW</text>
  </threadedComment>
  <threadedComment ref="N142" dT="2023-01-12T14:41:09.76" personId="{BC55F889-AFD3-4AD4-B814-0EDFA8411758}" id="{E20022F0-85A2-47FF-8FFF-4E872759FBF6}">
    <text>Live reading 67A, so 16kW allocation reduced by 3.7kW</text>
  </threadedComment>
  <threadedComment ref="N142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2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2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2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2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2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2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2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2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2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N142" dT="2024-08-20T08:21:08.57" personId="{23875134-620F-49C7-896C-147D628FB6EA}" id="{F04B3E9D-514A-4871-ABBE-EB7C12AE91E7}" parentId="{E20022F0-85A2-47FF-8FFF-4E872759FBF6}">
    <text>4kW allocation reduced due to live reading of 3.3kW</text>
  </threadedComment>
  <threadedComment ref="N142" dT="2024-09-10T12:55:21.84" personId="{23875134-620F-49C7-896C-147D628FB6EA}" id="{E017BBFB-0C1E-4412-99D5-FDC328B4D1AA}" parentId="{E20022F0-85A2-47FF-8FFF-4E872759FBF6}">
    <text>4kW allocation reduced due to live reading of 3.3kW</text>
  </threadedComment>
  <threadedComment ref="N142" dT="2024-10-30T15:55:21.78" personId="{23875134-620F-49C7-896C-147D628FB6EA}" id="{3A72C287-9EF1-4688-851B-B81558E0C90A}" parentId="{E20022F0-85A2-47FF-8FFF-4E872759FBF6}">
    <text>4kW allocation reduced due to live reading of 3.3kW</text>
  </threadedComment>
  <threadedComment ref="N142" dT="2024-11-05T13:09:04.88" personId="{23875134-620F-49C7-896C-147D628FB6EA}" id="{9523F572-798C-47CC-96A3-738AA43B3C81}" parentId="{E20022F0-85A2-47FF-8FFF-4E872759FBF6}">
    <text>8kW allocation reduced due to live reading of 2.95kW</text>
  </threadedComment>
  <threadedComment ref="S142" dT="2021-12-03T12:43:43.09" personId="{7807B229-714C-4AA1-8F83-E7F46ACB7D83}" id="{2B9D746C-4AF9-4178-B288-7DAFFE59C797}">
    <text>ORMT_SAP_211015_16_11135118</text>
  </threadedComment>
  <threadedComment ref="V142" dT="2022-01-28T13:38:53.59" personId="{ABF5BCE6-B512-42E2-8B64-A070C9ED38DE}" id="{EAC96642-6471-4529-B087-731946B27B4D}">
    <text>John Womersley. Provisional allocation for end of life</text>
  </threadedComment>
  <threadedComment ref="V142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2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2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2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2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2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2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2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2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V142" dT="2024-08-20T08:55:27.82" personId="{23875134-620F-49C7-896C-147D628FB6EA}" id="{842DC8CF-5820-44AF-9E96-91256B74B8AF}" parentId="{EAC96642-6471-4529-B087-731946B27B4D}">
    <text>2.1kW allocation reduced due to live reading of 0.3kW</text>
  </threadedComment>
  <threadedComment ref="V142" dT="2024-09-10T13:13:18.26" personId="{23875134-620F-49C7-896C-147D628FB6EA}" id="{C9373DD4-F1B3-44EF-8543-B4F4D5CF35F8}" parentId="{EAC96642-6471-4529-B087-731946B27B4D}">
    <text>2.1kW allocation reduced due to live reading of 0.3kW</text>
  </threadedComment>
  <threadedComment ref="V142" dT="2024-11-05T13:46:08.56" personId="{23875134-620F-49C7-896C-147D628FB6EA}" id="{C7FA361E-72FC-4157-93F4-8D1D5D1F1A53}" parentId="{EAC96642-6471-4529-B087-731946B27B4D}">
    <text>2.1kW allocation reduced due to live reading of 0.3kW</text>
  </threadedComment>
  <threadedComment ref="X142" dT="2024-08-20T08:27:25.56" personId="{23875134-620F-49C7-896C-147D628FB6EA}" id="{2F304EBF-8130-4666-A22E-4EF5AC572A51}">
    <text>0.5kW allocation reduced due to live reading of 0.2kW</text>
  </threadedComment>
  <threadedComment ref="X142" dT="2024-09-10T12:58:46.29" personId="{23875134-620F-49C7-896C-147D628FB6EA}" id="{9EEB2152-0057-422D-AE5B-1B6EFFF00E90}" parentId="{2F304EBF-8130-4666-A22E-4EF5AC572A51}">
    <text>0.5kW allocation reduced due to live reading of 0.2kW</text>
  </threadedComment>
  <threadedComment ref="X142" dT="2024-10-30T16:13:03.98" personId="{23875134-620F-49C7-896C-147D628FB6EA}" id="{BF0D843E-B16D-47EB-BE0D-00D0B4734AB4}" parentId="{2F304EBF-8130-4666-A22E-4EF5AC572A51}">
    <text>0.5kW allocation reduced due to live reading of 0.2kW</text>
  </threadedComment>
  <threadedComment ref="X142" dT="2024-11-05T13:31:32.69" personId="{23875134-620F-49C7-896C-147D628FB6EA}" id="{18B2BB93-D114-4747-8CA7-355D73E2D4E0}" parentId="{2F304EBF-8130-4666-A22E-4EF5AC572A51}">
    <text>0.5kW allocation reduced due to live reading of 0.2kW</text>
  </threadedComment>
  <threadedComment ref="Z142" dT="2024-05-17T08:30:57.65" personId="{23875134-620F-49C7-896C-147D628FB6EA}" id="{2FCC4FAA-7488-4ECA-AFD5-E42D13EB3E1A}">
    <text>0.5kW allocation reduced due to live reading of 0.3kW</text>
  </threadedComment>
  <threadedComment ref="Z142" dT="2024-08-20T08:29:09.90" personId="{23875134-620F-49C7-896C-147D628FB6EA}" id="{76C9092E-FAC0-4D13-9765-16D83F83EBEE}" parentId="{2FCC4FAA-7488-4ECA-AFD5-E42D13EB3E1A}">
    <text>0.5kW allocation reduced due to live reading of 0.3kW</text>
  </threadedComment>
  <threadedComment ref="Z142" dT="2024-09-10T12:59:31.12" personId="{23875134-620F-49C7-896C-147D628FB6EA}" id="{D5486D9A-5827-4193-8747-64D3399BC569}" parentId="{2FCC4FAA-7488-4ECA-AFD5-E42D13EB3E1A}">
    <text>0.5kW allocation reduced due to live reading of 0.3kW</text>
  </threadedComment>
  <threadedComment ref="Z142" dT="2024-10-30T16:13:45.53" personId="{23875134-620F-49C7-896C-147D628FB6EA}" id="{63C40FE4-4FE6-43D7-B809-486019302F37}" parentId="{2FCC4FAA-7488-4ECA-AFD5-E42D13EB3E1A}">
    <text>0.5kW allocation reduced due to live reading of 0.3kW</text>
  </threadedComment>
  <threadedComment ref="Z142" dT="2024-11-05T13:32:32.60" personId="{23875134-620F-49C7-896C-147D628FB6EA}" id="{80D6F038-2BE9-47F9-846F-521087E96DB4}" parentId="{2FCC4FAA-7488-4ECA-AFD5-E42D13EB3E1A}">
    <text>0.5kW allocation reduced due to live reading of 0.3kW</text>
  </threadedComment>
  <threadedComment ref="AB142" dT="2022-06-21T09:47:21.17" personId="{A2EEB511-B106-4ABB-A0A9-198E22579A21}" id="{A67CE3B6-9E88-4906-806C-CBB03B113871}">
    <text>1x UCS C220 – 603W</text>
  </threadedComment>
  <threadedComment ref="AB142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2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2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2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2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B142" dT="2024-08-20T08:36:11.71" personId="{23875134-620F-49C7-896C-147D628FB6EA}" id="{E10F63DB-9A3B-4BD2-938C-F144BA7FF7B5}" parentId="{A67CE3B6-9E88-4906-806C-CBB03B113871}">
    <text>2kW allocation reduced due to live reading of 0.3kW</text>
  </threadedComment>
  <threadedComment ref="AB142" dT="2024-09-10T13:11:03.58" personId="{23875134-620F-49C7-896C-147D628FB6EA}" id="{DC0E71CE-C1CD-48A3-8937-76A37BC67A28}" parentId="{A67CE3B6-9E88-4906-806C-CBB03B113871}">
    <text>2kW allocation reduced due to live reading of 0.3kW</text>
  </threadedComment>
  <threadedComment ref="AB142" dT="2024-11-05T13:43:48.69" personId="{23875134-620F-49C7-896C-147D628FB6EA}" id="{9A27F915-F4D3-439F-A024-B2C862E046E3}" parentId="{A67CE3B6-9E88-4906-806C-CBB03B113871}">
    <text>2kW allocation reduced due to live reading of 0.3kW</text>
  </threadedComment>
  <threadedComment ref="AD142" dT="2022-06-22T12:15:12.55" personId="{A2EEB511-B106-4ABB-A0A9-198E22579A21}" id="{3149B29A-D136-4734-A1DB-649E6B418B4D}">
    <text xml:space="preserve"> NCS-57C3 - 500W - 2 feeds</text>
  </threadedComment>
  <threadedComment ref="AJ142" dT="2023-10-17T15:00:30.00" personId="{4232887B-6F74-4501-885D-8735C5662726}" id="{40AFC5F7-AF74-4E6C-9845-6BCF224AEEE6}">
    <text>Power upgrade planned under ORMT_SAP_231017_2_Y855640</text>
  </threadedComment>
  <threadedComment ref="AL142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2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AP142" dT="2024-08-05T14:58:35.90" personId="{1E6DD3F2-E860-47E0-8C0E-4DFC2954E528}" id="{2E2245A7-D810-4643-81EC-95838D14346A}">
    <text>Allocation for New Akamai Rack v08 in LDSCD2 under ORMT_SAP_240603_8_10335416</text>
  </threadedComment>
  <threadedComment ref="J143" personId="{31CF382B-C4A6-482E-AE04-28CACDB6A63A}" id="{6D908517-FF86-4611-A06A-2C94FB89B879}">
    <text>Jul-21 Was 5kW but confirmed currently running at 3.5kW</text>
  </threadedComment>
  <threadedComment ref="J143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3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3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3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3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3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3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3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3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J143" dT="2024-10-30T16:05:53.76" personId="{23875134-620F-49C7-896C-147D628FB6EA}" id="{3F9DF3DB-C1B2-4929-880D-4D6B4DAE1D3F}" parentId="{6D908517-FF86-4611-A06A-2C94FB89B879}">
    <text>2.5kW allocation reduced due to live reading of 0.3kW</text>
  </threadedComment>
  <threadedComment ref="J143" dT="2024-11-05T13:06:10.07" personId="{23875134-620F-49C7-896C-147D628FB6EA}" id="{6F95C45A-37A7-4208-BBC3-77AFEB9E27C3}" parentId="{6D908517-FF86-4611-A06A-2C94FB89B879}">
    <text>2.5kW allocation reduced due to live reading of 1.5kW</text>
  </threadedComment>
  <threadedComment ref="L143" personId="{31CF382B-C4A6-482E-AE04-28CACDB6A63A}" id="{18651EEE-19D0-4489-A6C0-A5F0E1480D5D}">
    <text>Jul-21 Was 8kW, confirmed currently running at 6kW</text>
  </threadedComment>
  <threadedComment ref="L143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3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3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3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3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3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3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3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3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L143" dT="2024-08-20T08:43:09.57" personId="{23875134-620F-49C7-896C-147D628FB6EA}" id="{66AD5460-DAC9-4A90-AC85-B77CE0292FED}" parentId="{18651EEE-19D0-4489-A6C0-A5F0E1480D5D}">
    <text>4kW allocation reduced due to live reading of 3.5kW</text>
  </threadedComment>
  <threadedComment ref="L143" dT="2024-09-10T13:01:57.45" personId="{23875134-620F-49C7-896C-147D628FB6EA}" id="{B9786AAA-26DA-4585-996B-B12BD7C639D5}" parentId="{18651EEE-19D0-4489-A6C0-A5F0E1480D5D}">
    <text>4kW allocation reduced due to live reading of 3.5kW</text>
  </threadedComment>
  <threadedComment ref="L143" dT="2024-10-30T16:03:09.12" personId="{23875134-620F-49C7-896C-147D628FB6EA}" id="{D3454FDB-55F7-4FCA-BC87-31187020D011}" parentId="{18651EEE-19D0-4489-A6C0-A5F0E1480D5D}">
    <text>4kW allocation reduced due to live reading of 3.5kW</text>
  </threadedComment>
  <threadedComment ref="L143" dT="2024-11-05T14:07:37.01" personId="{23875134-620F-49C7-896C-147D628FB6EA}" id="{0BFC841A-7060-444C-BB0E-6BB0AE006294}" parentId="{18651EEE-19D0-4489-A6C0-A5F0E1480D5D}">
    <text>4kW allocation reduced due to live reading of 3.75kW</text>
  </threadedComment>
  <threadedComment ref="N143" dT="2023-07-10T18:00:31.73" personId="{4232887B-6F74-4501-885D-8735C5662726}" id="{AC641F5E-4A92-44F6-9008-D3C8D84D317A}">
    <text>4kW allocation reduced due to live reading of 2.8kW</text>
  </threadedComment>
  <threadedComment ref="N143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3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3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3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3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3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3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3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3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N143" dT="2024-08-20T08:21:33.37" personId="{23875134-620F-49C7-896C-147D628FB6EA}" id="{EE68C0D2-C6C4-444F-9FFF-8614F5B899CA}" parentId="{AC641F5E-4A92-44F6-9008-D3C8D84D317A}">
    <text>4kW allocation reduced due to live reading of 2.6kW</text>
  </threadedComment>
  <threadedComment ref="N143" dT="2024-09-10T12:55:49.04" personId="{23875134-620F-49C7-896C-147D628FB6EA}" id="{8A8586F4-CF7B-4076-877B-1C326DA89A8E}" parentId="{AC641F5E-4A92-44F6-9008-D3C8D84D317A}">
    <text>4kW allocation reduced due to live reading of 2.6kW</text>
  </threadedComment>
  <threadedComment ref="N143" dT="2024-10-30T15:55:52.53" personId="{23875134-620F-49C7-896C-147D628FB6EA}" id="{CC4B5B06-CDFA-47D3-A002-8132E68C1187}" parentId="{AC641F5E-4A92-44F6-9008-D3C8D84D317A}">
    <text>4kW allocation reduced due to live reading of 2.6kW</text>
  </threadedComment>
  <threadedComment ref="N143" dT="2024-11-05T13:09:59.27" personId="{23875134-620F-49C7-896C-147D628FB6EA}" id="{73CB6684-3AA7-4295-A02F-088A9F084982}" parentId="{AC641F5E-4A92-44F6-9008-D3C8D84D317A}">
    <text>4kW allocation reduced due to live reading of 2.6kW</text>
  </threadedComment>
  <threadedComment ref="N143" dT="2024-11-05T14:52:38.35" personId="{23875134-620F-49C7-896C-147D628FB6EA}" id="{AF8D705C-A4C4-4E87-B5F5-050BDC51929B}" parentId="{AC641F5E-4A92-44F6-9008-D3C8D84D317A}">
    <text>8kW allocation reduced due to live reading of 2.95kW</text>
  </threadedComment>
  <threadedComment ref="V143" dT="2024-05-17T08:13:31.42" personId="{23875134-620F-49C7-896C-147D628FB6EA}" id="{4B9C97E2-540A-418B-8AE6-1EF249874183}">
    <text>2.1kW allocation reduced due to live reading of 0.3kW</text>
  </threadedComment>
  <threadedComment ref="V143" dT="2024-08-20T08:55:46.33" personId="{23875134-620F-49C7-896C-147D628FB6EA}" id="{15634710-84EB-49D8-B3EA-8B040091FD7E}" parentId="{4B9C97E2-540A-418B-8AE6-1EF249874183}">
    <text>2.1kW allocation reduced due to live reading of 0.3kW</text>
  </threadedComment>
  <threadedComment ref="V143" dT="2024-09-10T13:13:33.54" personId="{23875134-620F-49C7-896C-147D628FB6EA}" id="{DA08892D-6946-4D0E-8DEC-6AE28B9159B1}" parentId="{4B9C97E2-540A-418B-8AE6-1EF249874183}">
    <text>2.1kW allocation reduced due to live reading of 0.3kW</text>
  </threadedComment>
  <threadedComment ref="V143" dT="2024-10-30T16:18:05.32" personId="{23875134-620F-49C7-896C-147D628FB6EA}" id="{242BB99C-5A00-485F-8982-4D05D0452017}" parentId="{4B9C97E2-540A-418B-8AE6-1EF249874183}">
    <text>2.1kW allocation reduced due to live reading of 0.3kW</text>
  </threadedComment>
  <threadedComment ref="V143" dT="2024-11-05T13:46:49.70" personId="{23875134-620F-49C7-896C-147D628FB6EA}" id="{A61960D2-14C2-47BF-8B27-D98D9BEC9C33}" parentId="{4B9C97E2-540A-418B-8AE6-1EF249874183}">
    <text>2.1kW allocation reduced due to live reading of 0.3kW</text>
  </threadedComment>
  <threadedComment ref="X143" dT="2024-08-20T08:28:34.25" personId="{23875134-620F-49C7-896C-147D628FB6EA}" id="{2307D775-B2AA-438F-8CFC-6B5E4B08982F}">
    <text>0.5kW allocation reduced due to live reading of 0.2kW</text>
  </threadedComment>
  <threadedComment ref="X143" dT="2024-09-10T12:59:05.28" personId="{23875134-620F-49C7-896C-147D628FB6EA}" id="{EAF38B70-27B5-4418-81A3-CF67B0662F2B}" parentId="{2307D775-B2AA-438F-8CFC-6B5E4B08982F}">
    <text>0.5kW allocation reduced due to live reading of 0.2kW</text>
  </threadedComment>
  <threadedComment ref="X143" dT="2024-10-30T16:13:11.74" personId="{23875134-620F-49C7-896C-147D628FB6EA}" id="{B1B0D871-DDE6-466A-95D4-34DC107ABB29}" parentId="{2307D775-B2AA-438F-8CFC-6B5E4B08982F}">
    <text>0.5kW allocation reduced due to live reading of 0.2kW</text>
  </threadedComment>
  <threadedComment ref="X143" dT="2024-11-05T13:31:57.88" personId="{23875134-620F-49C7-896C-147D628FB6EA}" id="{2F003D08-FD4C-4887-86DB-0625B4825B8D}" parentId="{2307D775-B2AA-438F-8CFC-6B5E4B08982F}">
    <text>0.5kW allocation reduced due to live reading of 0.2kW</text>
  </threadedComment>
  <threadedComment ref="Z143" dT="2024-05-17T08:31:39.06" personId="{23875134-620F-49C7-896C-147D628FB6EA}" id="{BE836365-54BC-45D2-8574-BCD3F0F4C699}">
    <text>0.5kW allocation reduced due to live reading of 0.3kW</text>
  </threadedComment>
  <threadedComment ref="Z143" dT="2024-08-20T08:29:26.09" personId="{23875134-620F-49C7-896C-147D628FB6EA}" id="{A988A3F7-820C-4D61-B740-23FCE7BFD049}" parentId="{BE836365-54BC-45D2-8574-BCD3F0F4C699}">
    <text>0.5kW allocation reduced due to live reading of 0.3kW</text>
  </threadedComment>
  <threadedComment ref="Z143" dT="2024-09-10T12:59:38.90" personId="{23875134-620F-49C7-896C-147D628FB6EA}" id="{A774EB5D-0415-403E-9F6B-84DBA504DFB8}" parentId="{BE836365-54BC-45D2-8574-BCD3F0F4C699}">
    <text>0.5kW allocation reduced due to live reading of 0.3kW</text>
  </threadedComment>
  <threadedComment ref="Z143" dT="2024-10-30T16:13:52.57" personId="{23875134-620F-49C7-896C-147D628FB6EA}" id="{3DA665A6-C435-4F82-BC68-1D489932D953}" parentId="{BE836365-54BC-45D2-8574-BCD3F0F4C699}">
    <text>0.5kW allocation reduced due to live reading of 0.3kW</text>
  </threadedComment>
  <threadedComment ref="Z143" dT="2024-11-05T13:32:54.28" personId="{23875134-620F-49C7-896C-147D628FB6EA}" id="{C26B6A97-EC9E-48F5-84DD-C2D1B791684B}" parentId="{BE836365-54BC-45D2-8574-BCD3F0F4C699}">
    <text>0.5kW allocation reduced due to live reading of 0.3kW</text>
  </threadedComment>
  <threadedComment ref="AB143" dT="2024-05-17T08:09:50.33" personId="{23875134-620F-49C7-896C-147D628FB6EA}" id="{A6AC6891-3CF0-4E8C-A887-9C259DC9EB9A}">
    <text>2kW allocation reduced due to live reading of 0.3kW</text>
  </threadedComment>
  <threadedComment ref="AB143" dT="2024-08-20T08:36:27.61" personId="{23875134-620F-49C7-896C-147D628FB6EA}" id="{BC819118-EE46-42F5-9B53-519B437C5088}" parentId="{A6AC6891-3CF0-4E8C-A887-9C259DC9EB9A}">
    <text>2kW allocation reduced due to live reading of 0.3kW</text>
  </threadedComment>
  <threadedComment ref="AB143" dT="2024-09-10T13:11:16.58" personId="{23875134-620F-49C7-896C-147D628FB6EA}" id="{7C4C071C-76BB-4F41-AD0B-680D2B722DDC}" parentId="{A6AC6891-3CF0-4E8C-A887-9C259DC9EB9A}">
    <text>2kW allocation reduced due to live reading of 0.3kW</text>
  </threadedComment>
  <threadedComment ref="AB143" dT="2024-10-30T16:18:49.33" personId="{23875134-620F-49C7-896C-147D628FB6EA}" id="{D7822669-8F13-437C-B28F-2244E84B3711}" parentId="{A6AC6891-3CF0-4E8C-A887-9C259DC9EB9A}">
    <text>2kW allocation reduced due to live reading of 0.3kW</text>
  </threadedComment>
  <threadedComment ref="AB143" dT="2024-11-05T13:44:17.26" personId="{23875134-620F-49C7-896C-147D628FB6EA}" id="{EB4F316F-6247-4AD0-9922-C983F817C342}" parentId="{A6AC6891-3CF0-4E8C-A887-9C259DC9EB9A}">
    <text>2kW allocation reduced due to live reading of 0.3kW</text>
  </threadedComment>
  <threadedComment ref="AJ143" dT="2023-10-17T15:01:18.58" personId="{4232887B-6F74-4501-885D-8735C5662726}" id="{79BB0193-F48E-460E-90DB-A9C1B7519AD5}">
    <text>Power upgrade planned under ORMT_SAP_231017_2_Y855640</text>
  </threadedComment>
  <threadedComment ref="AL143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3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AP143" dT="2024-08-05T14:58:49.59" personId="{1E6DD3F2-E860-47E0-8C0E-4DFC2954E528}" id="{9A69B2C4-C483-4F7F-8777-92A26DB017ED}">
    <text>Allocation for New Akamai Rack v08 in LDSCD2 under ORMT_SAP_240603_8_10335416</text>
  </threadedComment>
  <threadedComment ref="J144" dT="2023-11-28T09:59:41.93" personId="{F6E7EC2D-8E6E-4BA1-BCDD-6D7FECF08119}" id="{6B9D0745-A894-4D93-B16E-00F31EEDEB4E}">
    <text>Planned for ORMT_SAP_231013_6_w014433</text>
  </threadedComment>
  <threadedComment ref="J145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5" dT="2023-10-13T14:19:37.93" personId="{4232887B-6F74-4501-885D-8735C5662726}" id="{3B03B372-6FC1-497E-B71C-CE467AD6DE39}">
    <text>Power upgrade given for ORMT_SAP_230607_9_Y854413</text>
  </threadedComment>
  <threadedComment ref="Q145" dT="2024-08-14T15:28:05.73" personId="{23875134-620F-49C7-896C-147D628FB6EA}" id="{C3E6D4C4-93BB-437E-B3B7-397EEB202FF8}">
    <text>ORMT_SAP_240517_1_11255170 is planned for Nokia 7750 SR2s</text>
  </threadedComment>
  <threadedComment ref="J147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0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0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1" dT="2023-12-06T08:51:10.64" personId="{38472A79-BA69-4DE1-8653-78C711836CC1}" id="{E39259E6-DA60-4AC9-B01B-629134560BF4}">
    <text>30kW ring fenced for WACS CoLo contract</text>
  </threadedComment>
  <threadedComment ref="T151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4" dT="2022-01-28T11:34:45.61" personId="{ABF5BCE6-B512-42E2-8B64-A070C9ED38DE}" id="{0076BA94-FC5C-408C-96C9-9AABAAF68CA5}">
    <text>provisional allocation for end of life load</text>
  </threadedComment>
  <threadedComment ref="J154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4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4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4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4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4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4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4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J154" dT="2024-08-19T13:28:54.63" personId="{AFB55828-FFC6-4C96-B981-0FAA8F63A769}" id="{C7B7C1FD-609F-4C35-B14C-51FDE9637ACF}" parentId="{0076BA94-FC5C-408C-96C9-9AABAAF68CA5}">
    <text>4.2kW allocation reduced due to live reading of 0.6kW</text>
  </threadedComment>
  <threadedComment ref="J154" dT="2024-11-05T13:46:39.62" personId="{AFB55828-FFC6-4C96-B981-0FAA8F63A769}" id="{9594956B-C067-41A5-AC1C-EE95EAE5F03D}" parentId="{0076BA94-FC5C-408C-96C9-9AABAAF68CA5}">
    <text>4.2kW allocation reduced due to live reading of 0.6kW</text>
  </threadedComment>
  <threadedComment ref="J154" dT="2024-11-05T14:00:51.73" personId="{AFB55828-FFC6-4C96-B981-0FAA8F63A769}" id="{40B86AF4-E487-45D1-88E8-4D875F374386}" parentId="{0076BA94-FC5C-408C-96C9-9AABAAF68CA5}">
    <text>4.2kW allocation reduced due to live reading of 0.6kW</text>
  </threadedComment>
  <threadedComment ref="L154" dT="2022-05-26T12:17:16.16" personId="{BC55F889-AFD3-4AD4-B814-0EDFA8411758}" id="{1EAB5447-6C14-4356-80D0-C776A55246B7}">
    <text>5kW allocation reduced due to live reading of 2.5kW</text>
  </threadedComment>
  <threadedComment ref="L154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4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4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4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4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4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4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4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4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4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4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L154" dT="2024-08-14T16:42:38.17" personId="{AFB55828-FFC6-4C96-B981-0FAA8F63A769}" id="{D499882F-DA00-42CE-86BE-5CBA8F476282}" parentId="{1EAB5447-6C14-4356-80D0-C776A55246B7}">
    <text>5kW allocation reduced due to live reading of 3.2kW</text>
  </threadedComment>
  <threadedComment ref="L154" dT="2024-08-19T13:06:36.38" personId="{AFB55828-FFC6-4C96-B981-0FAA8F63A769}" id="{4BA11AC1-EF69-4E90-8D23-8F5030AE9E70}" parentId="{1EAB5447-6C14-4356-80D0-C776A55246B7}">
    <text>5kW allocation reduced due to live reading of 3.2kW</text>
  </threadedComment>
  <threadedComment ref="L154" dT="2024-11-05T13:35:50.43" personId="{AFB55828-FFC6-4C96-B981-0FAA8F63A769}" id="{7B619DC8-F45C-4E20-B9B1-5C509CFB567B}" parentId="{1EAB5447-6C14-4356-80D0-C776A55246B7}">
    <text>5kW allocation reduced due to live reading of 3.7kW</text>
  </threadedComment>
  <threadedComment ref="P154" dT="2023-01-12T14:43:38.70" personId="{BC55F889-AFD3-4AD4-B814-0EDFA8411758}" id="{E41F3D10-0294-44C6-8667-920DB0E316BB}">
    <text>Live reading 22A, so 4kW allocation reduced by 1.2kW</text>
  </threadedComment>
  <threadedComment ref="P154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4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4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4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4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4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4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4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4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4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4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P154" dT="2024-08-14T16:35:18.67" personId="{AFB55828-FFC6-4C96-B981-0FAA8F63A769}" id="{2265273B-38B8-484E-B3A6-439236D44110}" parentId="{E41F3D10-0294-44C6-8667-920DB0E316BB}">
    <text>4kW allocation reduced due to live reading of 1.8kW</text>
  </threadedComment>
  <threadedComment ref="P154" dT="2024-08-19T12:58:16.23" personId="{AFB55828-FFC6-4C96-B981-0FAA8F63A769}" id="{B607D37C-4C81-4899-AA01-D8A4E6255FDC}" parentId="{E41F3D10-0294-44C6-8667-920DB0E316BB}">
    <text>4kW allocation reduced due to live reading of 1.8kW</text>
  </threadedComment>
  <threadedComment ref="P154" dT="2024-11-05T13:12:58.83" personId="{AFB55828-FFC6-4C96-B981-0FAA8F63A769}" id="{EA9D87B7-4A5F-4588-9549-675988A2AFE1}" parentId="{E41F3D10-0294-44C6-8667-920DB0E316BB}">
    <text>4kW allocation reduced due to live reading of 2.7kW</text>
  </threadedComment>
  <threadedComment ref="R154" dT="2023-01-12T14:43:38.70" personId="{BC55F889-AFD3-4AD4-B814-0EDFA8411758}" id="{3FDE6019-A4B2-42FA-B13A-25F8F9FC8A87}">
    <text>Live reading 30A, so 4kW allocation reduced by 1.6kW</text>
  </threadedComment>
  <threadedComment ref="R154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4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4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4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4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4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4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4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4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4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4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R154" dT="2024-08-14T16:39:17.53" personId="{AFB55828-FFC6-4C96-B981-0FAA8F63A769}" id="{20F31CC0-CBDF-44F2-B079-731137ED5098}" parentId="{3FDE6019-A4B2-42FA-B13A-25F8F9FC8A87}">
    <text>4kW allocation reduced due to live reading of 2kW</text>
  </threadedComment>
  <threadedComment ref="R154" dT="2024-08-19T13:00:18.18" personId="{AFB55828-FFC6-4C96-B981-0FAA8F63A769}" id="{B352F5EE-773B-4242-99E3-E27C4493BF90}" parentId="{3FDE6019-A4B2-42FA-B13A-25F8F9FC8A87}">
    <text>4kW allocation reduced due to live reading of 2kW</text>
  </threadedComment>
  <threadedComment ref="R154" dT="2024-11-05T13:29:06.61" personId="{AFB55828-FFC6-4C96-B981-0FAA8F63A769}" id="{2D2631D7-FC01-4FFE-90F3-1E67DCB6EDD6}" parentId="{3FDE6019-A4B2-42FA-B13A-25F8F9FC8A87}">
    <text>4kW allocation reduced due to live reading of 3kW</text>
  </threadedComment>
  <threadedComment ref="T154" dT="2023-01-12T14:43:38.70" personId="{BC55F889-AFD3-4AD4-B814-0EDFA8411758}" id="{6936BBBA-2946-46F7-89AF-27A252984BC0}">
    <text>Live reading 14A, so 4kW allocation reduced by 800W</text>
  </threadedComment>
  <threadedComment ref="T154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4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4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4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4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4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4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4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4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4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4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T154" dT="2024-08-14T16:40:49.69" personId="{AFB55828-FFC6-4C96-B981-0FAA8F63A769}" id="{50EA6F78-23AF-4B43-8492-D0113D53CA6F}" parentId="{6936BBBA-2946-46F7-89AF-27A252984BC0}">
    <text>4kW allocation reduced due to live reading of 1.8kW</text>
  </threadedComment>
  <threadedComment ref="T154" dT="2024-08-19T13:02:14.81" personId="{AFB55828-FFC6-4C96-B981-0FAA8F63A769}" id="{CEF1C16A-9A90-4E45-905B-15484BAC6DD6}" parentId="{6936BBBA-2946-46F7-89AF-27A252984BC0}">
    <text>4kW allocation reduced due to live reading of 1.8kW</text>
  </threadedComment>
  <threadedComment ref="V154" dT="2023-07-11T08:14:17.29" personId="{4232887B-6F74-4501-885D-8735C5662726}" id="{1013A39F-74FB-4BF4-A42B-F04F94F4BA6B}">
    <text>4kW allocation reduced due to live reading of 1.4kW</text>
  </threadedComment>
  <threadedComment ref="V154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4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4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4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4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4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4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4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4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4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V154" dT="2024-08-19T13:23:10.09" personId="{AFB55828-FFC6-4C96-B981-0FAA8F63A769}" id="{D403BF3C-08CE-4670-B60A-B5656835660F}" parentId="{1013A39F-74FB-4BF4-A42B-F04F94F4BA6B}">
    <text>4kW allocation reduced due to live reading of 1.7kW</text>
  </threadedComment>
  <threadedComment ref="V154" dT="2024-11-05T13:43:30.48" personId="{AFB55828-FFC6-4C96-B981-0FAA8F63A769}" id="{04E12B8E-21BD-4E83-A631-49DF67431A72}" parentId="{1013A39F-74FB-4BF4-A42B-F04F94F4BA6B}">
    <text>4kW allocation reduced due to live reading of 0.8kW</text>
  </threadedComment>
  <threadedComment ref="X154" dT="2023-07-11T08:11:55.66" personId="{4232887B-6F74-4501-885D-8735C5662726}" id="{B371BEA3-D809-4AC2-8374-19287095534F}">
    <text>1kW allocation reduced due to live reading of 0.2kW</text>
  </threadedComment>
  <threadedComment ref="X154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4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4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4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4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4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4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4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4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4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X154" dT="2024-08-14T16:49:00.19" personId="{AFB55828-FFC6-4C96-B981-0FAA8F63A769}" id="{B6B50D9E-9562-435F-AFCC-1115C0802EEF}" parentId="{B371BEA3-D809-4AC2-8374-19287095534F}">
    <text>1kW allocation reduced due to live reading of 0.2kW</text>
  </threadedComment>
  <threadedComment ref="X154" dT="2024-11-05T13:41:03.08" personId="{AFB55828-FFC6-4C96-B981-0FAA8F63A769}" id="{7275BCA4-3497-48D6-81E9-0BDDE4EA29EF}" parentId="{B371BEA3-D809-4AC2-8374-19287095534F}">
    <text>1kW allocation reduced due to live reading of 0.3kW</text>
  </threadedComment>
  <threadedComment ref="Y154" dT="2023-11-06T10:31:49.87" personId="{A4663B00-DB85-420B-AE65-1E515148FDF2}" id="{484FFADE-54D1-4605-B273-EAF49729440C}">
    <text xml:space="preserve">RLS &amp; Waveserver rack is planned- CPL removal project.
</text>
  </threadedComment>
  <threadedComment ref="Z154" dT="2024-03-14T07:06:53.85" personId="{F6E7EC2D-8E6E-4BA1-BCDD-6D7FECF08119}" id="{0F226F54-F4A6-46E1-9F65-4284C526287D}">
    <text>5kW allocation reduced due to live reading of 0.8kW</text>
  </threadedComment>
  <threadedComment ref="Z154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Z154" dT="2024-08-14T16:59:58.02" personId="{AFB55828-FFC6-4C96-B981-0FAA8F63A769}" id="{20D27C06-3776-40BD-B617-8AAF97FDAC9D}" parentId="{0F226F54-F4A6-46E1-9F65-4284C526287D}">
    <text>5kW allocation reduced due to live reading of 0.9kW</text>
  </threadedComment>
  <threadedComment ref="Z154" dT="2024-11-05T14:01:27.36" personId="{AFB55828-FFC6-4C96-B981-0FAA8F63A769}" id="{2A3FD0EB-9451-4786-B32D-5F1D65D7FA0B}" parentId="{0F226F54-F4A6-46E1-9F65-4284C526287D}">
    <text>5kW allocation reduced due to live reading of 0.9kW</text>
  </threadedComment>
  <threadedComment ref="J158" dT="2023-01-12T14:48:36.36" personId="{BC55F889-AFD3-4AD4-B814-0EDFA8411758}" id="{95D3D00A-CD61-4B77-ADE9-D46591D2B60E}">
    <text>Live reading 84A, so 12kW allocation reduced by 4.5kW</text>
  </threadedComment>
  <threadedComment ref="J158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8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8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8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8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8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8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8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8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8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J158" dT="2024-08-26T09:24:51.25" personId="{AFB55828-FFC6-4C96-B981-0FAA8F63A769}" id="{CF610748-F7DC-4EA3-A8D8-EE354397BB7E}" parentId="{95D3D00A-CD61-4B77-ADE9-D46591D2B60E}">
    <text>6kW allocation reduced due to live reading of 3.5kW</text>
  </threadedComment>
  <threadedComment ref="J158" dT="2024-11-06T11:03:07.76" personId="{AFB55828-FFC6-4C96-B981-0FAA8F63A769}" id="{A0FB9139-CB75-4C9E-A554-97AAF5F3BDCE}" parentId="{95D3D00A-CD61-4B77-ADE9-D46591D2B60E}">
    <text>6kW allocation reduced due to live reading of 2.2kW</text>
  </threadedComment>
  <threadedComment ref="J158" dT="2024-11-06T11:05:08.85" personId="{AFB55828-FFC6-4C96-B981-0FAA8F63A769}" id="{6075C259-DA40-4F48-B3DF-9F8F73ED1E18}" parentId="{95D3D00A-CD61-4B77-ADE9-D46591D2B60E}">
    <text>6kW allocation reduced due to live reading of 3.6kW</text>
  </threadedComment>
  <threadedComment ref="L158" personId="{31CF382B-C4A6-482E-AE04-28CACDB6A63A}" id="{C28F0CDE-A519-4253-AE78-A382838B617C}">
    <text>Jul-21 Was 5kW total but confirmed currently running at 3.5kW, so 0.75kw left per system</text>
  </threadedComment>
  <threadedComment ref="L158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8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8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8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8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8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8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8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8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8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L158" dT="2024-08-26T09:16:50.34" personId="{AFB55828-FFC6-4C96-B981-0FAA8F63A769}" id="{4F408D0D-4BB4-4EFF-82C7-A3C47701E73B}" parentId="{C28F0CDE-A519-4253-AE78-A382838B617C}">
    <text>2.5kW allocation reduced due to live reading of 1.6kW</text>
  </threadedComment>
  <threadedComment ref="L158" dT="2024-11-06T11:09:53.92" personId="{AFB55828-FFC6-4C96-B981-0FAA8F63A769}" id="{BA47A999-BCFA-42AC-8092-56A4F3E95DD7}" parentId="{C28F0CDE-A519-4253-AE78-A382838B617C}">
    <text>2.5kW allocation reduced due to live reading of 1.8kW</text>
  </threadedComment>
  <threadedComment ref="M158" dT="2024-06-19T16:17:22.76" personId="{7807B229-714C-4AA1-8F83-E7F46ACB7D83}" id="{6DF28C26-9FEF-4DAC-8495-778B6769A0B8}">
    <text>Allocated for ORMT_SAP_231220_15_10335416</text>
  </threadedComment>
  <threadedComment ref="R158" dT="2022-05-26T10:45:25.11" personId="{BC55F889-AFD3-4AD4-B814-0EDFA8411758}" id="{5297140A-306A-4E76-8D3C-06B5F061BA06}">
    <text>Total 6kW allocation reduced due to onsite reading of 3.9kW</text>
  </threadedComment>
  <threadedComment ref="R158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8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8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8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8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8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8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8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8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R158" dT="2024-08-26T10:10:45.29" personId="{AFB55828-FFC6-4C96-B981-0FAA8F63A769}" id="{87D7BBC7-10AA-4827-B576-3194B437EE68}" parentId="{5297140A-306A-4E76-8D3C-06B5F061BA06}">
    <text>3kW allocation reduced due to live reading of 2.4kW</text>
  </threadedComment>
  <threadedComment ref="R158" dT="2024-11-06T11:11:33.07" personId="{AFB55828-FFC6-4C96-B981-0FAA8F63A769}" id="{C8C4FCF2-5E82-480C-9781-F9C311ADE691}" parentId="{5297140A-306A-4E76-8D3C-06B5F061BA06}">
    <text>3kW allocation reduced due to live reading of 2.85kW</text>
  </threadedComment>
  <threadedComment ref="T158" dT="2023-07-10T10:28:18.01" personId="{4232887B-6F74-4501-885D-8735C5662726}" id="{A770BE8E-7FF8-483C-A8BB-069AC3AB0B57}">
    <text>2.25kW allocation reduced due to live reading of 1.4kW</text>
  </threadedComment>
  <threadedComment ref="T158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8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8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8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8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8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8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8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T158" dT="2024-08-26T09:58:15.25" personId="{AFB55828-FFC6-4C96-B981-0FAA8F63A769}" id="{F7E00FD2-5D42-4160-A893-AD0F42D906F6}" parentId="{A770BE8E-7FF8-483C-A8BB-069AC3AB0B57}">
    <text>2.25kW allocation reduced due to live reading of 1.5kW</text>
  </threadedComment>
  <threadedComment ref="V158" dT="2023-07-10T10:30:27.71" personId="{4232887B-6F74-4501-885D-8735C5662726}" id="{BF2BA99A-C71E-4470-9768-EDC4F847CA5F}">
    <text>1.45kW allocation reduced due to live reading of 0.5kW</text>
  </threadedComment>
  <threadedComment ref="V158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8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8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8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8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8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8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8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8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V158" dT="2024-08-26T09:55:03.54" personId="{AFB55828-FFC6-4C96-B981-0FAA8F63A769}" id="{8008FF47-ED56-43C8-A2C0-7413783CE69E}" parentId="{BF2BA99A-C71E-4470-9768-EDC4F847CA5F}">
    <text>1.45kW allocation reduced due to live reading of 0.5kW</text>
  </threadedComment>
  <threadedComment ref="X158" dT="2022-05-26T10:43:39.63" personId="{BC55F889-AFD3-4AD4-B814-0EDFA8411758}" id="{F4C12B35-4046-4847-81B1-8E2531E1679F}">
    <text>Totla 4.5kW allocation reduced due to live reading of 2kW</text>
  </threadedComment>
  <threadedComment ref="X158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8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8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8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8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8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8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8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8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8" dT="2023-07-10T10:31:47.60" personId="{4232887B-6F74-4501-885D-8735C5662726}" id="{8AE3600A-5FB6-44B1-83D6-911DCDD07D10}">
    <text>0.9kW allocation reduced due to live reading of 0.5kW</text>
  </threadedComment>
  <threadedComment ref="Z158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8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8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8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8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8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8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8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Z158" dT="2024-08-26T09:51:01.22" personId="{AFB55828-FFC6-4C96-B981-0FAA8F63A769}" id="{52EE94C6-BDD6-42E1-84B8-4416CF510142}" parentId="{8AE3600A-5FB6-44B1-83D6-911DCDD07D10}">
    <text>0.9kW allocation reduced due to live reading of 0.4kW</text>
  </threadedComment>
  <threadedComment ref="AB158" dT="2022-05-26T10:41:36.66" personId="{BC55F889-AFD3-4AD4-B814-0EDFA8411758}" id="{583BFAF3-0C1E-477D-819B-2429C4E25229}">
    <text>Total 6.5kW reduced due to 5.6kW live reading</text>
  </threadedComment>
  <threadedComment ref="AB158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8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8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8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8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8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8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8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8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8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B158" dT="2024-08-26T09:29:18.21" personId="{AFB55828-FFC6-4C96-B981-0FAA8F63A769}" id="{67CE8748-4A9C-49B4-A239-E3FC718957BC}" parentId="{583BFAF3-0C1E-477D-819B-2429C4E25229}">
    <text>3.25kW allocation reduced due to live reading of 2.9kW</text>
  </threadedComment>
  <threadedComment ref="AD158" dT="2022-05-26T11:14:05.47" personId="{BC55F889-AFD3-4AD4-B814-0EDFA8411758}" id="{252922EA-283D-4134-81BE-F83ABA1DF47C}">
    <text>Total 4kW allocation reduced due to live reading of 2.2kW</text>
  </threadedComment>
  <threadedComment ref="AD158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8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8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8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8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8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8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8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8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D158" dT="2024-08-26T09:44:37.44" personId="{AFB55828-FFC6-4C96-B981-0FAA8F63A769}" id="{0976189E-5F0B-4FA5-B40A-62617E74B410}" parentId="{252922EA-283D-4134-81BE-F83ABA1DF47C}">
    <text>2kW allocation reduced due to live reading of 0.5kW</text>
  </threadedComment>
  <threadedComment ref="AF158" dT="2023-11-09T16:00:13.27" personId="{F6E7EC2D-8E6E-4BA1-BCDD-6D7FECF08119}" id="{EACCE037-0744-459A-8B38-305EAAEE05BC}">
    <text>2.1kW allocation reduced due to live reading of 0.3kW</text>
  </threadedComment>
  <threadedComment ref="AF158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8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8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8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8" dT="2024-02-15T13:53:43.66" personId="{F6E7EC2D-8E6E-4BA1-BCDD-6D7FECF08119}" id="{F47FF866-DAB3-4032-B557-C33827152B42}">
    <text>2.75kW allocation reduced due to live reading of 0.6kW</text>
  </threadedComment>
  <threadedComment ref="AH158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H158" dT="2024-08-26T09:47:49.31" personId="{AFB55828-FFC6-4C96-B981-0FAA8F63A769}" id="{77D2742D-9A71-4336-84F9-59C443711175}" parentId="{F47FF866-DAB3-4032-B557-C33827152B42}">
    <text>2.75kW allocation reduced due to live reading of 0.7kW</text>
  </threadedComment>
  <threadedComment ref="AJ158" dT="2023-07-10T10:33:25.92" personId="{4232887B-6F74-4501-885D-8735C5662726}" id="{3A12A018-9767-484B-BE5E-1463CBF28EC4}">
    <text>2kW allocation reduced due to live reading of 0.8kW</text>
  </threadedComment>
  <threadedComment ref="AJ158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8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8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8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8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8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8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8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J158" dT="2024-08-26T09:41:00.14" personId="{AFB55828-FFC6-4C96-B981-0FAA8F63A769}" id="{3E8CBD51-4BB3-4CB6-877D-40069D762088}" parentId="{3A12A018-9767-484B-BE5E-1463CBF28EC4}">
    <text>2kW allocation reduced due to live reading of 0.9kW</text>
  </threadedComment>
  <threadedComment ref="AL158" dT="2023-07-10T11:15:04.50" personId="{F6E7EC2D-8E6E-4BA1-BCDD-6D7FECF08119}" id="{6B7E69A9-675A-49C8-8B7B-D32EC1CE591A}">
    <text>1kW allocation reduced due to live reading of 0.2kW</text>
  </threadedComment>
  <threadedComment ref="AL158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8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8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8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8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8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8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8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8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8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L158" dT="2024-08-26T09:11:08.99" personId="{AFB55828-FFC6-4C96-B981-0FAA8F63A769}" id="{35295164-D015-4F79-A6ED-D8DD287D8302}" parentId="{6B7E69A9-675A-49C8-8B7B-D32EC1CE591A}">
    <text>1kW allocation reduced due to live reading of 0.2kW</text>
  </threadedComment>
  <threadedComment ref="AL158" dT="2024-11-06T11:14:31.63" personId="{AFB55828-FFC6-4C96-B981-0FAA8F63A769}" id="{6CEAC8B3-9968-4435-B302-C7C49F799A64}" parentId="{6B7E69A9-675A-49C8-8B7B-D32EC1CE591A}">
    <text>1kW allocation reduced due to live reading of 0.2kW</text>
  </threadedComment>
  <threadedComment ref="AN158" dT="2023-07-10T11:16:01.29" personId="{F6E7EC2D-8E6E-4BA1-BCDD-6D7FECF08119}" id="{DA813F0C-A1A0-4FBB-89A3-C6332DBE77A8}">
    <text>1kW allocation reduced due to live reading of 0.2kW</text>
  </threadedComment>
  <threadedComment ref="AN158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8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8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8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8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8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8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8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8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N158" dT="2024-08-26T09:09:32.39" personId="{AFB55828-FFC6-4C96-B981-0FAA8F63A769}" id="{D81B79E2-018C-4212-AE85-EB3F73A8CBD0}" parentId="{DA813F0C-A1A0-4FBB-89A3-C6332DBE77A8}">
    <text>1kW allocation reduced due to live reading of 0.2kW</text>
  </threadedComment>
  <threadedComment ref="AN158" dT="2024-11-06T11:14:58.41" personId="{AFB55828-FFC6-4C96-B981-0FAA8F63A769}" id="{B00A7373-1763-4FDD-A174-6E7C84AC3B40}" parentId="{DA813F0C-A1A0-4FBB-89A3-C6332DBE77A8}">
    <text>1kW allocation reduced due to live reading of 0.2kW</text>
  </threadedComment>
  <threadedComment ref="AP158" dT="2023-07-10T11:16:46.65" personId="{F6E7EC2D-8E6E-4BA1-BCDD-6D7FECF08119}" id="{890F15D8-A69B-4378-B072-AE0FC1712FC1}">
    <text>1kW allocation reduced due to live reading of 0.2kW</text>
  </threadedComment>
  <threadedComment ref="AP158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8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8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8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8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8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8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8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8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P158" dT="2024-08-26T09:15:04.65" personId="{AFB55828-FFC6-4C96-B981-0FAA8F63A769}" id="{5680FB25-0984-4BB2-88EC-4ACE566A99E6}" parentId="{890F15D8-A69B-4378-B072-AE0FC1712FC1}">
    <text>1kW allocation reduced due to live reading of 0.2kW</text>
  </threadedComment>
  <threadedComment ref="AP158" dT="2024-11-06T11:15:14.75" personId="{AFB55828-FFC6-4C96-B981-0FAA8F63A769}" id="{31C78A25-A214-4AC6-963A-4D058081CA09}" parentId="{890F15D8-A69B-4378-B072-AE0FC1712FC1}">
    <text>1kW allocation reduced due to live reading of 0.2kW</text>
  </threadedComment>
  <threadedComment ref="AR158" dT="2023-07-10T10:34:16.50" personId="{4232887B-6F74-4501-885D-8735C5662726}" id="{7521DA11-DED6-4917-9B4B-FBB42E48A0E9}">
    <text>2kW allocation reduced due to live reading of 0.5kW</text>
  </threadedComment>
  <threadedComment ref="AR158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8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8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8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8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8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8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8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R158" dT="2024-08-26T10:15:03.99" personId="{AFB55828-FFC6-4C96-B981-0FAA8F63A769}" id="{C89D370B-4B84-467D-AC7D-5ED0A40CECF4}" parentId="{7521DA11-DED6-4917-9B4B-FBB42E48A0E9}">
    <text>2kW allocation reduced due to live reading of 0.5kW</text>
  </threadedComment>
  <threadedComment ref="AT158" dT="2023-07-10T10:35:20.75" personId="{4232887B-6F74-4501-885D-8735C5662726}" id="{3D2379B6-B9AA-4540-9A47-042883B64CF7}">
    <text>2.25kW allocation reduced due to live reading of 1.3kW</text>
  </threadedComment>
  <threadedComment ref="AT158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8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8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8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8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8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8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8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AT158" dT="2024-08-26T10:02:41.60" personId="{AFB55828-FFC6-4C96-B981-0FAA8F63A769}" id="{DE2E8BA5-9031-4956-8E16-7F856E44AE2C}" parentId="{3D2379B6-B9AA-4540-9A47-042883B64CF7}">
    <text>2.25kW allocation reduced due to live reading of 1.4kW</text>
  </threadedComment>
  <threadedComment ref="J159" dT="2023-01-12T14:48:36.36" personId="{BC55F889-AFD3-4AD4-B814-0EDFA8411758}" id="{C0CE6C97-4F34-4056-9CA9-7CCCD9DF5746}">
    <text>Live reading 84A, so 12kW allocation reduced by 4.5kW</text>
  </threadedComment>
  <threadedComment ref="J159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59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59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59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59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59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59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59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59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59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J159" dT="2024-08-26T09:25:36.69" personId="{AFB55828-FFC6-4C96-B981-0FAA8F63A769}" id="{5CB6325E-E828-43F1-828E-E78631304339}" parentId="{C0CE6C97-4F34-4056-9CA9-7CCCD9DF5746}">
    <text>6kW allocation reduced due to live reading of 3.8kW</text>
  </threadedComment>
  <threadedComment ref="J159" dT="2024-11-06T11:03:26.65" personId="{AFB55828-FFC6-4C96-B981-0FAA8F63A769}" id="{43DBA53A-7D61-4D10-AD34-E51055AF9F40}" parentId="{C0CE6C97-4F34-4056-9CA9-7CCCD9DF5746}">
    <text>6kW allocation reduced due to live reading of 2.2kW</text>
  </threadedComment>
  <threadedComment ref="J159" dT="2024-11-06T11:05:29.83" personId="{AFB55828-FFC6-4C96-B981-0FAA8F63A769}" id="{C767FF39-F08A-46C4-96BF-AD96AA7E1468}" parentId="{C0CE6C97-4F34-4056-9CA9-7CCCD9DF5746}">
    <text>6kW allocation reduced due to live reading of 3.6kW</text>
  </threadedComment>
  <threadedComment ref="L159" personId="{31CF382B-C4A6-482E-AE04-28CACDB6A63A}" id="{DFD3C8F5-5E4C-43C2-838F-251E04361D29}">
    <text>Jul-21 Was 5kW total but confirmed currently running at 3.5kW, so 0.75kw left per system</text>
  </threadedComment>
  <threadedComment ref="L159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59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59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59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59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59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59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59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59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59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L159" dT="2024-08-26T09:18:13.45" personId="{AFB55828-FFC6-4C96-B981-0FAA8F63A769}" id="{FA24FE6E-AF69-436C-A6BD-2FD10006D853}" parentId="{DFD3C8F5-5E4C-43C2-838F-251E04361D29}">
    <text>2.5kW allocation reduced due to live reading of 2kW</text>
  </threadedComment>
  <threadedComment ref="L159" dT="2024-11-06T11:10:18.08" personId="{AFB55828-FFC6-4C96-B981-0FAA8F63A769}" id="{873E6372-4D0C-47CE-B295-A61463330F8E}" parentId="{DFD3C8F5-5E4C-43C2-838F-251E04361D29}">
    <text>2.5kW allocation reduced due to live reading of 1.8kW</text>
  </threadedComment>
  <threadedComment ref="M159" dT="2024-06-19T16:17:44.15" personId="{7807B229-714C-4AA1-8F83-E7F46ACB7D83}" id="{403AA01F-7F2B-44B9-87D9-5C1E9829EF74}">
    <text>Allocated for ORMT_SAP_231220_15_10335416</text>
  </threadedComment>
  <threadedComment ref="R159" dT="2022-05-26T10:45:25.11" personId="{BC55F889-AFD3-4AD4-B814-0EDFA8411758}" id="{9094F797-B709-4F15-914E-4CEB5E535EBC}">
    <text>Total 6kW allocation reduced due to onsite reading of 3.9kW</text>
  </threadedComment>
  <threadedComment ref="R159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59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59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59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59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59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59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59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59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59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R159" dT="2024-08-26T10:11:01.81" personId="{AFB55828-FFC6-4C96-B981-0FAA8F63A769}" id="{BB4E9583-BE39-488B-BE39-9DC08B26C221}" parentId="{9094F797-B709-4F15-914E-4CEB5E535EBC}">
    <text>3kW allocation reduced due to live reading of 2.4kW</text>
  </threadedComment>
  <threadedComment ref="R159" dT="2024-11-06T11:11:40.74" personId="{AFB55828-FFC6-4C96-B981-0FAA8F63A769}" id="{493F90A4-DF95-4D24-BA88-A938F167DE00}" parentId="{9094F797-B709-4F15-914E-4CEB5E535EBC}">
    <text>3kW allocation reduced due to live reading of 2.85kW</text>
  </threadedComment>
  <threadedComment ref="T159" dT="2023-07-10T10:29:50.88" personId="{4232887B-6F74-4501-885D-8735C5662726}" id="{C19ED06B-3C47-4BDB-848F-B600DAF7523A}">
    <text>2.25kW allocation reduced due to live reading of 1.4kW</text>
  </threadedComment>
  <threadedComment ref="T159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59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59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59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59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59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59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59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T159" dT="2024-08-26T09:58:44.42" personId="{AFB55828-FFC6-4C96-B981-0FAA8F63A769}" id="{F247ECF2-25A6-4989-BF5A-468670FC7F96}" parentId="{C19ED06B-3C47-4BDB-848F-B600DAF7523A}">
    <text>2.25kW allocation reduced due to live reading of 1.4kW</text>
  </threadedComment>
  <threadedComment ref="V159" dT="2023-07-10T10:30:50.38" personId="{4232887B-6F74-4501-885D-8735C5662726}" id="{3BC4137D-C096-4233-ABD6-52FFD82811CA}">
    <text>1.45kW allocation reduced due to live reading of 0.5kW</text>
  </threadedComment>
  <threadedComment ref="V159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59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59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59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59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59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59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V159" dT="2024-08-26T09:55:45.42" personId="{AFB55828-FFC6-4C96-B981-0FAA8F63A769}" id="{4174379E-E3AD-4E35-AFF5-5E0A016EA3ED}" parentId="{3BC4137D-C096-4233-ABD6-52FFD82811CA}">
    <text>1.45kW allocation reduced due to live reading of 0.5kW</text>
  </threadedComment>
  <threadedComment ref="X159" dT="2022-05-26T10:43:39.63" personId="{BC55F889-AFD3-4AD4-B814-0EDFA8411758}" id="{07BAF235-FBDE-4538-9CC8-385995F0BD80}">
    <text>Totla 4.5kW allocation reduced due to live reading of 2kW</text>
  </threadedComment>
  <threadedComment ref="X159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59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59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59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59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59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59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59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59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59" dT="2023-07-10T10:31:47.60" personId="{4232887B-6F74-4501-885D-8735C5662726}" id="{C57814D6-E338-42A2-95E4-5DC7575FDB2E}">
    <text>0.9kW allocation reduced due to live reading of 0.5kW</text>
  </threadedComment>
  <threadedComment ref="Z159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59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59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59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59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59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59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59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Z159" dT="2024-08-26T09:51:17.55" personId="{AFB55828-FFC6-4C96-B981-0FAA8F63A769}" id="{68B5F0DD-41E9-4CEB-A04C-D886A76C6B53}" parentId="{C57814D6-E338-42A2-95E4-5DC7575FDB2E}">
    <text>0.9kW allocation reduced due to live reading of 0.5kW</text>
  </threadedComment>
  <threadedComment ref="AB159" dT="2022-05-26T10:41:36.66" personId="{BC55F889-AFD3-4AD4-B814-0EDFA8411758}" id="{5EC7CCC9-797D-49F4-855B-AA05904210A0}">
    <text>Total 6.5kW reduced due to 5.6kW live reading</text>
  </threadedComment>
  <threadedComment ref="AB159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59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59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59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59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59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59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59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59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59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B159" dT="2024-08-26T09:30:29.54" personId="{AFB55828-FFC6-4C96-B981-0FAA8F63A769}" id="{2BBAA329-5B83-4416-91F3-B388803F0410}" parentId="{5EC7CCC9-797D-49F4-855B-AA05904210A0}">
    <text>3.25kW allocation reduced due to live reading of 2.8kW</text>
  </threadedComment>
  <threadedComment ref="AD159" dT="2022-05-26T11:14:05.47" personId="{BC55F889-AFD3-4AD4-B814-0EDFA8411758}" id="{BC3502CB-48B3-4093-BF35-2974894C942A}">
    <text>Total 4kW allocation reduced due to live reading of 2.2kW</text>
  </threadedComment>
  <threadedComment ref="AD159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59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59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59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59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59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59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59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D159" dT="2024-08-26T09:44:55.27" personId="{AFB55828-FFC6-4C96-B981-0FAA8F63A769}" id="{7396B162-E86D-432B-96E3-770D8495177D}" parentId="{BC3502CB-48B3-4093-BF35-2974894C942A}">
    <text>2kW allocation reduced due to live reading of 0.6kW</text>
  </threadedComment>
  <threadedComment ref="AF159" dT="2023-11-09T16:00:13.27" personId="{F6E7EC2D-8E6E-4BA1-BCDD-6D7FECF08119}" id="{54F13D00-417B-42AB-9706-B0CBF542A0DC}">
    <text>2.1kW allocation reduced due to live reading of 0.3kW</text>
  </threadedComment>
  <threadedComment ref="AF159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59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59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59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59" dT="2024-02-15T13:54:12.85" personId="{F6E7EC2D-8E6E-4BA1-BCDD-6D7FECF08119}" id="{B263CE98-AEC0-4590-8B89-91F9A61C834E}">
    <text>2.75kW allocation reduced due to live reading of 0.7kW</text>
  </threadedComment>
  <threadedComment ref="AH159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H159" dT="2024-08-26T09:48:18.64" personId="{AFB55828-FFC6-4C96-B981-0FAA8F63A769}" id="{46CBC380-8175-4129-8753-E1FA61FEA029}" parentId="{B263CE98-AEC0-4590-8B89-91F9A61C834E}">
    <text>2.75kW allocation reduced due to live reading of 0.7kW</text>
  </threadedComment>
  <threadedComment ref="AJ159" dT="2023-07-10T10:33:25.92" personId="{4232887B-6F74-4501-885D-8735C5662726}" id="{ABD4042A-410F-4ABB-8C2F-0BF10C5D9B68}">
    <text>2kW allocation reduced due to live reading of 0.8kW</text>
  </threadedComment>
  <threadedComment ref="AJ159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59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59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59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59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59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59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59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J159" dT="2024-08-26T09:41:50.72" personId="{AFB55828-FFC6-4C96-B981-0FAA8F63A769}" id="{FD5E7581-89F1-43F5-8360-AD1AF7A1B8BA}" parentId="{ABD4042A-410F-4ABB-8C2F-0BF10C5D9B68}">
    <text>2kW allocation reduced due to live reading of 0.8kW</text>
  </threadedComment>
  <threadedComment ref="AL159" dT="2023-07-10T11:15:29.85" personId="{F6E7EC2D-8E6E-4BA1-BCDD-6D7FECF08119}" id="{D00D10DD-A1A1-4798-B053-2EBA5F23714C}">
    <text>1kW allocation reduced due to live reading of 0.2kW</text>
  </threadedComment>
  <threadedComment ref="AL159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59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59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59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59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59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59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59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L159" dT="2024-08-26T09:11:28.05" personId="{AFB55828-FFC6-4C96-B981-0FAA8F63A769}" id="{6648388C-3775-4B2A-9806-196583E8E8DB}" parentId="{D00D10DD-A1A1-4798-B053-2EBA5F23714C}">
    <text>1kW allocation reduced due to live reading of 0.2kW</text>
  </threadedComment>
  <threadedComment ref="AL159" dT="2024-11-06T11:14:43.74" personId="{AFB55828-FFC6-4C96-B981-0FAA8F63A769}" id="{6C094F2F-7C2B-43A9-81DE-4BBE2F794EC2}" parentId="{D00D10DD-A1A1-4798-B053-2EBA5F23714C}">
    <text>1kW allocation reduced due to live reading of 0.2kW</text>
  </threadedComment>
  <threadedComment ref="AN159" dT="2023-07-10T11:16:01.29" personId="{F6E7EC2D-8E6E-4BA1-BCDD-6D7FECF08119}" id="{4255C8D4-58EF-433F-BD16-105491E73B73}">
    <text>1kW allocation reduced due to live reading of 0.2kW</text>
  </threadedComment>
  <threadedComment ref="AN159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59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59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59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59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59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59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59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59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N159" dT="2024-08-26T09:09:59.75" personId="{AFB55828-FFC6-4C96-B981-0FAA8F63A769}" id="{820551AF-3217-45B9-AFDE-22B479190D87}" parentId="{4255C8D4-58EF-433F-BD16-105491E73B73}">
    <text>1kW allocation reduced due to live reading of 0.2kW</text>
  </threadedComment>
  <threadedComment ref="AN159" dT="2024-11-06T11:15:07.16" personId="{AFB55828-FFC6-4C96-B981-0FAA8F63A769}" id="{E5F15AB3-33EC-4751-A56C-C13D65569101}" parentId="{4255C8D4-58EF-433F-BD16-105491E73B73}">
    <text>1kW allocation reduced due to live reading of 0.2kW</text>
  </threadedComment>
  <threadedComment ref="AP159" dT="2023-07-10T11:16:46.65" personId="{F6E7EC2D-8E6E-4BA1-BCDD-6D7FECF08119}" id="{ACB0F551-3943-42F1-B6D5-C260226122EB}">
    <text>1kW allocation reduced due to live reading of 0.2kW</text>
  </threadedComment>
  <threadedComment ref="AP159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59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59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59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59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59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59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59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59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P159" dT="2024-08-26T09:15:12.03" personId="{AFB55828-FFC6-4C96-B981-0FAA8F63A769}" id="{675CD7D7-D0E6-439E-93EB-36AE8BA79011}" parentId="{ACB0F551-3943-42F1-B6D5-C260226122EB}">
    <text>1kW allocation reduced due to live reading of 0.2kW</text>
  </threadedComment>
  <threadedComment ref="AP159" dT="2024-11-06T11:15:22.77" personId="{AFB55828-FFC6-4C96-B981-0FAA8F63A769}" id="{A8266AD4-D90F-46FE-938D-CC455F9205BB}" parentId="{ACB0F551-3943-42F1-B6D5-C260226122EB}">
    <text>1kW allocation reduced due to live reading of 0.2kW</text>
  </threadedComment>
  <threadedComment ref="AR159" dT="2023-07-10T10:34:16.50" personId="{4232887B-6F74-4501-885D-8735C5662726}" id="{FE344764-C392-4008-88B4-4FED49439600}">
    <text>2kW allocation reduced due to live reading of 0.5kW</text>
  </threadedComment>
  <threadedComment ref="AR159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59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59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59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59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59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59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59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R159" dT="2024-08-26T10:15:16.81" personId="{AFB55828-FFC6-4C96-B981-0FAA8F63A769}" id="{5FF592F2-D84F-4FF2-B891-1AB358412FF2}" parentId="{FE344764-C392-4008-88B4-4FED49439600}">
    <text>2kW allocation reduced due to live reading of 0.5kW</text>
  </threadedComment>
  <threadedComment ref="AT159" dT="2023-07-10T10:35:20.75" personId="{4232887B-6F74-4501-885D-8735C5662726}" id="{F48E0F16-928E-4F94-B30C-1A7D81825C61}">
    <text>2.25kW allocation reduced due to live reading of 1.3kW</text>
  </threadedComment>
  <threadedComment ref="AT159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59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59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59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59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59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59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59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AT159" dT="2024-08-26T10:03:37.15" personId="{AFB55828-FFC6-4C96-B981-0FAA8F63A769}" id="{C3EA183C-329A-4B6B-A486-A57340FD3146}" parentId="{F48E0F16-928E-4F94-B30C-1A7D81825C61}">
    <text>2.25kW allocation reduced due to live reading of 1.3kW</text>
  </threadedComment>
  <threadedComment ref="J161" dT="2024-02-12T14:54:04.74" personId="{A4663B00-DB85-420B-AE65-1E515148FDF2}" id="{45E710FF-B977-4C06-BC16-8010DA96BCFA}">
    <text>Additional XG210 is planned in existing rack E10 under ORMT_SAP_240212_3_w019357</text>
  </threadedComment>
  <threadedComment ref="L161" dT="2024-08-16T15:36:12.91" personId="{A4663B00-DB85-420B-AE65-1E515148FDF2}" id="{1320CD95-E0CD-4DE8-8ADE-F0D1D077B697}">
    <text>Additional ADVA FSP is planned under ORMT_SAP_240814_13_Y857420</text>
  </threadedComment>
  <threadedComment ref="M161" dT="2024-10-24T11:43:26.79" personId="{23875134-620F-49C7-896C-147D628FB6EA}" id="{CABBE1CA-C428-4216-A070-A7289BE740EB}">
    <text>ORMT_SAP_240517_1_11255170 is planned for Nokia 7750 SR2s</text>
  </threadedComment>
  <threadedComment ref="J168" dT="2022-03-18T12:18:07.10" personId="{ABF5BCE6-B512-42E2-8B64-A070C9ED38DE}" id="{913A52A0-1214-4904-A32C-AC1A9545BE2A}">
    <text>reduced from 5kW to 3kW estimated usage</text>
  </threadedComment>
  <threadedComment ref="J168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0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0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1" dT="2022-05-26T12:14:05.77" personId="{BC55F889-AFD3-4AD4-B814-0EDFA8411758}" id="{A592035E-72A3-4FC7-8666-C397C4798F90}">
    <text>5kW allocation reduced due to live reading of 2.5kW</text>
  </threadedComment>
  <threadedComment ref="J171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1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1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1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1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1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1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1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1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1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J171" dT="2024-08-14T17:12:01.20" personId="{AFB55828-FFC6-4C96-B981-0FAA8F63A769}" id="{B67657D9-B8AD-4465-93EB-74429AD4B87D}" parentId="{A592035E-72A3-4FC7-8666-C397C4798F90}">
    <text>2.5kW allocation reduced due to live reading of 2.1kW</text>
  </threadedComment>
  <threadedComment ref="J171" dT="2024-11-05T14:53:23.75" personId="{AFB55828-FFC6-4C96-B981-0FAA8F63A769}" id="{F8B925CE-4D69-4A6D-A327-9A2467E0B5F2}" parentId="{A592035E-72A3-4FC7-8666-C397C4798F90}">
    <text>2.5kW allocation reduced due to live reading of 2.1kW</text>
  </threadedComment>
  <threadedComment ref="L171" dT="2022-05-26T12:15:02.86" personId="{BC55F889-AFD3-4AD4-B814-0EDFA8411758}" id="{64B57CBA-68A7-4BEC-B6C5-DF54244443E4}">
    <text>12kW allocation reduced due to live reading of 1.7kW</text>
  </threadedComment>
  <threadedComment ref="L171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1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1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1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1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1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1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1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1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L171" dT="2024-08-14T17:18:54.46" personId="{AFB55828-FFC6-4C96-B981-0FAA8F63A769}" id="{382523A4-5D9E-4575-8717-1D1E050EF0E7}" parentId="{64B57CBA-68A7-4BEC-B6C5-DF54244443E4}">
    <text>6kW allocation reduced due to live reading of 0.9kW</text>
  </threadedComment>
  <threadedComment ref="L171" dT="2024-11-05T15:03:54.58" personId="{AFB55828-FFC6-4C96-B981-0FAA8F63A769}" id="{A66F308A-4E3C-404A-B6B0-81577FDF1EC4}" parentId="{64B57CBA-68A7-4BEC-B6C5-DF54244443E4}">
    <text>6kW allocation reduced due to live reading of 0.9kW</text>
  </threadedComment>
  <threadedComment ref="N171" dT="2023-08-03T14:27:15.67" personId="{F6E7EC2D-8E6E-4BA1-BCDD-6D7FECF08119}" id="{54B92F99-AAE3-4F4D-98AC-D8E29708EC2A}">
    <text>2kW allocation reduced due to live reading of 0.3kW</text>
  </threadedComment>
  <threadedComment ref="N171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1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1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1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1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1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1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1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N171" dT="2024-08-14T17:14:54.80" personId="{AFB55828-FFC6-4C96-B981-0FAA8F63A769}" id="{564C1F00-63B2-4A34-8DCD-256CD6E815D0}" parentId="{54B92F99-AAE3-4F4D-98AC-D8E29708EC2A}">
    <text>1kW allocation reduced due to live reading of 0.2kW</text>
  </threadedComment>
  <threadedComment ref="N171" dT="2024-11-05T15:03:12.03" personId="{AFB55828-FFC6-4C96-B981-0FAA8F63A769}" id="{E840657F-C2B5-4843-A209-7EECD35F53E5}" parentId="{54B92F99-AAE3-4F4D-98AC-D8E29708EC2A}">
    <text>1kW allocation reduced due to live reading of 0.2kW</text>
  </threadedComment>
  <threadedComment ref="Q171" dT="2023-09-26T13:50:18.29" personId="{1E6DD3F2-E860-47E0-8C0E-4DFC2954E528}" id="{22D99612-71FE-4752-86BE-FEA969AB8EF6}">
    <text>ORMT_SAP_230809_13_Y854576 - Given for power upgrade</text>
  </threadedComment>
  <threadedComment ref="J172" dT="2022-05-26T12:14:05.77" personId="{BC55F889-AFD3-4AD4-B814-0EDFA8411758}" id="{127082A1-2223-4E87-AF06-6310C9CF65FE}">
    <text>5kW allocation reduced due to live reading of 2.5kW</text>
  </threadedComment>
  <threadedComment ref="J172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2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2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2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2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2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2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2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2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2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J172" dT="2024-08-14T17:12:36.45" personId="{AFB55828-FFC6-4C96-B981-0FAA8F63A769}" id="{D042D6AC-BC8F-461B-A73C-60CC90C8EF7D}" parentId="{127082A1-2223-4E87-AF06-6310C9CF65FE}">
    <text>2.5kW allocation reduced due to live reading of 1.2kW</text>
  </threadedComment>
  <threadedComment ref="J172" dT="2024-11-05T15:00:47.02" personId="{AFB55828-FFC6-4C96-B981-0FAA8F63A769}" id="{644404C1-0F64-49BE-A22A-D26D1577BB95}" parentId="{127082A1-2223-4E87-AF06-6310C9CF65FE}">
    <text>2.5kW allocation reduced due to live reading of 1.2kW</text>
  </threadedComment>
  <threadedComment ref="L172" dT="2022-05-26T12:15:02.86" personId="{BC55F889-AFD3-4AD4-B814-0EDFA8411758}" id="{50B8E2B5-062F-49B2-8DE1-88A68C3FBB2C}">
    <text>12kW allocation reduced due to live reading of 1.7kW</text>
  </threadedComment>
  <threadedComment ref="L172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2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2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2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2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2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2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2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2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2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L172" dT="2024-08-14T17:19:24.52" personId="{AFB55828-FFC6-4C96-B981-0FAA8F63A769}" id="{82C9647E-1DBE-4F27-8C51-17DC503C2947}" parentId="{50B8E2B5-062F-49B2-8DE1-88A68C3FBB2C}">
    <text>6kW allocation reduced due to live reading of 0.8kW</text>
  </threadedComment>
  <threadedComment ref="L172" dT="2024-11-05T15:04:14.27" personId="{AFB55828-FFC6-4C96-B981-0FAA8F63A769}" id="{4CA3C464-D4CD-42BF-A9AF-F92B439F0DCB}" parentId="{50B8E2B5-062F-49B2-8DE1-88A68C3FBB2C}">
    <text>6kW allocation reduced due to live reading of 0.8kW</text>
  </threadedComment>
  <threadedComment ref="N172" dT="2023-08-03T14:27:15.67" personId="{F6E7EC2D-8E6E-4BA1-BCDD-6D7FECF08119}" id="{E03B402C-E55A-45A4-8F57-C2FEFF861C90}">
    <text>2kW allocation reduced due to live reading of 0.3kW</text>
  </threadedComment>
  <threadedComment ref="N172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2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2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2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2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2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2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2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N172" dT="2024-08-14T17:15:30.80" personId="{AFB55828-FFC6-4C96-B981-0FAA8F63A769}" id="{09DC27B7-AD21-47BE-B2AC-7D837E02E6EF}" parentId="{E03B402C-E55A-45A4-8F57-C2FEFF861C90}">
    <text>1kW allocation reduced due to live reading of 0.1kW</text>
  </threadedComment>
  <threadedComment ref="N172" dT="2024-11-05T15:03:25.61" personId="{AFB55828-FFC6-4C96-B981-0FAA8F63A769}" id="{21394D9B-BDE0-4EAD-9894-96736F543ACC}" parentId="{E03B402C-E55A-45A4-8F57-C2FEFF861C90}">
    <text>1kW allocation reduced due to live reading of 0.1kW</text>
  </threadedComment>
  <threadedComment ref="Q172" dT="2023-09-26T13:50:18.29" personId="{1E6DD3F2-E860-47E0-8C0E-4DFC2954E528}" id="{342BF346-313E-49F7-8E8C-D6D0932AFEA6}">
    <text>ORMT_SAP_230809_13_Y854576 - Given for power upgrade</text>
  </threadedComment>
  <threadedComment ref="J177" dT="2022-05-26T12:32:19.60" personId="{BC55F889-AFD3-4AD4-B814-0EDFA8411758}" id="{C9C11970-FD79-472E-BF7F-AF6EFB5EEBFF}">
    <text>5kW allocation reduced due to live reading of 2.5kW</text>
  </threadedComment>
  <threadedComment ref="J177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7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7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7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7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7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7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7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7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J177" dT="2024-08-18T17:09:25.95" personId="{AFB55828-FFC6-4C96-B981-0FAA8F63A769}" id="{2CF36752-CB87-48D0-B3EB-C598F3850246}" parentId="{C9C11970-FD79-472E-BF7F-AF6EFB5EEBFF}">
    <text>2.5 kW allocation reduced due to live reading of 1.6kW</text>
  </threadedComment>
  <threadedComment ref="J177" dT="2024-11-05T15:31:03.39" personId="{AFB55828-FFC6-4C96-B981-0FAA8F63A769}" id="{0325DF22-5E3E-4EF9-978B-E969EA127EC6}" parentId="{C9C11970-FD79-472E-BF7F-AF6EFB5EEBFF}">
    <text>2.5 kW allocation reduced due to live reading of 1.5kW</text>
  </threadedComment>
  <threadedComment ref="L177" dT="2024-06-20T16:06:53.42" personId="{AFB55828-FFC6-4C96-B981-0FAA8F63A769}" id="{F458ADEE-636D-499F-B3DA-2C5753FAC5F2}">
    <text>6 kW allocation reduced due to live reading of 0.1 kW</text>
  </threadedComment>
  <threadedComment ref="L177" dT="2024-08-18T17:05:02.72" personId="{AFB55828-FFC6-4C96-B981-0FAA8F63A769}" id="{01BFC765-8379-487D-96E3-B99A2B8377DE}" parentId="{F458ADEE-636D-499F-B3DA-2C5753FAC5F2}">
    <text>6 kW allocation reduced due to live reading of 0.1 kW</text>
  </threadedComment>
  <threadedComment ref="L177" dT="2024-11-05T15:34:04.59" personId="{AFB55828-FFC6-4C96-B981-0FAA8F63A769}" id="{DA93A638-2569-4980-A0F9-EAD41A775B93}" parentId="{F458ADEE-636D-499F-B3DA-2C5753FAC5F2}">
    <text>6 kW allocation reduced due to live reading of 0.1 kW</text>
  </threadedComment>
  <threadedComment ref="J178" dT="2022-05-26T12:32:19.60" personId="{BC55F889-AFD3-4AD4-B814-0EDFA8411758}" id="{75C686FC-4E1E-4702-90C5-C8D0A2AECFBE}">
    <text>5kW allocation reduced due to live reading of 2.5kW</text>
  </threadedComment>
  <threadedComment ref="J178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8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8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8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8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8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8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8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8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8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8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J178" dT="2024-08-18T17:10:36.72" personId="{AFB55828-FFC6-4C96-B981-0FAA8F63A769}" id="{9BE5213C-C12C-465E-B28D-36813F8375FB}" parentId="{75C686FC-4E1E-4702-90C5-C8D0A2AECFBE}">
    <text>2.5 kW allocation reduced due to live reading of 0.9kW</text>
  </threadedComment>
  <threadedComment ref="J178" dT="2024-11-05T15:32:34.44" personId="{AFB55828-FFC6-4C96-B981-0FAA8F63A769}" id="{D48CE1EC-9FF2-4221-BF39-D9C3D328C996}" parentId="{75C686FC-4E1E-4702-90C5-C8D0A2AECFBE}">
    <text>2.5 kW allocation reduced due to live reading of 0.9kW</text>
  </threadedComment>
  <threadedComment ref="L178" dT="2023-10-19T11:15:39.34" personId="{F6E7EC2D-8E6E-4BA1-BCDD-6D7FECF08119}" id="{7E2810B3-4E2E-40C7-B20F-0D2F21E8FD8D}">
    <text>6 kW allocation reduced due to live reading of 0.1 kW</text>
  </threadedComment>
  <threadedComment ref="L178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8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8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8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8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8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L178" dT="2024-08-18T17:05:34.33" personId="{AFB55828-FFC6-4C96-B981-0FAA8F63A769}" id="{D31F49EE-FECC-4D10-B21E-CE2840395E0D}" parentId="{7E2810B3-4E2E-40C7-B20F-0D2F21E8FD8D}">
    <text>6 kW allocation reduced due to live reading of 0.1 kW</text>
  </threadedComment>
  <threadedComment ref="L178" dT="2024-11-05T15:34:13.40" personId="{AFB55828-FFC6-4C96-B981-0FAA8F63A769}" id="{5B25C34C-E7C8-4CB8-A02F-E896BBAFC09E}" parentId="{7E2810B3-4E2E-40C7-B20F-0D2F21E8FD8D}">
    <text>6 kW allocation reduced due to live reading of 0.1 kW</text>
  </threadedComment>
  <threadedComment ref="J183" dT="2023-01-12T14:52:34.20" personId="{BC55F889-AFD3-4AD4-B814-0EDFA8411758}" id="{C1F30253-AA19-4D8E-8179-5142F3863F05}">
    <text>Live reading 45A, so 5kW allocation reduced by 2.5kW</text>
  </threadedComment>
  <threadedComment ref="J183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3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3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3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3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3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3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3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3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3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J183" dT="2024-11-05T15:43:55.78" personId="{AFB55828-FFC6-4C96-B981-0FAA8F63A769}" id="{436E3CCF-A5B6-4FA0-B053-581E6CBFE6C0}" parentId="{C1F30253-AA19-4D8E-8179-5142F3863F05}">
    <text>2.5kW allocation reduced due to live reading of 0.9KW</text>
  </threadedComment>
  <threadedComment ref="L183" dT="2023-07-11T10:01:35.26" personId="{4232887B-6F74-4501-885D-8735C5662726}" id="{7A3EEF28-E41B-47FB-9D37-78E9253508FC}">
    <text>6kW allocation reduced due to live reading of 3.8kW</text>
  </threadedComment>
  <threadedComment ref="L183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3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3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3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L183" dT="2024-08-19T14:19:58.37" personId="{AFB55828-FFC6-4C96-B981-0FAA8F63A769}" id="{72EE818F-DCF6-4715-8DB1-2BBF4918949B}" parentId="{7A3EEF28-E41B-47FB-9D37-78E9253508FC}">
    <text>6kW allocation reduced due to live reading of 3.8kW</text>
  </threadedComment>
  <threadedComment ref="L183" dT="2024-11-05T15:41:21.44" personId="{AFB55828-FFC6-4C96-B981-0FAA8F63A769}" id="{01BDD273-A15A-4CF5-B0F7-1BF3F1E743EF}" parentId="{7A3EEF28-E41B-47FB-9D37-78E9253508FC}">
    <text>6kW allocation reduced due to live reading of 3.9kW</text>
  </threadedComment>
  <threadedComment ref="N183" dT="2023-07-11T09:57:50.36" personId="{4232887B-6F74-4501-885D-8735C5662726}" id="{18F0FFC2-7128-4ACC-A2DE-9DEA7A884300}">
    <text>2kW allocation reduced due to live reading of 0.2kW</text>
  </threadedComment>
  <threadedComment ref="N183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3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3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3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3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3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3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3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3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3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N183" dT="2024-08-19T14:20:53.65" personId="{AFB55828-FFC6-4C96-B981-0FAA8F63A769}" id="{2623CE42-529A-4825-8A8B-3432539C1BCF}" parentId="{18F0FFC2-7128-4ACC-A2DE-9DEA7A884300}">
    <text>2kW allocation reduced due to live reading of 0.1kW</text>
  </threadedComment>
  <threadedComment ref="N183" dT="2024-11-05T15:45:28.17" personId="{AFB55828-FFC6-4C96-B981-0FAA8F63A769}" id="{0592AA28-3272-421A-B9FB-BC41DC7891A8}" parentId="{18F0FFC2-7128-4ACC-A2DE-9DEA7A884300}">
    <text>2kW allocation reduced due to live reading of 0.2kW</text>
  </threadedComment>
  <threadedComment ref="J184" dT="2023-01-12T14:52:34.20" personId="{BC55F889-AFD3-4AD4-B814-0EDFA8411758}" id="{DA807511-86E3-438D-9847-9397099C8982}">
    <text>Live reading 45A, so 5kW allocation reduced by 2.5kW</text>
  </threadedComment>
  <threadedComment ref="J186" dT="2023-01-12T14:52:34.20" personId="{BC55F889-AFD3-4AD4-B814-0EDFA8411758}" id="{FB60A2D1-972F-4B52-855D-21B0E18949F0}">
    <text>Live reading 45A, so 5kW allocation reduced by 2.5kW</text>
  </threadedComment>
  <threadedComment ref="L186" dT="2023-07-11T10:51:19.39" personId="{4232887B-6F74-4501-885D-8735C5662726}" id="{E2CA077F-D5F3-4FA3-9B2D-5314D1F0E450}">
    <text>6kW allocation reduced due to live reading of 0.1kW</text>
  </threadedComment>
  <threadedComment ref="L186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6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6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6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6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6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6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6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6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6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L186" dT="2024-08-19T14:28:33.34" personId="{AFB55828-FFC6-4C96-B981-0FAA8F63A769}" id="{A7FACC0E-4356-4DBF-989D-2A9D294F55A5}" parentId="{E2CA077F-D5F3-4FA3-9B2D-5314D1F0E450}">
    <text>6kW allocation reduced due to live reading of 0.3kW</text>
  </threadedComment>
  <threadedComment ref="L186" dT="2024-11-05T15:58:42.48" personId="{AFB55828-FFC6-4C96-B981-0FAA8F63A769}" id="{5E17F9BB-D290-4F47-A688-DE2F455B285A}" parentId="{E2CA077F-D5F3-4FA3-9B2D-5314D1F0E450}">
    <text>6kW allocation reduced due to live reading of 0.2kW</text>
  </threadedComment>
  <threadedComment ref="L186" dT="2024-11-06T12:56:00.42" personId="{AFB55828-FFC6-4C96-B981-0FAA8F63A769}" id="{71369A22-DFE9-4F4E-9A5D-039587157271}" parentId="{E2CA077F-D5F3-4FA3-9B2D-5314D1F0E450}">
    <text>3kW allocation reduced due to live reading of 0.2kW</text>
  </threadedComment>
  <threadedComment ref="P186" dT="2023-08-07T12:59:32.12" personId="{4232887B-6F74-4501-885D-8735C5662726}" id="{2586D917-98E1-4139-A78B-693D5C991578}">
    <text>2.5kW allocation reduced due to live reading of 1.2kW</text>
  </threadedComment>
  <threadedComment ref="P186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P186" dT="2024-08-19T14:32:29.90" personId="{AFB55828-FFC6-4C96-B981-0FAA8F63A769}" id="{4F2018A0-9A13-4227-BD2C-FB005E0B479F}" parentId="{2586D917-98E1-4139-A78B-693D5C991578}">
    <text>2.5kW allocation reduced due to live reading of 2.5kW</text>
  </threadedComment>
  <threadedComment ref="P186" dT="2024-11-05T15:59:19.08" personId="{AFB55828-FFC6-4C96-B981-0FAA8F63A769}" id="{CB1D90BE-762F-4866-B1EF-3D0F7E6D6B83}" parentId="{2586D917-98E1-4139-A78B-693D5C991578}">
    <text>2.5kW allocation reduced due to live reading of 1.3kW</text>
  </threadedComment>
  <threadedComment ref="R186" dT="2023-08-07T12:55:59.86" personId="{4232887B-6F74-4501-885D-8735C5662726}" id="{F9486AA7-1773-4A55-9EA9-ECC60C475D75}">
    <text>1kW allocation reduced due to live reading of 0.1kW</text>
  </threadedComment>
  <threadedComment ref="R186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6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6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6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6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6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6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6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6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R186" dT="2024-08-19T14:29:59.13" personId="{AFB55828-FFC6-4C96-B981-0FAA8F63A769}" id="{A137EFEB-E266-4405-9B49-F7B8A2AFE04B}" parentId="{F9486AA7-1773-4A55-9EA9-ECC60C475D75}">
    <text>1kW allocation reduced due to live reading of 0.1kW</text>
  </threadedComment>
  <threadedComment ref="R186" dT="2024-11-05T16:00:22.46" personId="{AFB55828-FFC6-4C96-B981-0FAA8F63A769}" id="{57D1FBAF-3E84-409E-A4AD-459D30533EF3}" parentId="{F9486AA7-1773-4A55-9EA9-ECC60C475D75}">
    <text>1kW allocation reduced due to live reading of 0.1kW</text>
  </threadedComment>
  <threadedComment ref="J187" dT="2023-01-12T14:52:34.20" personId="{BC55F889-AFD3-4AD4-B814-0EDFA8411758}" id="{A804BA05-8176-439D-B29D-BC7B428A8250}">
    <text>Live reading 45A, so 5kW allocation reduced by 2.5kW</text>
  </threadedComment>
  <threadedComment ref="L187" dT="2024-11-06T12:56:46.87" personId="{AFB55828-FFC6-4C96-B981-0FAA8F63A769}" id="{3689783D-6573-45B5-9031-11205A199D83}">
    <text>3kW allocation reduced due to live reading of 0.2kW</text>
  </threadedComment>
  <threadedComment ref="P187" dT="2023-08-07T12:59:32.12" personId="{4232887B-6F74-4501-885D-8735C5662726}" id="{9BE858F5-D6ED-4133-9181-2F46EBBEA77C}">
    <text>2.5kW allocation reduced due to live reading of 1.2kW</text>
  </threadedComment>
  <threadedComment ref="P187" dT="2024-11-06T12:54:15.27" personId="{AFB55828-FFC6-4C96-B981-0FAA8F63A769}" id="{F48BDA5A-1002-4685-BC2D-EBF14204E572}" parentId="{9BE858F5-D6ED-4133-9181-2F46EBBEA77C}">
    <text>2.5kW allocation reduced due to live reading of 1.3kW</text>
  </threadedComment>
  <threadedComment ref="R187" dT="2023-08-07T12:55:59.86" personId="{4232887B-6F74-4501-885D-8735C5662726}" id="{5DCCB260-FD64-4D67-8BCE-8B64FBEFE58C}">
    <text>1kW allocation reduced due to live reading of 0.1kW</text>
  </threadedComment>
  <threadedComment ref="R187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7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7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7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7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7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7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7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7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R187" dT="2024-08-19T14:30:15.33" personId="{AFB55828-FFC6-4C96-B981-0FAA8F63A769}" id="{B6948D58-56B0-4D01-9914-67BCBF61FF08}" parentId="{5DCCB260-FD64-4D67-8BCE-8B64FBEFE58C}">
    <text>1kW allocation reduced due to live reading of 0.1kW</text>
  </threadedComment>
  <threadedComment ref="K189" dT="2024-04-26T11:03:41.49" personId="{7807B229-714C-4AA1-8F83-E7F46ACB7D83}" id="{2A3326CB-D634-4DB9-81C6-9AB9C65BF961}">
    <text>Utility Cab planned for ORMT_SAP_240301_3_Y857169</text>
  </threadedComment>
  <threadedComment ref="M189" dT="2024-11-11T14:57:58.99" personId="{AFB55828-FFC6-4C96-B981-0FAA8F63A769}" id="{4C787568-7D07-4E05-B313-0E0721368BAF}">
    <text>Ciena 5142 planned for ORMT_SAP_240715_11_w014433</text>
  </threadedComment>
  <threadedComment ref="J193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3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M193" dT="2024-08-12T13:01:21.92" personId="{23875134-620F-49C7-896C-147D628FB6EA}" id="{6F8BA170-4633-4B54-AE1E-3EBB661A9E85}">
    <text>ORMT_SAP_240517_1_11255170 is planned for Nokia 7750 SR2s</text>
  </threadedComment>
  <threadedComment ref="J196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6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K197" dT="2024-08-12T13:01:21.92" personId="{23875134-620F-49C7-896C-147D628FB6EA}" id="{3E5DA487-29F7-4ED6-AAE9-113F0A1142CC}">
    <text>ORMT_SAP_240517_1_11255170 is planned for Nokia 7750 SR2s</text>
  </threadedComment>
  <threadedComment ref="J203" personId="{31CF382B-C4A6-482E-AE04-28CACDB6A63A}" id="{8BDA47D1-B0B7-4985-87FC-A460DA1F26AE}">
    <text>Jul-21 Was 5kW but confirmed currently running at 3.5kW</text>
  </threadedComment>
  <threadedComment ref="J203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3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3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3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3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3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3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3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3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3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J203" dT="2024-08-19T14:42:19.26" personId="{AFB55828-FFC6-4C96-B981-0FAA8F63A769}" id="{609F9552-679D-45DD-BD8C-7C25E3C28950}" parentId="{8BDA47D1-B0B7-4985-87FC-A460DA1F26AE}">
    <text>5kW allocation reduced due to live reading of 2.6kW</text>
  </threadedComment>
  <threadedComment ref="J203" dT="2024-11-05T16:23:13.04" personId="{AFB55828-FFC6-4C96-B981-0FAA8F63A769}" id="{BE89F88D-4DC0-449B-A5EF-A998108CB1F4}" parentId="{8BDA47D1-B0B7-4985-87FC-A460DA1F26AE}">
    <text>5kW allocation reduced due to live reading of 2.7kW</text>
  </threadedComment>
  <threadedComment ref="L203" personId="{31CF382B-C4A6-482E-AE04-28CACDB6A63A}" id="{B34DDDE6-8CAD-44C2-A6E8-3EB0FAC26883}">
    <text>Jul-21 Was 8kW, confirmed currently running at 6kW</text>
  </threadedComment>
  <threadedComment ref="L203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3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3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3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3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3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3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3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3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L203" dT="2024-08-19T14:45:55.01" personId="{AFB55828-FFC6-4C96-B981-0FAA8F63A769}" id="{783305D1-6329-450D-AF84-F76EF243E424}" parentId="{B34DDDE6-8CAD-44C2-A6E8-3EB0FAC26883}">
    <text>8kW allocation reduced due to live reading of 7.4kW</text>
  </threadedComment>
  <threadedComment ref="L203" dT="2024-11-05T16:24:18.48" personId="{AFB55828-FFC6-4C96-B981-0FAA8F63A769}" id="{CEA11A77-A770-442D-AAED-7C01038D57E3}" parentId="{B34DDDE6-8CAD-44C2-A6E8-3EB0FAC26883}">
    <text>8kW allocation reduced due to live reading of 7.5kW</text>
  </threadedComment>
  <threadedComment ref="N203" dT="2023-01-12T14:56:28.24" personId="{BC55F889-AFD3-4AD4-B814-0EDFA8411758}" id="{0F353884-057C-4ADF-8927-A892BBEB37CD}">
    <text>Live reading 34.4A, so 4kW allocation reduced by 1.8kW</text>
  </threadedComment>
  <threadedComment ref="N203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3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3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3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3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3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3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3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3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N203" dT="2024-08-19T14:38:03.37" personId="{AFB55828-FFC6-4C96-B981-0FAA8F63A769}" id="{F4E54FFC-0082-4F64-9870-866F6A0404A6}" parentId="{0F353884-057C-4ADF-8927-A892BBEB37CD}">
    <text>4kW allocation reduced due to live reading of 1.9kW</text>
  </threadedComment>
  <threadedComment ref="N203" dT="2024-11-05T16:26:55.24" personId="{AFB55828-FFC6-4C96-B981-0FAA8F63A769}" id="{82FFB65D-A81A-46DE-9542-62968B5041B1}" parentId="{0F353884-057C-4ADF-8927-A892BBEB37CD}">
    <text>4kW allocation reduced due to live reading of 2.1kW</text>
  </threadedComment>
  <threadedComment ref="P203" dT="2023-01-12T14:56:28.24" personId="{BC55F889-AFD3-4AD4-B814-0EDFA8411758}" id="{B05A4223-9DC1-4D9D-A96E-0A75B4BEBFEF}">
    <text>Live reading 14.4A, so 4kW allocation reduced by 800W</text>
  </threadedComment>
  <threadedComment ref="P203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3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3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3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3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3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3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3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P203" dT="2024-08-19T14:38:37.95" personId="{AFB55828-FFC6-4C96-B981-0FAA8F63A769}" id="{8559148B-D34C-48AB-B827-78CC6F87CEAD}" parentId="{B05A4223-9DC1-4D9D-A96E-0A75B4BEBFEF}">
    <text>4kW allocation reduced due to live reading of 1.4kW</text>
  </threadedComment>
  <threadedComment ref="P203" dT="2024-11-05T16:28:20.21" personId="{AFB55828-FFC6-4C96-B981-0FAA8F63A769}" id="{CCF70ADD-DA34-4389-9577-B4EDED5F09EA}" parentId="{B05A4223-9DC1-4D9D-A96E-0A75B4BEBFEF}">
    <text>4kW allocation reduced due to live reading of 1.4kW</text>
  </threadedComment>
  <threadedComment ref="R203" dT="2023-01-12T14:56:28.24" personId="{BC55F889-AFD3-4AD4-B814-0EDFA8411758}" id="{84E237A5-F7A8-4277-9F96-AA1CC1F6CFBB}">
    <text>Live reading 34A, so 4kW allocation reduced by 1.8kW</text>
  </threadedComment>
  <threadedComment ref="R203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3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3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3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3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3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3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3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R203" dT="2024-08-19T14:40:40.56" personId="{AFB55828-FFC6-4C96-B981-0FAA8F63A769}" id="{49996276-B6E2-4A8E-A9F5-890529285E04}" parentId="{84E237A5-F7A8-4277-9F96-AA1CC1F6CFBB}">
    <text>4kW allocation reduced due to live reading of 2.7kW</text>
  </threadedComment>
  <threadedComment ref="R203" dT="2024-11-05T16:29:57.51" personId="{AFB55828-FFC6-4C96-B981-0FAA8F63A769}" id="{E49B71AE-A06D-48A1-A149-1E8DDFDA4585}" parentId="{84E237A5-F7A8-4277-9F96-AA1CC1F6CFBB}">
    <text>4kW allocation reduced due to live reading of 2.8kW</text>
  </threadedComment>
  <threadedComment ref="T203" dT="2023-09-15T15:35:07.64" personId="{F6E7EC2D-8E6E-4BA1-BCDD-6D7FECF08119}" id="{481A1F65-609C-4C57-81D6-A60ACE829103}">
    <text>4.2kW allocation reduced due to live reading of 0.6kW</text>
  </threadedComment>
  <threadedComment ref="T203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3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3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3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3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3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3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T203" dT="2024-08-19T14:35:13.67" personId="{AFB55828-FFC6-4C96-B981-0FAA8F63A769}" id="{C27349EC-38BD-4590-A465-EBE8EAEE9C9A}" parentId="{481A1F65-609C-4C57-81D6-A60ACE829103}">
    <text>4.2kW allocation reduced due to live reading of 1.1kW</text>
  </threadedComment>
  <threadedComment ref="T203" dT="2024-11-05T16:30:59.81" personId="{AFB55828-FFC6-4C96-B981-0FAA8F63A769}" id="{19D4DA56-D1EA-4C77-A205-12C9D46FA904}" parentId="{481A1F65-609C-4C57-81D6-A60ACE829103}">
    <text>4.2kW allocation reduced due to live reading of 1.1kW</text>
  </threadedComment>
  <threadedComment ref="N205" dT="2022-06-22T11:57:35.36" personId="{A2EEB511-B106-4ABB-A0A9-198E22579A21}" id="{FB55A77D-9C90-46F8-9916-A5BFAF4F52BE}">
    <text xml:space="preserve"> NCS-57C3 - 500W - 2 feeds</text>
  </threadedComment>
  <threadedComment ref="O205" dT="2024-05-02T12:20:00.29" personId="{1E6DD3F2-E860-47E0-8C0E-4DFC2954E528}" id="{468C5DC0-9859-4AA2-9A78-42FD2B89A4EB}">
    <text>additional 1*100 amps power upgrade is planned for ORMT_SAP_240306_5_10335416 </text>
  </threadedComment>
  <threadedComment ref="J207" dT="2023-11-02T14:20:48.57" personId="{ABF5BCE6-B512-42E2-8B64-A070C9ED38DE}" id="{C8FE9965-61B1-4A86-B381-FD825181C994}">
    <text xml:space="preserve">estimated 2kW reduction from 5kW to 3kW. </text>
  </threadedComment>
  <threadedComment ref="J207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7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8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8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O208" dT="2024-08-12T15:03:43.93" personId="{23875134-620F-49C7-896C-147D628FB6EA}" id="{2DD46D39-D7E7-41B0-8C3C-C668AA2B37A8}">
    <text>ORMT_SAP_240517_1_11255170 is planned for Nokia 7750 SR2s</text>
  </threadedComment>
  <threadedComment ref="O209" dT="2024-10-24T11:33:52.43" personId="{23875134-620F-49C7-896C-147D628FB6EA}" id="{E1FC815E-66C3-40B1-B590-C415DDF2D154}">
    <text>ORMT_SAP_240517_1_11255170 is planned for Nokia 7750 SR2s</text>
  </threadedComment>
  <threadedComment ref="Q209" dT="2024-12-05T14:02:53.72" personId="{23875134-620F-49C7-896C-147D628FB6EA}" id="{050CB2F0-473E-4DF6-B217-95F525080D7F}">
    <text>WAVESERVER rack is planned under ORMT_SAP_241010_7_10334046. Power allocated for 0.5KW</text>
  </threadedComment>
  <threadedComment ref="J218" personId="{31CF382B-C4A6-482E-AE04-28CACDB6A63A}" id="{1197F7EC-BA21-4198-90D5-68161D0899A1}">
    <text>Jul-21 Was 5kW but confirmed currently running at 2.5kW</text>
  </threadedComment>
  <threadedComment ref="J218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8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8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8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8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8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8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8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8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8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J218" dT="2024-08-26T04:52:03.35" personId="{AFB55828-FFC6-4C96-B981-0FAA8F63A769}" id="{87B9A077-7FAB-4958-B3CF-D793F8DBB900}" parentId="{1197F7EC-BA21-4198-90D5-68161D0899A1}">
    <text>2.5kW allocation reduced due to live reading of 1.3kW</text>
  </threadedComment>
  <threadedComment ref="J218" dT="2024-11-06T12:30:46.27" personId="{AFB55828-FFC6-4C96-B981-0FAA8F63A769}" id="{A86B7E6F-3315-4645-8112-3AB710E7CAFA}" parentId="{1197F7EC-BA21-4198-90D5-68161D0899A1}">
    <text>2.5kW allocation reduced due to live reading of 1.4kW</text>
  </threadedComment>
  <threadedComment ref="L218" personId="{31CF382B-C4A6-482E-AE04-28CACDB6A63A}" id="{370B7484-CCEF-491F-923C-1C9AFE376895}">
    <text>Jul-21 Was 8kW, confirmed currently running at 6.7kW</text>
  </threadedComment>
  <threadedComment ref="L218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8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8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8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8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8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8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8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8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L218" dT="2024-08-26T04:55:27.80" personId="{AFB55828-FFC6-4C96-B981-0FAA8F63A769}" id="{AA22D81C-A8DA-4E31-B0B5-44FF5F8658E7}" parentId="{370B7484-CCEF-491F-923C-1C9AFE376895}">
    <text>4kW allocation reduced due to live reading of 3.6kW</text>
  </threadedComment>
  <threadedComment ref="L218" dT="2024-11-06T12:36:06.19" personId="{AFB55828-FFC6-4C96-B981-0FAA8F63A769}" id="{A2C257A2-5912-4633-BCEC-C597487057FD}" parentId="{370B7484-CCEF-491F-923C-1C9AFE376895}">
    <text>4kW allocation reduced due to live reading of 3.6kW</text>
  </threadedComment>
  <threadedComment ref="N218" personId="{31CF382B-C4A6-482E-AE04-28CACDB6A63A}" id="{9F5531C8-59E5-4093-9429-48ADA3DABFFD}">
    <text>Reduced from 4 due to live reading of 700w</text>
  </threadedComment>
  <threadedComment ref="N218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8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8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8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8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8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8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8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8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8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N218" dT="2024-08-26T04:57:43.11" personId="{AFB55828-FFC6-4C96-B981-0FAA8F63A769}" id="{218ED7D1-D39F-4EBE-8CE7-8B8F2D6C5560}" parentId="{9F5531C8-59E5-4093-9429-48ADA3DABFFD}">
    <text>2kW allocation reduced due to live reading of 0.7kW</text>
  </threadedComment>
  <threadedComment ref="N218" dT="2024-11-06T12:37:07.18" personId="{AFB55828-FFC6-4C96-B981-0FAA8F63A769}" id="{B3AF7227-0ED9-47EA-B616-7B5C7A3F1A94}" parentId="{9F5531C8-59E5-4093-9429-48ADA3DABFFD}">
    <text>2kW allocation reduced due to live reading of 0.8kW</text>
  </threadedComment>
  <threadedComment ref="P218" dT="2023-10-20T14:10:08.42" personId="{F6E7EC2D-8E6E-4BA1-BCDD-6D7FECF08119}" id="{77E5D431-3337-4F57-8592-0F3F16D21C8F}">
    <text>2kW allocation reduced due to live reading of 0.7kW</text>
  </threadedComment>
  <threadedComment ref="P218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8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8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8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8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8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P218" dT="2024-08-26T04:46:27.71" personId="{AFB55828-FFC6-4C96-B981-0FAA8F63A769}" id="{9BA56F38-B153-435B-A71E-30F2350EF6D9}" parentId="{77E5D431-3337-4F57-8592-0F3F16D21C8F}">
    <text>2kW allocation reduced due to live reading of 1kW</text>
  </threadedComment>
  <threadedComment ref="P218" dT="2024-11-06T12:32:01.78" personId="{AFB55828-FFC6-4C96-B981-0FAA8F63A769}" id="{412A51DE-DF63-4C9F-B3C8-7D86F3E048FB}" parentId="{77E5D431-3337-4F57-8592-0F3F16D21C8F}">
    <text>2kW allocation reduced due to live reading of 1kW</text>
  </threadedComment>
  <threadedComment ref="R218" dT="2023-01-12T15:02:24.46" personId="{BC55F889-AFD3-4AD4-B814-0EDFA8411758}" id="{2A0299F2-4D4B-4B9F-A190-D1F74D2A2C9E}">
    <text>Live reading 23A, so 4kW allocation reduced by 1.2kW</text>
  </threadedComment>
  <threadedComment ref="R218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8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8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8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8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8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8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8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8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8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R218" dT="2024-08-26T05:09:23.17" personId="{AFB55828-FFC6-4C96-B981-0FAA8F63A769}" id="{CB52CF10-58AB-4786-9589-C44036C1473B}" parentId="{2A0299F2-4D4B-4B9F-A190-D1F74D2A2C9E}">
    <text>2kW allocation reduced due to live reading of 0.8kW</text>
  </threadedComment>
  <threadedComment ref="R218" dT="2024-11-06T12:43:23.03" personId="{AFB55828-FFC6-4C96-B981-0FAA8F63A769}" id="{DF72F549-B335-4294-85D8-57363CDDF8B5}" parentId="{2A0299F2-4D4B-4B9F-A190-D1F74D2A2C9E}">
    <text>2kW allocation reduced due to live reading of 1.0kW</text>
  </threadedComment>
  <threadedComment ref="T218" dT="2023-01-12T15:02:24.46" personId="{BC55F889-AFD3-4AD4-B814-0EDFA8411758}" id="{9A26D48E-0A5F-4701-8146-B66C9B3CD828}">
    <text>Live reading 23A, so 4kW allocation reduced by 1.2kW</text>
  </threadedComment>
  <threadedComment ref="T218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8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8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8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8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8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8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8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8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8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T218" dT="2024-08-26T05:10:14.74" personId="{AFB55828-FFC6-4C96-B981-0FAA8F63A769}" id="{4720C2AB-E655-4AFD-B1D1-58226887AE2B}" parentId="{9A26D48E-0A5F-4701-8146-B66C9B3CD828}">
    <text>2kW allocation reduced due to live reading of 1kW</text>
  </threadedComment>
  <threadedComment ref="T218" dT="2024-11-06T12:44:20.32" personId="{AFB55828-FFC6-4C96-B981-0FAA8F63A769}" id="{AD78C72F-D316-48D9-8A5B-03253A8C0CD3}" parentId="{9A26D48E-0A5F-4701-8146-B66C9B3CD828}">
    <text>2kW allocation reduced due to live reading of 1.1kW</text>
  </threadedComment>
  <threadedComment ref="V218" dT="2022-05-26T11:47:22.96" personId="{BC55F889-AFD3-4AD4-B814-0EDFA8411758}" id="{2C29ECDB-25B9-4F2B-A81B-0C55C9B0E0EC}">
    <text>6kW allocation reduced due to live redaing of 4kW</text>
  </threadedComment>
  <threadedComment ref="V218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8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8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8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8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8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8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8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8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8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V218" dT="2024-08-26T05:12:20.48" personId="{AFB55828-FFC6-4C96-B981-0FAA8F63A769}" id="{2B6B92AC-41D6-4EA3-AE5E-C8846033EA76}" parentId="{2C29ECDB-25B9-4F2B-A81B-0C55C9B0E0EC}">
    <text>3kW allocation reduced due to live reading of 2.6kW</text>
  </threadedComment>
  <threadedComment ref="V218" dT="2024-11-06T12:46:27.62" personId="{AFB55828-FFC6-4C96-B981-0FAA8F63A769}" id="{C64E72A7-6B6D-48A8-977A-B9B1157915C0}" parentId="{2C29ECDB-25B9-4F2B-A81B-0C55C9B0E0EC}">
    <text>3kW allocation reduced due to live reading of 2.6kW</text>
  </threadedComment>
  <threadedComment ref="X218" dT="2023-12-19T11:05:04.45" personId="{F6E7EC2D-8E6E-4BA1-BCDD-6D7FECF08119}" id="{D4D33F43-F593-4D33-A5D5-62D26B623FBB}">
    <text>2.7kW allocation reduced due to live reading of 0.7kW</text>
  </threadedComment>
  <threadedComment ref="X218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8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8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8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X218" dT="2024-08-26T05:14:04.54" personId="{AFB55828-FFC6-4C96-B981-0FAA8F63A769}" id="{E1B9A34A-94C6-418C-B7E9-7DB321BB4D81}" parentId="{D4D33F43-F593-4D33-A5D5-62D26B623FBB}">
    <text>2.7kW allocation reduced due to live reading of 0.7kW</text>
  </threadedComment>
  <threadedComment ref="X218" dT="2024-08-26T05:14:09.82" personId="{AFB55828-FFC6-4C96-B981-0FAA8F63A769}" id="{9F717527-2F17-4A65-8EF4-9AAEB201F366}" parentId="{D4D33F43-F593-4D33-A5D5-62D26B623FBB}">
    <text>2.7kW allocation reduced due to live reading of 0.7kW</text>
  </threadedComment>
  <threadedComment ref="X218" dT="2024-11-06T12:47:08.11" personId="{AFB55828-FFC6-4C96-B981-0FAA8F63A769}" id="{5A97C9C8-4E2F-4C64-B052-934824687479}" parentId="{D4D33F43-F593-4D33-A5D5-62D26B623FBB}">
    <text>2.7kW allocation reduced due to live reading of 0.7kW</text>
  </threadedComment>
  <threadedComment ref="AB218" dT="2023-07-12T08:27:10.91" personId="{4232887B-6F74-4501-885D-8735C5662726}" id="{C5DD14D8-ED06-4F38-9146-194F2E239ED2}">
    <text>2kW allocation reduced due to live reading of 0.3kW</text>
  </threadedComment>
  <threadedComment ref="AB218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8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8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8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8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8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8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8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8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B218" dT="2024-08-26T05:17:26.01" personId="{AFB55828-FFC6-4C96-B981-0FAA8F63A769}" id="{03FDF376-8715-445D-AD82-D171E49302BC}" parentId="{C5DD14D8-ED06-4F38-9146-194F2E239ED2}">
    <text>2kW allocation reduced due to live reading of 0.4kW</text>
  </threadedComment>
  <threadedComment ref="AB218" dT="2024-11-06T12:48:10.34" personId="{AFB55828-FFC6-4C96-B981-0FAA8F63A769}" id="{C5E33877-4CB1-4547-8BC5-513F09613768}" parentId="{C5DD14D8-ED06-4F38-9146-194F2E239ED2}">
    <text>2kW allocation reduced due to live reading of 0.5kW</text>
  </threadedComment>
  <threadedComment ref="AE218" dT="2024-04-30T15:47:10.27" personId="{AFB55828-FFC6-4C96-B981-0FAA8F63A769}" id="{D45851C0-6566-4A7B-9E8E-EC010E25C875}">
    <text>FDU installation planned for ORMT_SAP_240424_8_11407175</text>
  </threadedComment>
  <threadedComment ref="J219" personId="{31CF382B-C4A6-482E-AE04-28CACDB6A63A}" id="{C8E1599F-66F7-40C5-BF93-84A7CE7FBFE2}">
    <text>Jul-21 Was 5kW but confirmed currently running at 2.5kW</text>
  </threadedComment>
  <threadedComment ref="J219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19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19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19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19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19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19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19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19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19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J219" dT="2024-08-26T04:52:38.21" personId="{AFB55828-FFC6-4C96-B981-0FAA8F63A769}" id="{B6E58BDE-68E6-4CDD-AD96-469D7B935AD7}" parentId="{C8E1599F-66F7-40C5-BF93-84A7CE7FBFE2}">
    <text>2.5kW allocation reduced due to live reading of 1.6kW</text>
  </threadedComment>
  <threadedComment ref="J219" dT="2024-11-06T12:30:58.66" personId="{AFB55828-FFC6-4C96-B981-0FAA8F63A769}" id="{DC0B5A35-A10C-4ABF-B662-502AEE12F68F}" parentId="{C8E1599F-66F7-40C5-BF93-84A7CE7FBFE2}">
    <text>2.5kW allocation reduced due to live reading of 1.4kW</text>
  </threadedComment>
  <threadedComment ref="L219" personId="{31CF382B-C4A6-482E-AE04-28CACDB6A63A}" id="{1826BC06-946E-4ED4-A14F-F88838856F90}">
    <text>Jul-21 Was 8kW, confirmed currently running at 6.7kW</text>
  </threadedComment>
  <threadedComment ref="L219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19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19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19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19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19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19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19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19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19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L219" dT="2024-08-26T04:55:48.49" personId="{AFB55828-FFC6-4C96-B981-0FAA8F63A769}" id="{7DA271BB-0295-4103-AB2C-DD98FA41282C}" parentId="{1826BC06-946E-4ED4-A14F-F88838856F90}">
    <text>4kW allocation reduced due to live reading of 3.5kW</text>
  </threadedComment>
  <threadedComment ref="L219" dT="2024-11-06T12:36:15.66" personId="{AFB55828-FFC6-4C96-B981-0FAA8F63A769}" id="{AA8259FD-0FE5-45C3-939A-D9E7807E1457}" parentId="{1826BC06-946E-4ED4-A14F-F88838856F90}">
    <text>4kW allocation reduced due to live reading of 3.6kW</text>
  </threadedComment>
  <threadedComment ref="N219" personId="{31CF382B-C4A6-482E-AE04-28CACDB6A63A}" id="{AA4EF74C-9B03-4D6F-AC64-F6AF0B4EAE92}">
    <text>Reduced from 4 due to live reading of 700w</text>
  </threadedComment>
  <threadedComment ref="N219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19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19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19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19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19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19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19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19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19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N219" dT="2024-08-26T04:58:06.05" personId="{AFB55828-FFC6-4C96-B981-0FAA8F63A769}" id="{1141B273-4EC7-4B72-982E-CDE1B3815F03}" parentId="{AA4EF74C-9B03-4D6F-AC64-F6AF0B4EAE92}">
    <text>2kW allocation reduced due to live reading of 0.7kW</text>
  </threadedComment>
  <threadedComment ref="N219" dT="2024-11-06T12:37:22.45" personId="{AFB55828-FFC6-4C96-B981-0FAA8F63A769}" id="{D31A7CDF-C90D-4EFE-988F-E8CCA8DE77F0}" parentId="{AA4EF74C-9B03-4D6F-AC64-F6AF0B4EAE92}">
    <text>2kW allocation reduced due to live reading of 0.8kW</text>
  </threadedComment>
  <threadedComment ref="P219" dT="2023-10-20T14:10:32.89" personId="{F6E7EC2D-8E6E-4BA1-BCDD-6D7FECF08119}" id="{E96C5570-72F3-46E1-8799-23E0A8C28F8B}">
    <text>2kW allocation reduced due to live reading of 0.7kW</text>
  </threadedComment>
  <threadedComment ref="P219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19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19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19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19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19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P219" dT="2024-08-26T04:46:46.52" personId="{AFB55828-FFC6-4C96-B981-0FAA8F63A769}" id="{BA3D4DDD-DA36-435B-963E-7AC0CEC41A59}" parentId="{E96C5570-72F3-46E1-8799-23E0A8C28F8B}">
    <text>2kW allocation reduced due to live reading of 1kW</text>
  </threadedComment>
  <threadedComment ref="P219" dT="2024-11-06T12:32:08.92" personId="{AFB55828-FFC6-4C96-B981-0FAA8F63A769}" id="{B1E451B6-ACD0-4DB6-B9D3-3BF949105A71}" parentId="{E96C5570-72F3-46E1-8799-23E0A8C28F8B}">
    <text>2kW allocation reduced due to live reading of 1kW</text>
  </threadedComment>
  <threadedComment ref="R219" dT="2023-01-12T15:02:24.46" personId="{BC55F889-AFD3-4AD4-B814-0EDFA8411758}" id="{C47ED076-CB18-4087-BC66-0D5F4361FF98}">
    <text>Live reading 23A, so 4kW allocation reduced by 1.2kW</text>
  </threadedComment>
  <threadedComment ref="R219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19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19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19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19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19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19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19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19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19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R219" dT="2024-08-26T05:09:32.62" personId="{AFB55828-FFC6-4C96-B981-0FAA8F63A769}" id="{D1FCCCF2-E834-43C4-87BC-FC85488B3752}" parentId="{C47ED076-CB18-4087-BC66-0D5F4361FF98}">
    <text>2kW allocation reduced due to live reading of 0.8kW</text>
  </threadedComment>
  <threadedComment ref="R219" dT="2024-11-06T12:43:33.38" personId="{AFB55828-FFC6-4C96-B981-0FAA8F63A769}" id="{58D9C748-6EAD-470C-8DD4-6DFCF7A656F5}" parentId="{C47ED076-CB18-4087-BC66-0D5F4361FF98}">
    <text>2kW allocation reduced due to live reading of 1.0kW</text>
  </threadedComment>
  <threadedComment ref="T219" dT="2023-01-12T15:02:24.46" personId="{BC55F889-AFD3-4AD4-B814-0EDFA8411758}" id="{164877FD-514B-4A5A-9C77-7EBAC3A7CBC1}">
    <text>Live reading 23A, so 4kW allocation reduced by 1.2kW</text>
  </threadedComment>
  <threadedComment ref="T219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19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19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19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19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19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19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19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19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19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T219" dT="2024-08-26T05:10:32.29" personId="{AFB55828-FFC6-4C96-B981-0FAA8F63A769}" id="{7A7D80C3-5BBB-44DB-A2F9-4814EAEC3E48}" parentId="{164877FD-514B-4A5A-9C77-7EBAC3A7CBC1}">
    <text>2kW allocation reduced due to live reading of 1.1kW</text>
  </threadedComment>
  <threadedComment ref="T219" dT="2024-11-06T12:44:25.89" personId="{AFB55828-FFC6-4C96-B981-0FAA8F63A769}" id="{50AD40E0-91E3-4A3E-BF77-6496AAF343F4}" parentId="{164877FD-514B-4A5A-9C77-7EBAC3A7CBC1}">
    <text>2kW allocation reduced due to live reading of 1kW</text>
  </threadedComment>
  <threadedComment ref="V219" dT="2022-05-26T11:47:22.96" personId="{BC55F889-AFD3-4AD4-B814-0EDFA8411758}" id="{1F2EBBC0-5358-4B4E-9512-7B17EFD37283}">
    <text>6kW allocation reduced due to live redaing of 4kW</text>
  </threadedComment>
  <threadedComment ref="V219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19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19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19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19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19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19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19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19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19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V219" dT="2024-08-26T05:12:35.13" personId="{AFB55828-FFC6-4C96-B981-0FAA8F63A769}" id="{E9CC3F28-5568-4CF4-8602-78B2B29C103B}" parentId="{1F2EBBC0-5358-4B4E-9512-7B17EFD37283}">
    <text>3kW allocation reduced due to live reading of 2.6kW</text>
  </threadedComment>
  <threadedComment ref="V219" dT="2024-11-06T12:46:39.20" personId="{AFB55828-FFC6-4C96-B981-0FAA8F63A769}" id="{6AE149B6-C9EB-491E-815F-2F5591E27EC8}" parentId="{1F2EBBC0-5358-4B4E-9512-7B17EFD37283}">
    <text>3kW allocation reduced due to live reading of 2.6kW</text>
  </threadedComment>
  <threadedComment ref="X219" dT="2023-12-19T11:05:26.25" personId="{F6E7EC2D-8E6E-4BA1-BCDD-6D7FECF08119}" id="{63DC11BD-0078-4727-BC05-FAF568CEEF9A}">
    <text>2.7kW allocation reduced due to live reading of 0.7kW</text>
  </threadedComment>
  <threadedComment ref="X219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19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19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19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X219" dT="2024-11-06T12:47:21.67" personId="{AFB55828-FFC6-4C96-B981-0FAA8F63A769}" id="{91E90B79-DC2A-498B-A476-ED5162207374}" parentId="{63DC11BD-0078-4727-BC05-FAF568CEEF9A}">
    <text>2.7kW allocation reduced due to live reading of 0.7kW</text>
  </threadedComment>
  <threadedComment ref="AB219" dT="2023-07-12T08:27:10.91" personId="{4232887B-6F74-4501-885D-8735C5662726}" id="{B1348452-F76B-4726-995E-D02A0E73DFB8}">
    <text>2kW allocation reduced due to live reading of 0.3kW</text>
  </threadedComment>
  <threadedComment ref="AB219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19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19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19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19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19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19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19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19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B219" dT="2024-08-26T05:17:34.75" personId="{AFB55828-FFC6-4C96-B981-0FAA8F63A769}" id="{5CEAC058-B51D-4F34-A4A7-BCAC9CBDEE6C}" parentId="{B1348452-F76B-4726-995E-D02A0E73DFB8}">
    <text>2kW allocation reduced due to live reading of 0.4kW</text>
  </threadedComment>
  <threadedComment ref="AB219" dT="2024-11-06T12:48:19.24" personId="{AFB55828-FFC6-4C96-B981-0FAA8F63A769}" id="{9EEABC12-8DCA-4DAF-B070-705489DCAAB0}" parentId="{B1348452-F76B-4726-995E-D02A0E73DFB8}">
    <text>2kW allocation reduced due to live reading of 0.5kW</text>
  </threadedComment>
  <threadedComment ref="AE219" dT="2024-04-30T15:47:20.33" personId="{AFB55828-FFC6-4C96-B981-0FAA8F63A769}" id="{37F25DE1-4D18-4C7B-B0C3-BDE1B60F3599}">
    <text>FDU installation planned for ORMT_SAP_240424_8_11407175</text>
  </threadedComment>
  <threadedComment ref="O220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1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4" dT="2023-01-25T15:54:58.69" personId="{BC55F889-AFD3-4AD4-B814-0EDFA8411758}" id="{EC3D2C5D-4179-4E0C-8E6D-46CF334A6FE5}">
    <text>5kW allocation reduced by 2.5kW as per other live RA readings</text>
  </threadedComment>
  <threadedComment ref="J224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6" dT="2023-11-22T08:27:15.22" personId="{7807B229-714C-4AA1-8F83-E7F46ACB7D83}" id="{329DB174-5196-4BFC-BE62-B67F505D3BA4}">
    <text>2*Juniper QFX5110 planned - 
ORMT_SAP_231020_19_26168659</text>
  </threadedComment>
  <threadedComment ref="J231" dT="2023-03-07T09:13:11.03" personId="{BC55F889-AFD3-4AD4-B814-0EDFA8411758}" id="{D21AD224-2334-4BA0-9E9F-662DB40F0DB4}">
    <text>8kW allocation reduced to 1.8kW after live reading of 6.2kW</text>
  </threadedComment>
  <threadedComment ref="L231" dT="2023-03-07T09:18:48.49" personId="{BC55F889-AFD3-4AD4-B814-0EDFA8411758}" id="{3FBAA932-0963-4611-8B52-FAE86E6C1F0A}">
    <text>4.5kW allocation reduced to 3.71kW after 790w live reading</text>
  </threadedComment>
  <threadedComment ref="N231" dT="2023-03-07T09:19:41.12" personId="{BC55F889-AFD3-4AD4-B814-0EDFA8411758}" id="{F95E2C37-85DA-40DC-A729-F23F00854223}">
    <text>4.5kW allocation reduced to 2.9kW after live reading of 1.6kW</text>
  </threadedComment>
  <threadedComment ref="P231" dT="2023-03-07T09:22:35.72" personId="{BC55F889-AFD3-4AD4-B814-0EDFA8411758}" id="{279AC31C-001A-4919-A605-043FFF77BF8D}">
    <text>4.5kW allocation reduced to 3.8kW after live reading of 692w</text>
  </threadedComment>
  <threadedComment ref="J232" dT="2023-03-07T09:13:11.03" personId="{BC55F889-AFD3-4AD4-B814-0EDFA8411758}" id="{08C910EE-4864-42AD-B42A-8484F006F427}">
    <text>8kW allocation reduced to 1.8kW after live reading of 6.2kW</text>
  </threadedComment>
  <threadedComment ref="L232" dT="2023-03-07T09:18:48.49" personId="{BC55F889-AFD3-4AD4-B814-0EDFA8411758}" id="{87E3AB10-7D66-48A1-8D1C-8E5C79674B87}">
    <text>4.5kW allocation reduced to 3.71kW after 790w live reading</text>
  </threadedComment>
  <threadedComment ref="N232" dT="2023-03-07T09:19:41.12" personId="{BC55F889-AFD3-4AD4-B814-0EDFA8411758}" id="{885DADD2-EAFD-44C7-97C5-CF9F823D502B}">
    <text>4.5kW allocation reduced to 2.9kW after live reading of 1.6kW</text>
  </threadedComment>
  <threadedComment ref="P232" dT="2023-03-07T09:22:35.72" personId="{BC55F889-AFD3-4AD4-B814-0EDFA8411758}" id="{F358DBC7-A75A-4E81-B022-2D0309BEE771}">
    <text>4.5kW allocation reduced to 3.8kW after live reading of 692w</text>
  </threadedComment>
  <threadedComment ref="J234" dT="2023-08-03T13:34:10.15" personId="{F6E7EC2D-8E6E-4BA1-BCDD-6D7FECF08119}" id="{A10F08C6-F101-4021-96F3-8DEFFC1D39E4}">
    <text>6kW allocation reduced due to live reading of 0.1kW</text>
  </threadedComment>
  <threadedComment ref="J234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4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4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4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4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4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4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4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J234" dT="2024-08-19T14:48:08.83" personId="{AFB55828-FFC6-4C96-B981-0FAA8F63A769}" id="{B9B799B4-FA53-4563-A6E5-F97B5C51BD3B}" parentId="{A10F08C6-F101-4021-96F3-8DEFFC1D39E4}">
    <text>6kW allocation reduced due to live reading of 0.1kW</text>
  </threadedComment>
  <threadedComment ref="J234" dT="2024-09-17T14:00:09.77" personId="{AFB55828-FFC6-4C96-B981-0FAA8F63A769}" id="{33FBDBD2-F8A7-464D-94F0-342FEAC31E5E}" parentId="{A10F08C6-F101-4021-96F3-8DEFFC1D39E4}">
    <text>6kW allocation reduced due to live reading of 0.2kW</text>
  </threadedComment>
  <threadedComment ref="J234" dT="2024-11-05T16:35:50.38" personId="{AFB55828-FFC6-4C96-B981-0FAA8F63A769}" id="{328EE7D2-EC6E-4DDF-A375-18540E70DA0C}" parentId="{A10F08C6-F101-4021-96F3-8DEFFC1D39E4}">
    <text>6kW allocation reduced due to live reading of 0.2kW</text>
  </threadedComment>
  <threadedComment ref="L234" dT="2023-07-11T11:52:54.89" personId="{4232887B-6F74-4501-885D-8735C5662726}" id="{95ACE76A-E797-4F28-8DDD-72A92ABB189A}">
    <text>2kW allocation reduced due to live reading of 0.3kW</text>
  </threadedComment>
  <threadedComment ref="L234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4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4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4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4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4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4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4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4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4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L234" dT="2024-08-19T14:49:30.59" personId="{AFB55828-FFC6-4C96-B981-0FAA8F63A769}" id="{31A91322-460B-4750-BC6D-5DB2E73AC68A}" parentId="{95ACE76A-E797-4F28-8DDD-72A92ABB189A}">
    <text>2kW allocation reduced due to live reading of 0.4kW</text>
  </threadedComment>
  <threadedComment ref="L234" dT="2024-09-17T14:06:15.36" personId="{AFB55828-FFC6-4C96-B981-0FAA8F63A769}" id="{26A84506-4149-434D-BF52-EFD0A1422BE2}" parentId="{95ACE76A-E797-4F28-8DDD-72A92ABB189A}">
    <text>2kW allocation reduced due to live reading of 0.5kW</text>
  </threadedComment>
  <threadedComment ref="L234" dT="2024-11-05T16:37:02.27" personId="{AFB55828-FFC6-4C96-B981-0FAA8F63A769}" id="{E6D5C0AE-439E-4691-88BA-115102E12B22}" parentId="{95ACE76A-E797-4F28-8DDD-72A92ABB189A}">
    <text>2kW allocation reduced due to live reading of 0.3kW</text>
  </threadedComment>
  <threadedComment ref="J235" dT="2023-12-15T11:17:45.31" personId="{F6E7EC2D-8E6E-4BA1-BCDD-6D7FECF08119}" id="{C7D86FFB-CDFB-4D28-AE33-2F509CBC7DE4}">
    <text>6kW allocation reduced due to live reading of 0.1kW</text>
  </threadedComment>
  <threadedComment ref="J235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5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5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5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5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J235" dT="2024-08-19T14:48:19.58" personId="{AFB55828-FFC6-4C96-B981-0FAA8F63A769}" id="{63A7F009-DFA7-44B1-9488-549304B4951C}" parentId="{C7D86FFB-CDFB-4D28-AE33-2F509CBC7DE4}">
    <text>6kW allocation reduced due to live reading of 0.1kW</text>
  </threadedComment>
  <threadedComment ref="L235" dT="2023-07-11T11:53:26.68" personId="{4232887B-6F74-4501-885D-8735C5662726}" id="{BB3AC4F5-BCFF-41EC-AF83-83E08C0DA33F}">
    <text xml:space="preserve">2kW allocation reduced due to live reading of 0.2kW
</text>
  </threadedComment>
  <threadedComment ref="L235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5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5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5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5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5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5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5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L235" dT="2024-08-19T14:49:45.81" personId="{AFB55828-FFC6-4C96-B981-0FAA8F63A769}" id="{8E8B522C-2127-4957-8959-4818D5D08C28}" parentId="{BB3AC4F5-BCFF-41EC-AF83-83E08C0DA33F}">
    <text>2kW allocation reduced due to live reading of 0.2kW</text>
  </threadedComment>
  <threadedComment ref="L235" dT="2024-09-17T14:06:42.47" personId="{AFB55828-FFC6-4C96-B981-0FAA8F63A769}" id="{AEA12CE8-B267-45F8-AA67-6DD7000AD894}" parentId="{BB3AC4F5-BCFF-41EC-AF83-83E08C0DA33F}">
    <text>2kW allocation reduced due to live reading of 0.2kW</text>
  </threadedComment>
  <threadedComment ref="L235" dT="2024-11-05T16:37:08.65" personId="{AFB55828-FFC6-4C96-B981-0FAA8F63A769}" id="{2718454C-6C68-4C1C-8E3B-7C5D20846066}" parentId="{BB3AC4F5-BCFF-41EC-AF83-83E08C0DA33F}">
    <text>2kW allocation reduced due to live reading of 0.3kW</text>
  </threadedComment>
  <threadedComment ref="J237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39" dT="2022-05-26T11:51:15.63" personId="{BC55F889-AFD3-4AD4-B814-0EDFA8411758}" id="{58B6B1E8-C0FE-4A01-8757-0C7B340004C4}">
    <text>5kW allocation reduced due to live reading of 3.1kW</text>
  </threadedComment>
  <threadedComment ref="J239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39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39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39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39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39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39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39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39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39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J239" dT="2024-08-19T14:58:34.63" personId="{AFB55828-FFC6-4C96-B981-0FAA8F63A769}" id="{169DCFB3-BEB8-449E-9384-A2323E755FEB}" parentId="{58B6B1E8-C0FE-4A01-8757-0C7B340004C4}">
    <text>2.5kW allocation reduced due to live reading of 1.6kW</text>
  </threadedComment>
  <threadedComment ref="J239" dT="2024-09-17T14:38:06.08" personId="{AFB55828-FFC6-4C96-B981-0FAA8F63A769}" id="{CDC32FA9-8360-4D7F-89A3-52BF20EC1A35}" parentId="{58B6B1E8-C0FE-4A01-8757-0C7B340004C4}">
    <text>2.5kW allocation reduced due to live reading of 1.6kW</text>
  </threadedComment>
  <threadedComment ref="J239" dT="2024-11-05T16:47:18.09" personId="{AFB55828-FFC6-4C96-B981-0FAA8F63A769}" id="{4BF2E36F-0D84-4AA6-A8CF-C074B2FB4AE0}" parentId="{58B6B1E8-C0FE-4A01-8757-0C7B340004C4}">
    <text>2.5kW allocation reduced due to live reading of 1.3kW</text>
  </threadedComment>
  <threadedComment ref="L239" dT="2021-08-13T11:49:06.83" personId="{BC55F889-AFD3-4AD4-B814-0EDFA8411758}" id="{2AAFC728-D9A1-4B29-B91B-43619878E04F}">
    <text>5kW allocated, live so halved to 2.5kw</text>
  </threadedComment>
  <threadedComment ref="N239" dT="2023-01-12T15:07:21.06" personId="{BC55F889-AFD3-4AD4-B814-0EDFA8411758}" id="{BC8621D1-19E1-4AF9-A453-98D9236790A0}">
    <text>Live reading 79A, so 13.5kW allocation reduced by 4.3kW</text>
  </threadedComment>
  <threadedComment ref="N239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39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39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39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39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39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39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39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39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39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39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N239" dT="2024-08-19T14:51:15.70" personId="{AFB55828-FFC6-4C96-B981-0FAA8F63A769}" id="{AFAF5C37-791D-431D-AA07-531228619BF0}" parentId="{BC8621D1-19E1-4AF9-A453-98D9236790A0}">
    <text>2.25kW allocation reduced due to live reading of 0.9kW</text>
  </threadedComment>
  <threadedComment ref="N239" dT="2024-09-17T14:42:08.00" personId="{AFB55828-FFC6-4C96-B981-0FAA8F63A769}" id="{29DAF3BC-ED04-4995-803F-A326A812808A}" parentId="{BC8621D1-19E1-4AF9-A453-98D9236790A0}">
    <text>2.25kW allocation reduced due to live reading of 0.9kW</text>
  </threadedComment>
  <threadedComment ref="N239" dT="2024-11-05T16:53:04.73" personId="{AFB55828-FFC6-4C96-B981-0FAA8F63A769}" id="{FE6A82E0-2467-4ED8-9448-FFDD58E02AB4}" parentId="{BC8621D1-19E1-4AF9-A453-98D9236790A0}">
    <text>2.25kW allocation reduced due to live reading of 1.0kW</text>
  </threadedComment>
  <threadedComment ref="P239" dT="2023-01-12T15:07:21.06" personId="{BC55F889-AFD3-4AD4-B814-0EDFA8411758}" id="{8D36F5AE-F835-4677-BF2D-25DFEB679EE5}">
    <text>Live reading 32.8A, so 4.5kW allocation reduced by 1.8kW</text>
  </threadedComment>
  <threadedComment ref="P239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39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39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39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39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39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39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39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39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39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P239" dT="2024-08-19T14:56:48.54" personId="{AFB55828-FFC6-4C96-B981-0FAA8F63A769}" id="{C1D00427-5F59-4B6F-ACBA-9C55A8D47F25}" parentId="{8D36F5AE-F835-4677-BF2D-25DFEB679EE5}">
    <text>2.25kW allocation reduced due to live reading of 1.4kW</text>
  </threadedComment>
  <threadedComment ref="P239" dT="2024-09-17T14:36:07.76" personId="{AFB55828-FFC6-4C96-B981-0FAA8F63A769}" id="{7552F864-3900-434E-9537-88EDFF45E35F}" parentId="{8D36F5AE-F835-4677-BF2D-25DFEB679EE5}">
    <text>2.25kW allocation reduced due to live reading of 1.4kW</text>
  </threadedComment>
  <threadedComment ref="P239" dT="2024-11-05T16:49:26.25" personId="{AFB55828-FFC6-4C96-B981-0FAA8F63A769}" id="{063689F5-29C2-4091-82B8-EFF0DB526E5A}" parentId="{8D36F5AE-F835-4677-BF2D-25DFEB679EE5}">
    <text>2.25kW allocation reduced due to live reading of 1.4kW</text>
  </threadedComment>
  <threadedComment ref="R239" dT="2022-05-26T11:54:57.07" personId="{BC55F889-AFD3-4AD4-B814-0EDFA8411758}" id="{FAAF3ED6-91BD-4156-BC53-29578C78D363}">
    <text>Total 8kW allocation reduced due to live reading of 6.6kW</text>
  </threadedComment>
  <threadedComment ref="R239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39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39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39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39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39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39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39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39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39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R239" dT="2024-08-19T15:02:04.89" personId="{AFB55828-FFC6-4C96-B981-0FAA8F63A769}" id="{F1739FEB-37B0-461B-B050-3B0771E3C08D}" parentId="{FAAF3ED6-91BD-4156-BC53-29578C78D363}">
    <text>4kW allocation reduced due to live reading of 3.7kW</text>
  </threadedComment>
  <threadedComment ref="R239" dT="2024-09-17T14:37:02.45" personId="{AFB55828-FFC6-4C96-B981-0FAA8F63A769}" id="{FC4D52F9-D9EF-43B5-B12C-39B133246C1C}" parentId="{FAAF3ED6-91BD-4156-BC53-29578C78D363}">
    <text>4kW allocation reduced due to live reading of 3.7kW</text>
  </threadedComment>
  <threadedComment ref="R239" dT="2024-11-05T16:48:25.54" personId="{AFB55828-FFC6-4C96-B981-0FAA8F63A769}" id="{AEADFDC9-8BA0-48BF-BA8E-E0A8FB13D762}" parentId="{FAAF3ED6-91BD-4156-BC53-29578C78D363}">
    <text>4kW allocation reduced due to live reading of 3.6kW</text>
  </threadedComment>
  <threadedComment ref="T239" dT="2024-01-09T09:07:27.64" personId="{BC55F889-AFD3-4AD4-B814-0EDFA8411758}" id="{E5766B29-26C6-49A9-A5D6-29DF566C683F}">
    <text>Original allocation  3kW (total cab 6kW), reduced to 0.675 after cab measured as 4.65kW</text>
  </threadedComment>
  <threadedComment ref="X239" dT="2023-07-11T14:03:44.59" personId="{4232887B-6F74-4501-885D-8735C5662726}" id="{BE020B42-63E7-4EC1-BDD1-C55464624009}">
    <text>2kW allocation reduced due to live reading of 1.1kW</text>
  </threadedComment>
  <threadedComment ref="X239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39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39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39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39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39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39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39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39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X239" dT="2024-08-19T14:54:59.31" personId="{AFB55828-FFC6-4C96-B981-0FAA8F63A769}" id="{083F28F1-B36C-4CC7-AC96-C6A88450088A}" parentId="{BE020B42-63E7-4EC1-BDD1-C55464624009}">
    <text>2.25kW allocation reduced due to live reading of 1.3kW</text>
  </threadedComment>
  <threadedComment ref="X239" dT="2024-09-17T14:43:23.35" personId="{AFB55828-FFC6-4C96-B981-0FAA8F63A769}" id="{B865FC63-7E48-42A4-9800-8FD64CD771D4}" parentId="{BE020B42-63E7-4EC1-BDD1-C55464624009}">
    <text>2.25kW allocation reduced due to live reading of 1.3kW</text>
  </threadedComment>
  <threadedComment ref="X239" dT="2024-11-05T16:51:40.19" personId="{AFB55828-FFC6-4C96-B981-0FAA8F63A769}" id="{F9E7D452-5315-4F32-90D0-B1BA5254D96B}" parentId="{BE020B42-63E7-4EC1-BDD1-C55464624009}">
    <text>2.25kW allocation reduced due to live reading of 1.3kW</text>
  </threadedComment>
  <threadedComment ref="Z239" dT="2023-07-11T14:12:13.38" personId="{4232887B-6F74-4501-885D-8735C5662726}" id="{9B6D549E-1B1D-4467-8C56-01628225A0B2}">
    <text>2kW allocation reduced due to live reading of 1.3kW</text>
  </threadedComment>
  <threadedComment ref="Z239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39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39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39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39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39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39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39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39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39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39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Z239" dT="2024-08-19T14:55:58.13" personId="{AFB55828-FFC6-4C96-B981-0FAA8F63A769}" id="{51F9496C-6F59-4F41-9F3B-CB41B289AFD1}" parentId="{9B6D549E-1B1D-4467-8C56-01628225A0B2}">
    <text>2.25kW allocation reduced due to live reading of 1.3kW</text>
  </threadedComment>
  <threadedComment ref="Z239" dT="2024-09-17T14:44:31.34" personId="{AFB55828-FFC6-4C96-B981-0FAA8F63A769}" id="{D6F7105F-484C-4784-A98F-8CDFF4779024}" parentId="{9B6D549E-1B1D-4467-8C56-01628225A0B2}">
    <text>2.25kW allocation reduced due to live reading of 1.3kW</text>
  </threadedComment>
  <threadedComment ref="Z239" dT="2024-11-05T16:50:45.61" personId="{AFB55828-FFC6-4C96-B981-0FAA8F63A769}" id="{C8142773-7573-48A6-A4D5-5A4234429885}" parentId="{9B6D549E-1B1D-4467-8C56-01628225A0B2}">
    <text>2.25kW allocation reduced due to live reading of 1.3kW</text>
  </threadedComment>
  <threadedComment ref="AB239" dT="2024-04-22T10:58:07.65" personId="{F6E7EC2D-8E6E-4BA1-BCDD-6D7FECF08119}" id="{0F741388-8285-46F2-A6FC-DD761B298658}">
    <text xml:space="preserve">As per glen advise 2KW power is allocated for this live rack </text>
  </threadedComment>
  <threadedComment ref="J240" dT="2022-05-26T11:51:15.63" personId="{BC55F889-AFD3-4AD4-B814-0EDFA8411758}" id="{437CBC84-8D5B-45AC-B17F-0B347DE60BA9}">
    <text>5kW allocation reduced due to live reading of 3.1kW</text>
  </threadedComment>
  <threadedComment ref="J240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0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0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0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0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0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0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0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0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0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J240" dT="2024-08-19T14:59:50.21" personId="{AFB55828-FFC6-4C96-B981-0FAA8F63A769}" id="{CBB3DC51-A308-4344-90AC-066CD45ABE6E}" parentId="{437CBC84-8D5B-45AC-B17F-0B347DE60BA9}">
    <text>2.25kW allocation reduced due to live reading of 1.0kW</text>
  </threadedComment>
  <threadedComment ref="J240" dT="2024-09-17T14:38:28.31" personId="{AFB55828-FFC6-4C96-B981-0FAA8F63A769}" id="{7300F640-5528-487F-86A0-5D51A4AADB32}" parentId="{437CBC84-8D5B-45AC-B17F-0B347DE60BA9}">
    <text>2.25kW allocation reduced due to live reading of 1.0kW</text>
  </threadedComment>
  <threadedComment ref="J240" dT="2024-11-05T16:47:41.81" personId="{AFB55828-FFC6-4C96-B981-0FAA8F63A769}" id="{F8174616-EA6A-45AB-810F-8BB5EC5E64B0}" parentId="{437CBC84-8D5B-45AC-B17F-0B347DE60BA9}">
    <text>2.5kW allocation reduced due to live reading of 1.3kW</text>
  </threadedComment>
  <threadedComment ref="L240" dT="2021-08-13T11:49:06.83" personId="{BC55F889-AFD3-4AD4-B814-0EDFA8411758}" id="{BF446FA7-7CA3-46A8-ABB5-CA7176F60701}">
    <text>5kW allocated, live so halved to 2.5kw</text>
  </threadedComment>
  <threadedComment ref="N240" dT="2023-01-12T15:07:21.06" personId="{BC55F889-AFD3-4AD4-B814-0EDFA8411758}" id="{9795C785-B881-4C90-8EE5-C351A7B2BF31}">
    <text>Live reading 79A, so 13.5kW allocation reduced by 4.3kW</text>
  </threadedComment>
  <threadedComment ref="N240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0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0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0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0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0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0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0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0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0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0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N240" dT="2024-08-19T14:51:45.25" personId="{AFB55828-FFC6-4C96-B981-0FAA8F63A769}" id="{18756C14-B0E6-44DE-B13F-86354A274633}" parentId="{9795C785-B881-4C90-8EE5-C351A7B2BF31}">
    <text>2.25kW allocation reduced due to live reading of 0.9kW</text>
  </threadedComment>
  <threadedComment ref="N240" dT="2024-09-17T14:42:36.86" personId="{AFB55828-FFC6-4C96-B981-0FAA8F63A769}" id="{2A156B23-7F50-4A8D-A60E-82C15F24A570}" parentId="{9795C785-B881-4C90-8EE5-C351A7B2BF31}">
    <text>2.25kW allocation reduced due to live reading of 0.9kW</text>
  </threadedComment>
  <threadedComment ref="N240" dT="2024-11-05T16:54:34.47" personId="{AFB55828-FFC6-4C96-B981-0FAA8F63A769}" id="{41E7A0E0-3C35-4AD2-8720-1EAD6B95D10E}" parentId="{9795C785-B881-4C90-8EE5-C351A7B2BF31}">
    <text>2.25kW allocation reduced due to live reading of 1.0kW</text>
  </threadedComment>
  <threadedComment ref="P240" dT="2023-01-12T15:07:21.06" personId="{BC55F889-AFD3-4AD4-B814-0EDFA8411758}" id="{2EBA1A03-A7F6-4F13-AFED-840F105FE065}">
    <text>Live reading 32.8A, so 4.5kW allocation reduced by 1.8kW</text>
  </threadedComment>
  <threadedComment ref="P240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0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0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0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0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0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0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0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0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0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P240" dT="2024-08-19T14:57:15.96" personId="{AFB55828-FFC6-4C96-B981-0FAA8F63A769}" id="{945030DA-49A7-460A-AC56-355E53AD027B}" parentId="{2EBA1A03-A7F6-4F13-AFED-840F105FE065}">
    <text>2.25kW allocation reduced due to live reading of 1.4kW</text>
  </threadedComment>
  <threadedComment ref="P240" dT="2024-09-17T14:36:24.32" personId="{AFB55828-FFC6-4C96-B981-0FAA8F63A769}" id="{7FC2628D-DAAE-4017-9BA5-A9953DD9F72D}" parentId="{2EBA1A03-A7F6-4F13-AFED-840F105FE065}">
    <text>2.25kW allocation reduced due to live reading of 1.4kW</text>
  </threadedComment>
  <threadedComment ref="P240" dT="2024-11-05T16:49:50.88" personId="{AFB55828-FFC6-4C96-B981-0FAA8F63A769}" id="{4E5D0422-6A0A-4A24-A1B9-EAD42BAAAB52}" parentId="{2EBA1A03-A7F6-4F13-AFED-840F105FE065}">
    <text>2.25kW allocation reduced due to live reading of 1.4kW</text>
  </threadedComment>
  <threadedComment ref="R240" dT="2022-05-26T11:54:57.07" personId="{BC55F889-AFD3-4AD4-B814-0EDFA8411758}" id="{94523894-28A2-44CA-86C5-89EE0A65CECB}">
    <text>Total 8kW allocation reduced due to live reading of 6.6kW</text>
  </threadedComment>
  <threadedComment ref="R240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0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0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0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0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0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0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0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0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0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R240" dT="2024-08-19T15:02:20.42" personId="{AFB55828-FFC6-4C96-B981-0FAA8F63A769}" id="{7D4764C3-1DD7-412A-9EEB-1A966F9A2F85}" parentId="{94523894-28A2-44CA-86C5-89EE0A65CECB}">
    <text>4kW allocation reduced due to live reading of 3.5kW</text>
  </threadedComment>
  <threadedComment ref="R240" dT="2024-09-17T14:37:31.89" personId="{AFB55828-FFC6-4C96-B981-0FAA8F63A769}" id="{1F3AC7A6-B725-465C-916D-A1B4A90C0552}" parentId="{94523894-28A2-44CA-86C5-89EE0A65CECB}">
    <text>4kW allocation reduced due to live reading of 3.5kW</text>
  </threadedComment>
  <threadedComment ref="R240" dT="2024-11-05T16:48:43.56" personId="{AFB55828-FFC6-4C96-B981-0FAA8F63A769}" id="{67C38826-BAE7-4EB0-8979-2D38ABA6AD59}" parentId="{94523894-28A2-44CA-86C5-89EE0A65CECB}">
    <text>4kW allocation reduced due to live reading of 3.6kW</text>
  </threadedComment>
  <threadedComment ref="T240" dT="2024-01-09T09:07:27.64" personId="{BC55F889-AFD3-4AD4-B814-0EDFA8411758}" id="{EC8A8153-14CF-4FF7-9238-CB77F089B93E}">
    <text>Original allocation  3kW (total cab 6kW), reduced to 0.675 after cab measured as 4.65kW</text>
  </threadedComment>
  <threadedComment ref="X240" dT="2023-07-11T14:04:20.98" personId="{4232887B-6F74-4501-885D-8735C5662726}" id="{85FF7AF6-1096-4C66-887B-AFADA79B27D3}">
    <text>2kW allocation reduced due to live reading of 1.2kW</text>
  </threadedComment>
  <threadedComment ref="X240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0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0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0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0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0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0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0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0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X240" dT="2024-08-19T14:55:17.60" personId="{AFB55828-FFC6-4C96-B981-0FAA8F63A769}" id="{D89772C2-6AEB-4137-942A-29F01D7E5338}" parentId="{85FF7AF6-1096-4C66-887B-AFADA79B27D3}">
    <text>2.25kW allocation reduced due to live reading of 1.3kW</text>
  </threadedComment>
  <threadedComment ref="X240" dT="2024-09-17T14:43:33.21" personId="{AFB55828-FFC6-4C96-B981-0FAA8F63A769}" id="{5648A5D2-765B-4EA2-9C98-DC294026E20C}" parentId="{85FF7AF6-1096-4C66-887B-AFADA79B27D3}">
    <text>2.25kW allocation reduced due to live reading of 1.3kW</text>
  </threadedComment>
  <threadedComment ref="X240" dT="2024-11-05T16:51:49.04" personId="{AFB55828-FFC6-4C96-B981-0FAA8F63A769}" id="{77E778E4-01CD-43EF-91BA-9115E68EB372}" parentId="{85FF7AF6-1096-4C66-887B-AFADA79B27D3}">
    <text>2.25kW allocation reduced due to live reading of 1.3kW</text>
  </threadedComment>
  <threadedComment ref="Z240" dT="2023-07-11T14:12:36.13" personId="{4232887B-6F74-4501-885D-8735C5662726}" id="{2F56CB73-C981-458E-9FCF-DC0DD126711C}">
    <text>2kW allocation reduced due to live reading of 1.2kW</text>
  </threadedComment>
  <threadedComment ref="Z240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0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0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0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0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0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0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0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0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0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0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Z240" dT="2024-08-19T14:56:11.38" personId="{AFB55828-FFC6-4C96-B981-0FAA8F63A769}" id="{26DCBC12-DAB6-4CE7-A2BB-30BB4A3641D2}" parentId="{2F56CB73-C981-458E-9FCF-DC0DD126711C}">
    <text>2.25kW allocation reduced due to live reading of 1.3kW</text>
  </threadedComment>
  <threadedComment ref="Z240" dT="2024-09-17T14:44:42.95" personId="{AFB55828-FFC6-4C96-B981-0FAA8F63A769}" id="{D8077B93-8EE2-4047-927F-F97EEE5BB45F}" parentId="{2F56CB73-C981-458E-9FCF-DC0DD126711C}">
    <text>2.25kW allocation reduced due to live reading of 1.3kW</text>
  </threadedComment>
  <threadedComment ref="Z240" dT="2024-11-05T16:50:51.32" personId="{AFB55828-FFC6-4C96-B981-0FAA8F63A769}" id="{2CCA375D-FF56-4078-A11A-2604418EBD2E}" parentId="{2F56CB73-C981-458E-9FCF-DC0DD126711C}">
    <text>2.25kW allocation reduced due to live reading of 1.3kW</text>
  </threadedComment>
  <threadedComment ref="AB240" dT="2024-04-22T10:58:23.48" personId="{F6E7EC2D-8E6E-4BA1-BCDD-6D7FECF08119}" id="{015E1AD2-56F1-4109-9C65-F58B7F60E13E}">
    <text xml:space="preserve">As per glen advise 2KW power is allocated for this live rack </text>
  </threadedComment>
  <threadedComment ref="N241" dT="2023-01-12T13:18:29.45" personId="{BC55F889-AFD3-4AD4-B814-0EDFA8411758}" id="{BA67A799-EAA7-417D-BC23-CF95FD0995A2}">
    <text>1x N9K - 337W - 2 feeds
1x ISR4331 - 42W - 1 feed
2x QB500 - 1207W - 4 feeds</text>
  </threadedComment>
  <threadedComment ref="N242" dT="2023-01-12T13:18:33.58" personId="{BC55F889-AFD3-4AD4-B814-0EDFA8411758}" id="{ED0A3A25-69B5-45C0-80B1-64C55D44CB7A}">
    <text>1x N9K - 337W - 2 feeds
1x ISR4331 - 42W - 1 feed
2x QB500 - 1207W - 4 feeds</text>
  </threadedComment>
  <threadedComment ref="I244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7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8" dT="2024-06-07T14:35:02.85" personId="{4232887B-6F74-4501-885D-8735C5662726}" id="{947DE206-E751-4B41-81C9-EB8108340977}">
    <text>Additional power has been added under ORMT_SAP_240508_11_Y854105 </text>
  </threadedComment>
  <threadedComment ref="J249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49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M249" dT="2024-08-14T15:45:06.80" personId="{23875134-620F-49C7-896C-147D628FB6EA}" id="{AA256714-081A-400C-8E10-68D2D071FB8F}">
    <text>ORMT_SAP_240517_1_11255170 is planned for Nokia 7750 SR2s</text>
  </threadedComment>
  <threadedComment ref="J251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R23" dT="2024-08-13T09:20:17.55" personId="{4232887B-6F74-4501-885D-8735C5662726}" id="{5B8A2D37-C9A3-42E2-A4E5-D6CEA9B4D1E7}" parentId="{1B1AF5EF-8C04-4B05-AFBE-932BE89C1F4F}">
    <text>5kW allocation reduced due to live reading of 3.2KW</text>
  </threadedComment>
  <threadedComment ref="R23" dT="2024-09-18T08:10:27.95" personId="{4232887B-6F74-4501-885D-8735C5662726}" id="{807481C2-6BCE-4F11-AA80-EA8F52FD3AE6}" parentId="{1B1AF5EF-8C04-4B05-AFBE-932BE89C1F4F}">
    <text>5kW allocation reduced due to live reading of 3.1KW</text>
  </threadedComment>
  <threadedComment ref="R23" dT="2024-11-05T14:43:16.86" personId="{4232887B-6F74-4501-885D-8735C5662726}" id="{ED9EF3FC-FEAD-4675-86AC-BC6D2FABD7BE}" parentId="{1B1AF5EF-8C04-4B05-AFBE-932BE89C1F4F}">
    <text>5kW allocation reduced due to live reading of 3.2KW</text>
  </threadedComment>
  <threadedComment ref="R23" dT="2024-12-05T15:08:57.36" personId="{4232887B-6F74-4501-885D-8735C5662726}" id="{424F98A4-8153-470D-AA7A-113A46AB6D5A}" parentId="{1B1AF5EF-8C04-4B05-AFBE-932BE89C1F4F}">
    <text>5kW allocation reduced due to live reading of 3.1KW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T23" dT="2024-08-13T09:18:28.20" personId="{4232887B-6F74-4501-885D-8735C5662726}" id="{E4F393A3-2685-4CE5-B918-B46CAA452EB3}" parentId="{76C0A12D-43D7-4E23-9131-6161B320F1A5}">
    <text>8.5kW allocation reduced due to live reading of 3.2KW</text>
  </threadedComment>
  <threadedComment ref="T23" dT="2024-09-18T08:08:31.60" personId="{4232887B-6F74-4501-885D-8735C5662726}" id="{206569C6-D3C2-4BF6-AA43-EE1E77692A42}" parentId="{76C0A12D-43D7-4E23-9131-6161B320F1A5}">
    <text>8.5kW allocation reduced due to live reading of 3.2KW</text>
  </threadedComment>
  <threadedComment ref="T23" dT="2024-11-05T14:26:18.94" personId="{4232887B-6F74-4501-885D-8735C5662726}" id="{F30D999F-F604-4D83-8C84-FEEE040A4A8E}" parentId="{76C0A12D-43D7-4E23-9131-6161B320F1A5}">
    <text>8.5kW allocation reduced due to live reading of 3.3KW</text>
  </threadedComment>
  <threadedComment ref="T23" dT="2024-12-05T14:56:33.56" personId="{4232887B-6F74-4501-885D-8735C5662726}" id="{90FA6954-E4DB-4D6D-ADAA-228F6EF095EB}" parentId="{76C0A12D-43D7-4E23-9131-6161B320F1A5}">
    <text>8.5kW allocation reduced due to live reading of 3.35KW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V23" dT="2024-08-13T09:12:27.72" personId="{4232887B-6F74-4501-885D-8735C5662726}" id="{860ABE71-D3A5-45A8-A537-CF308855513F}" parentId="{D8BD5F8F-A21C-4D1E-B172-023F4307EF98}">
    <text>2kW allocation reduced due to live reading of 0.4KW</text>
  </threadedComment>
  <threadedComment ref="V23" dT="2024-09-18T08:05:26.15" personId="{4232887B-6F74-4501-885D-8735C5662726}" id="{B0AD284C-5178-40BE-9BE9-150B1981FADC}" parentId="{D8BD5F8F-A21C-4D1E-B172-023F4307EF98}">
    <text>2kW allocation reduced due to live reading of 0.4KW</text>
  </threadedComment>
  <threadedComment ref="V23" dT="2024-11-05T14:20:58.29" personId="{4232887B-6F74-4501-885D-8735C5662726}" id="{CD697E84-E869-4E37-ABD1-4ABD3A316749}" parentId="{D8BD5F8F-A21C-4D1E-B172-023F4307EF98}">
    <text>2kW allocation reduced due to live reading of 0.4KW</text>
  </threadedComment>
  <threadedComment ref="V23" dT="2024-12-05T14:51:13.28" personId="{4232887B-6F74-4501-885D-8735C5662726}" id="{A52025B3-6169-4210-AB4D-CDFCE1C07D73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X23" dT="2024-08-13T09:13:29.15" personId="{4232887B-6F74-4501-885D-8735C5662726}" id="{479156E3-73E0-46C7-8E5A-377E89E70B38}" parentId="{9E2F76E5-3B86-4662-AB5E-64D99E6DAF65}">
    <text>2kW allocation reduced due to live reading of 0.2KW</text>
  </threadedComment>
  <threadedComment ref="X23" dT="2024-09-18T08:06:37.25" personId="{4232887B-6F74-4501-885D-8735C5662726}" id="{501E5B18-F605-44A0-8F98-6DE7B732C167}" parentId="{9E2F76E5-3B86-4662-AB5E-64D99E6DAF65}">
    <text>2kW allocation reduced due to live reading of 0.2KW</text>
  </threadedComment>
  <threadedComment ref="X23" dT="2024-11-05T14:21:48.15" personId="{4232887B-6F74-4501-885D-8735C5662726}" id="{B27175D6-761C-44E9-9015-28BFE289F449}" parentId="{9E2F76E5-3B86-4662-AB5E-64D99E6DAF65}">
    <text>2kW allocation reduced due to live reading of 0.2KW</text>
  </threadedComment>
  <threadedComment ref="X23" dT="2024-12-05T14:52:24.39" personId="{4232887B-6F74-4501-885D-8735C5662726}" id="{7C99684D-4F3D-472C-AA18-F9E71DC2F491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R30" dT="2024-11-05T13:20:44.11" personId="{4232887B-6F74-4501-885D-8735C5662726}" id="{BDF4A2D6-3218-4FC5-BF5E-F8A9F1303A3C}" parentId="{DE9C4505-EF63-468B-9587-D56886BF73DC}">
    <text>8kW allocation reduced due to live reading of 7.2KW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T30" dT="2024-11-05T13:06:33.14" personId="{4232887B-6F74-4501-885D-8735C5662726}" id="{C5E83040-F85D-46A6-85DA-2D793FDFFD0A}" parentId="{E3357D52-24A4-4AEF-8CB1-FD14C981F848}">
    <text>4kW allocation reduced due to live reading of 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V30" dT="2024-11-05T13:05:21.56" personId="{4232887B-6F74-4501-885D-8735C5662726}" id="{ECD414D8-3CEA-441E-B8AB-CC8C4C8ED330}" parentId="{9A1EC4BA-21AB-42D9-B4B6-40AF331E2C19}">
    <text>4kW allocation reduced due to live reading of 2.6KW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X30" dT="2024-11-05T13:12:20.01" personId="{4232887B-6F74-4501-885D-8735C5662726}" id="{F911B880-D668-4FEE-889F-AFDE94C71A11}" parentId="{B67D2398-EBB5-47D9-85F7-E921EA381243}">
    <text>16kW allocation reduced due to live reading of 5.8KW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Z30" dT="2024-11-05T13:09:52.15" personId="{4232887B-6F74-4501-885D-8735C5662726}" id="{14F72D5B-EAA0-4C07-AE2B-717E6C37940A}" parentId="{8B669E12-F599-4B24-A642-BF54F244F701}">
    <text xml:space="preserve">7kW allocation reduced due to live reading of  5.2KW
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D30" dT="2024-11-05T12:53:04.37" personId="{4232887B-6F74-4501-885D-8735C5662726}" id="{8732522D-606E-4A27-BFD4-D8E40F666889}" parentId="{5CA607D3-1B86-4224-B566-BCBABC16EFF6}">
    <text>4kW allocation reduced due to live reading of 2.2KW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H30" dT="2024-11-05T13:16:57.11" personId="{4232887B-6F74-4501-885D-8735C5662726}" id="{7BB49D1B-8FBB-4DF5-8F2E-1CB48CF553DC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J30" dT="2024-11-05T12:54:22.22" personId="{4232887B-6F74-4501-885D-8735C5662726}" id="{BB036DAA-8A83-4BCE-9C14-F93F8FA7F8C7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L30" dT="2024-11-05T13:02:19.42" personId="{4232887B-6F74-4501-885D-8735C5662726}" id="{5B0D4A87-528C-4AD7-A97B-6DB86226AEB3}" parentId="{53C72555-D387-407E-953D-8F8F36DCF83A}">
    <text xml:space="preserve">5kW allocation reduced due to live reading of 2.5KW
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T44" dT="2024-08-15T17:12:55.82" personId="{23875134-620F-49C7-896C-147D628FB6EA}" id="{A2612776-66A2-4FAA-87AC-68336A34EF8B}" parentId="{26A61775-FD08-46DD-A239-BCDEB6BE8953}">
    <text>5kW allocation reduced due to live reading of 3.7KW</text>
  </threadedComment>
  <threadedComment ref="T44" dT="2024-11-05T15:50:53.16" personId="{23875134-620F-49C7-896C-147D628FB6EA}" id="{2D2A2D3D-0E6E-40F2-83BA-6923C2AB7FC1}" parentId="{26A61775-FD08-46DD-A239-BCDEB6BE8953}">
    <text>5kW allocation reduced due to live reading of 3.6KW</text>
  </threadedComment>
  <threadedComment ref="T44" dT="2024-12-12T12:38:43.45" personId="{23875134-620F-49C7-896C-147D628FB6EA}" id="{83CC53F2-B463-47D0-9890-70F38BD9AA52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V44" dT="2024-08-15T17:08:09.98" personId="{23875134-620F-49C7-896C-147D628FB6EA}" id="{0F74DC4A-8CE0-499E-BAEA-501AAD6B71A2}" parentId="{AA5B5C54-B03E-443E-8305-8D97966CA42E}">
    <text>4.5kW allocation reduced due to live reading of 2.0KW</text>
  </threadedComment>
  <threadedComment ref="V44" dT="2024-11-05T16:01:25.35" personId="{23875134-620F-49C7-896C-147D628FB6EA}" id="{87FDE7BD-8BE8-40DD-8B9E-98C6AF7D8A49}" parentId="{AA5B5C54-B03E-443E-8305-8D97966CA42E}">
    <text>4.5kW allocation reduced due to live reading of 2.1KW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X44" dT="2024-08-15T17:01:50.90" personId="{23875134-620F-49C7-896C-147D628FB6EA}" id="{E48BCC78-A12C-4948-9F49-20362E1D70B3}" parentId="{30737A53-B9A1-4957-91BF-CF93C0B12D8C}">
    <text>4.5kW allocation reduced due to live reading of 3.7KW</text>
  </threadedComment>
  <threadedComment ref="X44" dT="2024-11-05T16:06:38.26" personId="{23875134-620F-49C7-896C-147D628FB6EA}" id="{015385AB-B025-43F9-A2E9-0409BC6DBC38}" parentId="{30737A53-B9A1-4957-91BF-CF93C0B12D8C}">
    <text>4.5kW allocation reduced due to live reading of 3.8KW</text>
  </threadedComment>
  <threadedComment ref="X44" dT="2024-12-12T12:31:22.67" personId="{23875134-620F-49C7-896C-147D628FB6EA}" id="{1EC9EF5A-5BAE-41E5-AD1B-A0585C6D7783}" parentId="{30737A53-B9A1-4957-91BF-CF93C0B12D8C}">
    <text>4.5kW allocation reduced due to live reading of 3.8KW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Z44" dT="2024-08-15T16:53:46.90" personId="{23875134-620F-49C7-896C-147D628FB6EA}" id="{D876A9A6-F448-4A77-B4AB-74365B06691C}" parentId="{63108F43-89CD-4A35-BAA8-469D5A3281E0}">
    <text>4.5kW allocation reduced due to live reading of 2.2KW</text>
  </threadedComment>
  <threadedComment ref="Z44" dT="2024-11-05T16:09:56.27" personId="{23875134-620F-49C7-896C-147D628FB6EA}" id="{6D313AAF-0E1B-492F-BF5E-F026AF8BE509}" parentId="{63108F43-89CD-4A35-BAA8-469D5A3281E0}">
    <text>4.5kW allocation reduced due to live reading of 2.3KW</text>
  </threadedComment>
  <threadedComment ref="Z44" dT="2024-12-12T12:28:33.62" personId="{23875134-620F-49C7-896C-147D628FB6EA}" id="{E8900F1B-93CE-4778-A22D-327841B9942A}" parentId="{63108F43-89CD-4A35-BAA8-469D5A3281E0}">
    <text>4.5kW allocation reduced due to live reading of 2.3KW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AB44" dT="2024-11-05T15:43:17.21" personId="{23875134-620F-49C7-896C-147D628FB6EA}" id="{D935BA2B-41D1-49BE-B33E-A887CBA909AF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Y57" dT="2024-08-12T12:15:43.28" personId="{23875134-620F-49C7-896C-147D628FB6EA}" id="{107A6706-B890-489C-B4C2-44D1E054C0CD}">
    <text>ORMT_SAP_240517_1_11255170 is planned for Nokia 7750 SR2s_JK6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U73" dT="2024-11-11T14:59:30.46" personId="{AFB55828-FFC6-4C96-B981-0FAA8F63A769}" id="{C7FC0103-491A-471E-986B-DFDC88B01605}">
    <text>Ciena 5142 planned for ORMT_SAP_240715_11_w014433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R87" dT="2024-08-26T04:53:53.51" personId="{AFB55828-FFC6-4C96-B981-0FAA8F63A769}" id="{2B103BC1-66F1-4632-A04C-00AF518BE27B}" parentId="{67534032-B256-419F-ABFC-293715E594BF}">
    <text>5kW allocation reduced due to live reading of 2.9kW</text>
  </threadedComment>
  <threadedComment ref="R87" dT="2024-11-06T11:30:38.35" personId="{AFB55828-FFC6-4C96-B981-0FAA8F63A769}" id="{8BDB64FB-E86D-4E54-9597-8AA4A6EEFE8F}" parentId="{67534032-B256-419F-ABFC-293715E594BF}">
    <text>5kW allocation reduced due to live reading of 2.8kW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T87" dT="2024-08-26T04:56:26.74" personId="{AFB55828-FFC6-4C96-B981-0FAA8F63A769}" id="{82BB2FFF-F6B1-4308-A618-25FCC42991CF}" parentId="{BC9D7945-3837-41DE-9782-66DEC7E83EF1}">
    <text>8kW allocation reduced due to live reading of 7.1kW</text>
  </threadedComment>
  <threadedComment ref="T87" dT="2024-11-06T12:49:06.38" personId="{AFB55828-FFC6-4C96-B981-0FAA8F63A769}" id="{5F2AC2F4-039C-4B9A-A3A9-DEA6806874E5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V87" dT="2024-08-26T04:58:59.09" personId="{AFB55828-FFC6-4C96-B981-0FAA8F63A769}" id="{0E065B0E-F8F5-4090-BAC6-46FCC03126CE}" parentId="{11337E64-0764-42EC-AE43-5B992CF6564A}">
    <text>4kW allocation reduced due to live reading of 1.4kW</text>
  </threadedComment>
  <threadedComment ref="V87" dT="2024-11-06T12:49:39.46" personId="{AFB55828-FFC6-4C96-B981-0FAA8F63A769}" id="{022B69AB-E8F9-4435-9610-A23F18ABCE0E}" parentId="{11337E64-0764-42EC-AE43-5B992CF6564A}">
    <text>4kW allocation reduced due to live reading of 1.5kW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X87" dT="2024-08-26T05:08:49.03" personId="{AFB55828-FFC6-4C96-B981-0FAA8F63A769}" id="{B1FFF19F-DDBE-45AB-B24C-D775494CF505}" parentId="{3A8B166A-FD9D-404C-B96B-5A9E56D5CF47}">
    <text>4kW allocation reduced due to live reading of 1.6kW</text>
  </threadedComment>
  <threadedComment ref="X87" dT="2024-11-06T12:50:19.24" personId="{AFB55828-FFC6-4C96-B981-0FAA8F63A769}" id="{80FDA6ED-6AE3-42F2-8636-04979C0A6027}" parentId="{3A8B166A-FD9D-404C-B96B-5A9E56D5CF47}">
    <text>4kW allocation reduced due to live reading of 2kW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Z87" dT="2024-08-26T05:11:05.79" personId="{AFB55828-FFC6-4C96-B981-0FAA8F63A769}" id="{7126C340-6EF5-4D39-8BBD-EED902C9C634}" parentId="{6149F43F-5541-4AD1-A7F9-836D538C5934}">
    <text>4kW allocation reduced due to live reading of 2.1kW</text>
  </threadedComment>
  <threadedComment ref="Z87" dT="2024-11-06T12:50:36.20" personId="{AFB55828-FFC6-4C96-B981-0FAA8F63A769}" id="{23745431-664B-4CE7-8998-E0D2670FDEA8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B87" dT="2024-08-26T05:12:04.75" personId="{AFB55828-FFC6-4C96-B981-0FAA8F63A769}" id="{FC5D67DF-1580-462F-9FF3-ECC3C1CF190D}" parentId="{A6434C01-06FA-459B-8479-23EC89EB6ECE}">
    <text>6kW allocation reduced due to live reading of 5.2kW</text>
  </threadedComment>
  <threadedComment ref="AB87" dT="2024-11-06T12:50:54.98" personId="{AFB55828-FFC6-4C96-B981-0FAA8F63A769}" id="{EA57A1EC-1CA3-4CDA-912B-43A90DF66ACF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D87" dT="2024-08-26T05:17:53.94" personId="{AFB55828-FFC6-4C96-B981-0FAA8F63A769}" id="{E5B009CD-4121-41D8-BA2E-1CFE6E4729D4}" parentId="{297B3FD8-77F3-4DDA-B047-E2594AE905B6}">
    <text>4kW allocation reduced due to live reading of 0.8kW</text>
  </threadedComment>
  <threadedComment ref="AD87" dT="2024-11-06T12:51:56.03" personId="{AFB55828-FFC6-4C96-B981-0FAA8F63A769}" id="{9A190754-894B-4055-A2E3-AEDD89BBE889}" parentId="{297B3FD8-77F3-4DDA-B047-E2594AE905B6}">
    <text>4kW allocation reduced due to live reading of 1kW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F87" dT="2024-08-26T05:13:23.77" personId="{AFB55828-FFC6-4C96-B981-0FAA8F63A769}" id="{25DD30A6-5C11-4814-B3A2-E9F20F9D1857}" parentId="{D7710C33-5ABF-4A50-9430-B0AAB44FF458}">
    <text>5.4kW allocation reduced due to live reading of 1.3kW</text>
  </threadedComment>
  <threadedComment ref="AF87" dT="2024-11-06T12:51:25.96" personId="{AFB55828-FFC6-4C96-B981-0FAA8F63A769}" id="{76500F73-1E68-4D19-9164-A2AF67FB7E1F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AH87" dT="2024-08-26T04:48:30.30" personId="{AFB55828-FFC6-4C96-B981-0FAA8F63A769}" id="{ACE2E18F-CE11-4441-947C-CC2B2A05F4A9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R116" dT="2024-08-19T15:00:42.03" personId="{AFB55828-FFC6-4C96-B981-0FAA8F63A769}" id="{254D8D5C-23AD-4F5F-841E-5D8DE0E3DFB3}" parentId="{01D39BC4-7FF0-407F-835A-B2167625CA82}">
    <text>5kW allocation reduced due to live reading of 2.6kW</text>
  </threadedComment>
  <threadedComment ref="R116" dT="2024-09-17T14:29:37.34" personId="{AFB55828-FFC6-4C96-B981-0FAA8F63A769}" id="{45026BFE-7079-4967-892D-8CE0B1CB8019}" parentId="{01D39BC4-7FF0-407F-835A-B2167625CA82}">
    <text>5kW allocation reduced due to live reading of 2.6kW</text>
  </threadedComment>
  <threadedComment ref="R116" dT="2024-11-05T16:46:13.74" personId="{AFB55828-FFC6-4C96-B981-0FAA8F63A769}" id="{D31B251D-B5BA-4955-B026-3FBF66393CDE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T116" dT="2024-08-19T14:53:18.09" personId="{AFB55828-FFC6-4C96-B981-0FAA8F63A769}" id="{B015480D-2347-494A-A85C-269A703C522E}" parentId="{4B00D20D-44B8-41D0-A860-F6DAC149B674}">
    <text>13.5kW allocation reduced due to live reading of 6.9kW</text>
  </threadedComment>
  <threadedComment ref="T116" dT="2024-09-17T14:26:18.96" personId="{AFB55828-FFC6-4C96-B981-0FAA8F63A769}" id="{6A222A69-E2A7-41C0-BEBE-67A10BD04694}" parentId="{4B00D20D-44B8-41D0-A860-F6DAC149B674}">
    <text>13.5kW allocation reduced due to live reading of 6.9kW</text>
  </threadedComment>
  <threadedComment ref="T116" dT="2024-11-05T16:44:11.37" personId="{AFB55828-FFC6-4C96-B981-0FAA8F63A769}" id="{CCF0D29B-56D3-4773-84D5-6481AC689901}" parentId="{4B00D20D-44B8-41D0-A860-F6DAC149B674}">
    <text>13.5kW allocation reduced due to live reading of 7.1kW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X116" dT="2024-08-19T15:02:44.22" personId="{AFB55828-FFC6-4C96-B981-0FAA8F63A769}" id="{1FAA0E0F-7377-4D4E-9791-3976761D6395}" parentId="{E6D2B01F-82DD-4DD2-9577-D905FFF36E41}">
    <text>8kW allocation reduced due to live reading of 7.2kW</text>
  </threadedComment>
  <threadedComment ref="X116" dT="2024-09-17T14:30:37.65" personId="{AFB55828-FFC6-4C96-B981-0FAA8F63A769}" id="{4A1F9AAE-5F4D-4B34-B601-3616E0DECE15}" parentId="{E6D2B01F-82DD-4DD2-9577-D905FFF36E41}">
    <text>8kW allocation reduced due to live reading of 7.2kW</text>
  </threadedComment>
  <threadedComment ref="X116" dT="2024-11-05T16:46:34.29" personId="{AFB55828-FFC6-4C96-B981-0FAA8F63A769}" id="{AA38C366-7DA1-416C-BA9F-198905062263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Z116" dT="2024-08-19T14:57:53.40" personId="{AFB55828-FFC6-4C96-B981-0FAA8F63A769}" id="{B6608EAA-071D-40AF-B264-E6BBEDFF3187}" parentId="{60B65998-EB23-4DE3-944B-D1DCBBD7A6E8}">
    <text>4.5kW allocation reduced due to live reading of 2.8kW</text>
  </threadedComment>
  <threadedComment ref="Z116" dT="2024-09-17T14:34:17.30" personId="{AFB55828-FFC6-4C96-B981-0FAA8F63A769}" id="{1C024E94-22E0-4704-9F6C-06F4CF1B77D8}" parentId="{60B65998-EB23-4DE3-944B-D1DCBBD7A6E8}">
    <text>4.5kW allocation reduced due to live reading of 2.8kW</text>
  </threadedComment>
  <threadedComment ref="Z116" dT="2024-11-05T16:45:46.88" personId="{AFB55828-FFC6-4C96-B981-0FAA8F63A769}" id="{1221B42C-F12F-4A80-8C53-332B814B43B5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R143" dT="2024-08-20T09:18:03.92" personId="{4232887B-6F74-4501-885D-8735C5662726}" id="{848631E5-C52C-4853-A29A-F57992D3AD6D}" parentId="{0BFD9EFF-51CB-4952-8CA0-207DA310BBF1}">
    <text>8kW allocation reduced due to live reading of 7.2kW</text>
  </threadedComment>
  <threadedComment ref="R143" dT="2024-11-27T14:10:56.64" personId="{4232887B-6F74-4501-885D-8735C5662726}" id="{46AECECA-F8FB-4A62-8A64-DBE66282F44E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T143" dT="2024-08-20T09:20:19.65" personId="{4232887B-6F74-4501-885D-8735C5662726}" id="{2A1141EE-D600-46DB-A17B-2CBCBB3BCBE1}" parentId="{70A9E207-6513-44C6-A62B-5A808125B986}">
    <text>5kW allocation reduced due to live reading of 2.4KW</text>
  </threadedComment>
  <threadedComment ref="T143" dT="2024-11-27T14:12:27.22" personId="{4232887B-6F74-4501-885D-8735C5662726}" id="{275D4C92-505C-40E8-BA19-2E5F21E6915B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V143" dT="2024-08-20T09:21:05.74" personId="{4232887B-6F74-4501-885D-8735C5662726}" id="{C24DF9AD-4D34-4A0A-9380-BDB182C9B6E5}" parentId="{35BB3DE6-D52C-4BD0-9A9A-2D1364B48E5E}">
    <text>2kW allocation reduced due to live reading of 0.2kW</text>
  </threadedComment>
  <threadedComment ref="V143" dT="2024-11-27T14:13:15.58" personId="{4232887B-6F74-4501-885D-8735C5662726}" id="{453319BF-0E6D-4ABF-B8FE-7EC882E76E53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X143" dT="2024-08-20T09:09:46.02" personId="{4232887B-6F74-4501-885D-8735C5662726}" id="{BCA5AD52-229D-4223-BC5B-4670BBE9FB80}" parentId="{6AA1120F-5719-472A-A9A2-8188A350B9F1}">
    <text>4.5kW allocation reduced due to live reading of 1.3kW</text>
  </threadedComment>
  <threadedComment ref="X143" dT="2024-11-27T14:04:59.47" personId="{4232887B-6F74-4501-885D-8735C5662726}" id="{B201E99A-AA22-4B3E-B4D5-FE01BD224F3F}" parentId="{6AA1120F-5719-472A-A9A2-8188A350B9F1}">
    <text>4.5kW allocation reduced due to live reading of 1.2kW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Z143" dT="2024-08-20T09:11:33.91" personId="{4232887B-6F74-4501-885D-8735C5662726}" id="{B757E507-4F6E-4E47-9D36-320B09981339}" parentId="{31B294E6-F89E-42AF-A05B-37545846C794}">
    <text>4kW allocation reduced due to live reading of 2.6kW</text>
  </threadedComment>
  <threadedComment ref="Z143" dT="2024-11-27T14:06:26.10" personId="{4232887B-6F74-4501-885D-8735C5662726}" id="{2B499BE7-32F3-4660-B4C1-CE26747EEA9D}" parentId="{31B294E6-F89E-42AF-A05B-37545846C794}">
    <text>4kW allocation reduced due to live reading of 2.7kW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B143" dT="2024-08-20T09:13:13.14" personId="{4232887B-6F74-4501-885D-8735C5662726}" id="{9F2F9678-431D-4617-88B6-23679F2AB171}" parentId="{CFEED227-B59A-44C2-AAA0-6E2828B42700}">
    <text>4kW allocation reduced due to live reading of 1.5kW</text>
  </threadedComment>
  <threadedComment ref="AB143" dT="2024-11-27T14:07:22.68" personId="{4232887B-6F74-4501-885D-8735C5662726}" id="{FF498078-3B51-4645-9C9F-E8B8C50A5612}" parentId="{CFEED227-B59A-44C2-AAA0-6E2828B42700}">
    <text>4kW allocation reduced due to live reading of 1.5kW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AD143" dT="2024-08-20T09:16:17.55" personId="{4232887B-6F74-4501-885D-8735C5662726}" id="{93CF4528-5DF7-4101-966C-E7CAFDBD8213}" parentId="{38ED4E31-D50C-4C93-9DAE-48CFB1F4CB96}">
    <text>4.2kW allocation reduced due to live reading of 0.5kW</text>
  </threadedComment>
  <threadedComment ref="AD143" dT="2024-11-27T14:08:53.60" personId="{4232887B-6F74-4501-885D-8735C5662726}" id="{FECCA150-C637-4050-AC47-A7AC14E36EFA}" parentId="{38ED4E31-D50C-4C93-9DAE-48CFB1F4CB96}">
    <text>4.2kW allocation reduced due to live reading of 0.5kW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Q149" dT="2024-11-19T16:49:41.41" personId="{23875134-620F-49C7-896C-147D628FB6EA}" id="{CDDD5C61-B776-468C-A84E-89AB207DC09D}">
    <text>ORMT_SAP_240904_13_W859570 under this ORMT we have allocated the 2KW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R156" dT="2024-08-19T16:30:05.74" personId="{23875134-620F-49C7-896C-147D628FB6EA}" id="{35378BAC-4B1B-45F7-BD2B-6C8E88BD7AA5}" parentId="{87104A36-A461-4BAD-ABE0-ECE4D4595BA9}">
    <text>5kW allocation reduced due to live reading of 4.0kW</text>
  </threadedComment>
  <threadedComment ref="R156" dT="2024-09-16T14:25:42.74" personId="{23875134-620F-49C7-896C-147D628FB6EA}" id="{F36CAE00-98AF-417F-9C5B-A057F11D044D}" parentId="{87104A36-A461-4BAD-ABE0-ECE4D4595BA9}">
    <text>5kW allocation reduced due to live reading of 4.0kW</text>
  </threadedComment>
  <threadedComment ref="R156" dT="2024-10-14T14:44:46.97" personId="{23875134-620F-49C7-896C-147D628FB6EA}" id="{FE29CE07-BD3E-4B78-BCA1-0AFECB8313B3}" parentId="{87104A36-A461-4BAD-ABE0-ECE4D4595BA9}">
    <text>5kW allocation reduced due to live reading of 3.9kW</text>
  </threadedComment>
  <threadedComment ref="R156" dT="2024-11-06T17:06:31.32" personId="{23875134-620F-49C7-896C-147D628FB6EA}" id="{1AAEA31F-CF21-45A3-9DEE-EE27D8642C77}" parentId="{87104A36-A461-4BAD-ABE0-ECE4D4595BA9}">
    <text>5kW allocation reduced due to live reading of 3.9kW</text>
  </threadedComment>
  <threadedComment ref="R156" dT="2024-12-12T16:15:38.44" personId="{23875134-620F-49C7-896C-147D628FB6EA}" id="{554D33E0-2E5E-47F8-A41F-2451FE24AFE4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W156" dT="2024-08-14T14:54:26.47" personId="{23875134-620F-49C7-896C-147D628FB6EA}" id="{0167AABE-662A-46F4-8389-BE16F9F31692}">
    <text>ORMT_SAP_240517_1_11255170 ia planned for Nokia 7750 SR2s</text>
  </threadedComment>
  <threadedComment ref="Q157" dT="2024-11-19T16:49:10.21" personId="{23875134-620F-49C7-896C-147D628FB6EA}" id="{82232304-1458-4243-8E52-9CB90DBC5944}">
    <text>ORMT_SAP_240904_13_W859570 under this ORMT we have allocated the 2KW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R176" dT="2024-11-27T14:20:14.07" personId="{4232887B-6F74-4501-885D-8735C5662726}" id="{7FDC0B97-8403-49D8-8E73-EC3A6BFDBE73}" parentId="{A299CCBE-2393-477F-A2DD-81D8842E9E1F}">
    <text>5kW allocation reduced due to live reading of 2.9kW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V176" dT="2024-11-27T14:23:30.61" personId="{4232887B-6F74-4501-885D-8735C5662726}" id="{274DDEB0-88D3-461B-9371-6145DEA47A71}" parentId="{56512472-59BB-4D13-A4A7-DC7B7F082C28}">
    <text>4kW allocation reduced due to live reading of 1.3kW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X176" dT="2024-11-27T14:24:41.16" personId="{4232887B-6F74-4501-885D-8735C5662726}" id="{DBAE724D-675E-4CBD-9AA2-2CFEF9460DE8}" parentId="{2AB99CFB-BE46-44AF-996A-C26546D9BAFC}">
    <text>4kW allocation reduced due to live reading of 1.5kW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Z176" dT="2024-11-27T14:25:43.27" personId="{4232887B-6F74-4501-885D-8735C5662726}" id="{AE2EA4B1-FC4E-451C-91DD-266CE51A0082}" parentId="{00697DBC-C411-4606-AEBF-542F481318AF}">
    <text>4kW allocation reduced due to live reading of 1.5kW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B176" dT="2024-11-27T14:29:21.97" personId="{4232887B-6F74-4501-885D-8735C5662726}" id="{62F97FA7-8426-4C0D-9560-B3D916BB452B}" parentId="{E5A69E7D-4D69-4D9C-A7FC-896F26CF5582}">
    <text>4kW allocation reduced due to live reading of 1.8kW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R191" dT="2024-11-05T13:12:50.71" personId="{23875134-620F-49C7-896C-147D628FB6EA}" id="{82CCA013-B4DE-4518-A779-47068350A679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T191" dT="2024-11-05T13:11:59.88" personId="{23875134-620F-49C7-896C-147D628FB6EA}" id="{AAF79731-CECA-4110-AA31-010272965EAB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1" dT="2024-08-20T08:22:21.69" personId="{23875134-620F-49C7-896C-147D628FB6EA}" id="{1F217705-840E-4080-929B-8F4AF7E23477}" parentId="{A92D74E2-D956-4556-9B5E-4F0358C1766B}">
    <text>8kW allocation reduced due to live reading of 5.9kW</text>
  </threadedComment>
  <threadedComment ref="V191" dT="2024-09-10T12:56:39.88" personId="{23875134-620F-49C7-896C-147D628FB6EA}" id="{76292CDD-AEB4-42A6-B787-DE089E38F555}" parentId="{A92D74E2-D956-4556-9B5E-4F0358C1766B}">
    <text>8kW allocation reduced due to live reading of 5.9kW</text>
  </threadedComment>
  <threadedComment ref="V191" dT="2024-10-30T15:58:01.91" personId="{23875134-620F-49C7-896C-147D628FB6EA}" id="{40A7DD07-62E4-4FF1-B193-2081335C8E57}" parentId="{A92D74E2-D956-4556-9B5E-4F0358C1766B}">
    <text>8kW allocation reduced due to live reading of 5.9kW</text>
  </threadedComment>
  <threadedComment ref="V191" dT="2024-11-05T13:30:25.21" personId="{23875134-620F-49C7-896C-147D628FB6EA}" id="{B68614B0-3AAB-4837-AB7D-6309A0CD2F7F}" parentId="{A92D74E2-D956-4556-9B5E-4F0358C1766B}">
    <text>16kW allocation reduced due to live reading of 5.9kW</text>
  </threadedComment>
  <threadedComment ref="Z191" dT="2024-11-05T13:35:01.87" personId="{23875134-620F-49C7-896C-147D628FB6EA}" id="{19260BE0-9307-4028-B722-654421464150}">
    <text>1kW allocation reduced due to live reading of 0.4kW</text>
  </threadedComment>
  <threadedComment ref="AB191" dT="2024-11-05T13:35:39.70" personId="{23875134-620F-49C7-896C-147D628FB6EA}" id="{96CEFFFB-CCD0-487D-AC5B-3B8FAC893A07}">
    <text>1kW allocation reduced due to live reading of 0.6kW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R198" dT="2024-08-05T14:58:35.90" personId="{1E6DD3F2-E860-47E0-8C0E-4DFC2954E528}" id="{309F5932-789F-4290-8F39-3ABB19A39865}">
    <text>Allocation for New Akamai Rack v08 in LDSCD2 under ORMT_SAP_240603_8_10335416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Y200" dT="2024-08-14T15:28:05.73" personId="{23875134-620F-49C7-896C-147D628FB6EA}" id="{ED02DB05-E32A-4C33-8035-9E698B0529F7}">
    <text>ORMT_SAP_240517_1_11255170 is planned for Nokia 7750 SR2s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R217" dT="2024-08-14T17:13:31.67" personId="{AFB55828-FFC6-4C96-B981-0FAA8F63A769}" id="{A2E80492-BBF7-4C6A-96DF-8ECC566E9AD8}" parentId="{B00039D7-F59F-47B2-82C6-3F87C39FE795}">
    <text>5kW allocation reduced due to live reading of 3.3kW</text>
  </threadedComment>
  <threadedComment ref="R217" dT="2024-11-05T15:05:27.60" personId="{AFB55828-FFC6-4C96-B981-0FAA8F63A769}" id="{73AB6654-5C71-4BB0-8880-F60B274BE23A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T217" dT="2024-08-14T17:20:15.26" personId="{AFB55828-FFC6-4C96-B981-0FAA8F63A769}" id="{228064C1-C706-4136-97CA-72A7C4F6E2FB}" parentId="{2B835A27-EEAF-4231-BDA0-BE59E09C8188}">
    <text>12kW allocation reduced due to live reading of 1.7kW</text>
  </threadedComment>
  <threadedComment ref="T217" dT="2024-11-05T15:04:42.41" personId="{AFB55828-FFC6-4C96-B981-0FAA8F63A769}" id="{5E9FDDBF-19BB-4542-9E92-D8983BC0F2F9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V217" dT="2024-08-14T17:16:05.62" personId="{AFB55828-FFC6-4C96-B981-0FAA8F63A769}" id="{55ADDFCA-BA7D-41EF-8216-CD5D33E266CA}" parentId="{109D9C5C-96D5-48A1-B6BA-E81D2428DEA6}">
    <text>2kW allocation reduced due to live reading of 0.3kW</text>
  </threadedComment>
  <threadedComment ref="V217" dT="2024-11-05T15:04:55.13" personId="{AFB55828-FFC6-4C96-B981-0FAA8F63A769}" id="{EC9263DF-7DE6-46EE-90A1-8DD378A6BB04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R255" dT="2024-08-26T09:23:16.84" personId="{AFB55828-FFC6-4C96-B981-0FAA8F63A769}" id="{E5DEDDBF-A7B7-4033-AE71-199A7FD176B3}" parentId="{338FF153-F37B-4A9A-B280-1103748EF85D}">
    <text>12kW allocation reduced due to live reading of 7.3kW</text>
  </threadedComment>
  <threadedComment ref="R255" dT="2024-11-06T11:08:23.29" personId="{AFB55828-FFC6-4C96-B981-0FAA8F63A769}" id="{910ED0CA-F5A9-4137-85CA-8B152860FB4D}" parentId="{338FF153-F37B-4A9A-B280-1103748EF85D}">
    <text>12kW allocation reduced due to live reading of 7.2kW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T255" dT="2024-08-26T09:18:56.19" personId="{AFB55828-FFC6-4C96-B981-0FAA8F63A769}" id="{59346A9E-A2D5-47D8-85CF-336FCB0497EC}" parentId="{60614DD8-706A-4F06-B612-B6548E532DE4}">
    <text>5kW allocation reduced due to live reading of 3.6kW</text>
  </threadedComment>
  <threadedComment ref="T255" dT="2024-11-06T11:09:11.52" personId="{AFB55828-FFC6-4C96-B981-0FAA8F63A769}" id="{2271FBC3-21D1-4B71-AD64-3BF9BE9AA370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X255" dT="2024-08-26T09:28:38.91" personId="{AFB55828-FFC6-4C96-B981-0FAA8F63A769}" id="{1D860839-E7AE-4D0A-8AB7-A51853F991EF}" parentId="{C8545478-0875-4952-A979-BA32DF87B13C}">
    <text>6.5kW allocation reduced due to live reading of 5.7kW</text>
  </threadedComment>
  <threadedComment ref="X255" dT="2024-11-06T11:12:39.31" personId="{AFB55828-FFC6-4C96-B981-0FAA8F63A769}" id="{BBAA95C2-0799-4511-9500-5EA3A498D182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Z255" dT="2024-08-26T09:07:30.37" personId="{AFB55828-FFC6-4C96-B981-0FAA8F63A769}" id="{3BAC1C5A-747B-40C6-BCDF-4409F0D79F7B}" parentId="{7FA1D70F-1876-4D40-99CA-56512D8A8B80}">
    <text>2kW allocation reduced due to live reading of 0.4kW</text>
  </threadedComment>
  <threadedComment ref="Z255" dT="2024-11-06T11:13:11.00" personId="{AFB55828-FFC6-4C96-B981-0FAA8F63A769}" id="{336270BA-E434-406D-BB84-5F0C8BE0A1EF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B255" dT="2024-08-26T09:12:10.16" personId="{AFB55828-FFC6-4C96-B981-0FAA8F63A769}" id="{BC106FD8-18AA-441A-98B0-5082F626BBB1}" parentId="{9251B8E4-FD06-41B6-9D57-AED021F4C319}">
    <text>2kW allocation reduced due to live reading of 0.4kW</text>
  </threadedComment>
  <threadedComment ref="AB255" dT="2024-11-06T11:13:34.17" personId="{AFB55828-FFC6-4C96-B981-0FAA8F63A769}" id="{CA014236-BB0C-4F49-9B3F-5434DC9CE299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AD255" dT="2024-08-26T09:14:02.56" personId="{AFB55828-FFC6-4C96-B981-0FAA8F63A769}" id="{EF6BDBD8-5ECE-4F8F-BD20-491E1CBE2CEA}" parentId="{25C0B46B-7CE8-4C99-A4E6-45B4B49977CB}">
    <text>2kW allocation reduced due to live reading of 0.4kW</text>
  </threadedComment>
  <threadedComment ref="AD255" dT="2024-11-06T11:13:49.55" personId="{AFB55828-FFC6-4C96-B981-0FAA8F63A769}" id="{26938518-9773-4771-A08F-59EE77DF0D55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R267" dT="2024-08-26T10:09:18.93" personId="{AFB55828-FFC6-4C96-B981-0FAA8F63A769}" id="{68FDD326-329C-4E11-A5D8-06926A394EAB}" parentId="{34EDBFC8-9CD1-4492-B314-46F63317ED0A}">
    <text>6kW allocation reduced due to live reading of 4.8kW</text>
  </threadedComment>
  <threadedComment ref="R267" dT="2024-11-06T11:27:33.53" personId="{AFB55828-FFC6-4C96-B981-0FAA8F63A769}" id="{1AC9B0DB-1642-4A1D-BD97-C6DC9DBF173C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T267" dT="2024-08-26T09:59:23.38" personId="{AFB55828-FFC6-4C96-B981-0FAA8F63A769}" id="{03632583-2795-4131-AB95-D0063CB250E9}" parentId="{6F1DE005-E9CF-4C14-824E-D5D4E57415DE}">
    <text>4.5kW allocation reduced due to live reading of 2.9kW</text>
  </threadedComment>
  <threadedComment ref="T267" dT="2024-11-06T11:25:46.71" personId="{AFB55828-FFC6-4C96-B981-0FAA8F63A769}" id="{A2840B1C-C0FD-43D8-9090-3F2F7033D82B}" parentId="{6F1DE005-E9CF-4C14-824E-D5D4E57415DE}">
    <text>4.5kW allocation reduced due to live reading of 2.6kW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V267" dT="2024-08-26T09:52:15.18" personId="{AFB55828-FFC6-4C96-B981-0FAA8F63A769}" id="{1A688233-5E71-4BDD-BF34-A134522D656C}" parentId="{DB9826D8-539F-4C26-A24C-4B2CBE418884}">
    <text>2.9kW allocation reduced due to live reading of 1.1kW</text>
  </threadedComment>
  <threadedComment ref="V267" dT="2024-11-06T11:24:16.22" personId="{AFB55828-FFC6-4C96-B981-0FAA8F63A769}" id="{2580734A-98C3-42FF-9460-5ADAD22A4097}" parentId="{DB9826D8-539F-4C26-A24C-4B2CBE418884}">
    <text>2.9kW allocation reduced due to live reading of 1.0kW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Z267" dT="2024-08-26T09:50:00.06" personId="{AFB55828-FFC6-4C96-B981-0FAA8F63A769}" id="{CCBA97A8-D2EF-417D-AE48-BA85DF1D5AAE}" parentId="{B0BEBCAC-C82D-42B3-A51A-BC7DED174E25}">
    <text>1.8kW allocation reduced due to live reading of 0.9kW</text>
  </threadedComment>
  <threadedComment ref="Z267" dT="2024-11-06T11:23:24.44" personId="{AFB55828-FFC6-4C96-B981-0FAA8F63A769}" id="{CB61131B-C1EC-4BB4-BE4B-08151EACA743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B267" dT="2024-08-26T09:42:44.64" personId="{AFB55828-FFC6-4C96-B981-0FAA8F63A769}" id="{904E5461-FAA7-41B9-AAE0-F3D0DDC131EC}" parentId="{09E9B6A7-050E-45FD-9477-9972FF78710C}">
    <text>4kW allocation reduced due to live reading of 1.1kW</text>
  </threadedComment>
  <threadedComment ref="AB267" dT="2024-11-06T11:21:25.57" personId="{AFB55828-FFC6-4C96-B981-0FAA8F63A769}" id="{5F899C2F-44BD-4F3D-B012-F12DAC132938}" parentId="{09E9B6A7-050E-45FD-9477-9972FF78710C}">
    <text>4kW allocation reduced due to live reading of 1.1kW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D267" dT="2024-11-06T11:19:21.33" personId="{AFB55828-FFC6-4C96-B981-0FAA8F63A769}" id="{26A25BD9-1A80-4C7A-84D2-2DF66943D594}" parentId="{8A5CC8B9-F7EA-4B53-884A-7F1539F6AD0D}">
    <text>4.2kW allocation reduced due to live reading of 1.1kW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F267" dT="2024-08-26T09:39:52.14" personId="{AFB55828-FFC6-4C96-B981-0FAA8F63A769}" id="{BABE4ED9-59B0-4B5D-B4E7-1AD1D22A878A}" parentId="{B71E30AE-E9F9-414C-A844-F77C85A30B34}">
    <text>4kW allocation reduced due to live reading of 1.7kW</text>
  </threadedComment>
  <threadedComment ref="AF267" dT="2024-11-06T11:20:25.16" personId="{AFB55828-FFC6-4C96-B981-0FAA8F63A769}" id="{7C2CC2A7-36C7-4744-957D-7224D0413D9A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H267" dT="2024-08-26T10:12:18.48" personId="{AFB55828-FFC6-4C96-B981-0FAA8F63A769}" id="{F04FDBB6-673E-4255-8DDA-86F585795BCD}" parentId="{848F7964-D49A-4269-A18D-4DEB6F3BD225}">
    <text>4kW allocation reduced due to live reading of 1.1kW</text>
  </threadedComment>
  <threadedComment ref="AH267" dT="2024-11-06T11:28:00.95" personId="{AFB55828-FFC6-4C96-B981-0FAA8F63A769}" id="{11691609-946E-46E1-9E3B-9795C8A33EEE}" parentId="{848F7964-D49A-4269-A18D-4DEB6F3BD225}">
    <text>4kW allocation reduced due to live reading of 1.1kW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J267" dT="2024-08-26T10:01:38.19" personId="{AFB55828-FFC6-4C96-B981-0FAA8F63A769}" id="{78B627EA-32BF-4F71-9533-69FFE4569727}" parentId="{844448AE-CE0A-46FB-BF55-1B901B271CEB}">
    <text>4.5kW allocation reduced due to live reading of 2.7kW</text>
  </threadedComment>
  <threadedComment ref="AJ267" dT="2024-08-26T10:06:19.13" personId="{AFB55828-FFC6-4C96-B981-0FAA8F63A769}" id="{F5800F57-772F-4A99-BF34-F1CC17AAAB9A}" parentId="{844448AE-CE0A-46FB-BF55-1B901B271CEB}">
    <text>4.5kW allocation reduced due to live reading of 2.7kW</text>
  </threadedComment>
  <threadedComment ref="AJ267" dT="2024-11-06T11:26:53.09" personId="{AFB55828-FFC6-4C96-B981-0FAA8F63A769}" id="{88978D28-42FF-4EFA-8A91-CC6C41A6D361}" parentId="{844448AE-CE0A-46FB-BF55-1B901B271CEB}">
    <text>4.5kW allocation reduced due to live reading of 2.5kW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AL267" dT="2024-08-26T09:46:39.92" personId="{AFB55828-FFC6-4C96-B981-0FAA8F63A769}" id="{7E682383-AA30-44B7-BB97-107602C5CCE9}" parentId="{DF21D1CA-E11C-4DDE-A62B-B2CF08DE0BFB}">
    <text>5.5kW allocation reduced due to live reading of 1.4kW</text>
  </threadedComment>
  <threadedComment ref="AL267" dT="2024-11-06T11:22:44.25" personId="{AFB55828-FFC6-4C96-B981-0FAA8F63A769}" id="{7D109F0B-5DC3-4372-808C-035C3828D599}" parentId="{DF21D1CA-E11C-4DDE-A62B-B2CF08DE0BFB}">
    <text>5.5kW allocation reduced due to live reading of 1.4kW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R268" dT="2024-08-14T16:42:59.56" personId="{AFB55828-FFC6-4C96-B981-0FAA8F63A769}" id="{93FD659A-2DED-4196-9E3F-9EC99FACB930}" parentId="{E8DA7DB9-AB06-4238-8897-F81B02855CBA}">
    <text>5kW allocation reduced due to live reading of 3.2kW</text>
  </threadedComment>
  <threadedComment ref="R268" dT="2024-11-05T13:36:42.99" personId="{AFB55828-FFC6-4C96-B981-0FAA8F63A769}" id="{753F5204-0FAF-4636-A21B-85190FB566F9}" parentId="{E8DA7DB9-AB06-4238-8897-F81B02855CBA}">
    <text>5kW allocation reduced due to live reading of 3.7kW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V268" dT="2024-08-14T16:38:03.54" personId="{AFB55828-FFC6-4C96-B981-0FAA8F63A769}" id="{27B5329B-188E-4659-BA71-FFF6E4E06816}" parentId="{7F1EC93F-BEF8-45F1-8B4D-94323F3F3424}">
    <text>4kW allocation reduced due to live reading of 1.8kW</text>
  </threadedComment>
  <threadedComment ref="V268" dT="2024-11-05T13:27:46.98" personId="{AFB55828-FFC6-4C96-B981-0FAA8F63A769}" id="{C9D89ADD-C0C0-4A31-9FD2-90E8EBAF2704}" parentId="{7F1EC93F-BEF8-45F1-8B4D-94323F3F3424}">
    <text>4kW allocation reduced due to live reading of 2.7kW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X268" dT="2024-08-14T16:39:35.84" personId="{AFB55828-FFC6-4C96-B981-0FAA8F63A769}" id="{EC7D0EC0-5843-4D5B-BF41-196B1E79096F}" parentId="{8CC0AA1C-82A1-4D08-B675-F8ACB7DC422C}">
    <text>4kW allocation reduced due to live reading of 2kW</text>
  </threadedComment>
  <threadedComment ref="X268" dT="2024-11-05T13:29:48.22" personId="{AFB55828-FFC6-4C96-B981-0FAA8F63A769}" id="{C7D087A1-EA1E-4647-AC88-DB7D12C277AE}" parentId="{8CC0AA1C-82A1-4D08-B675-F8ACB7DC422C}">
    <text>4kW allocation reduced due to live reading of 3kW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Z268" dT="2024-08-14T16:41:17.91" personId="{AFB55828-FFC6-4C96-B981-0FAA8F63A769}" id="{A5518E9D-2832-4F27-BBDB-3D0BDDB612A2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B268" dT="2024-08-14T16:49:29.09" personId="{AFB55828-FFC6-4C96-B981-0FAA8F63A769}" id="{FA927EC3-CEAD-47DE-8557-14CDC88D5B06}" parentId="{2F5D5E34-10E7-487E-956D-5BED6C9F5FD7}">
    <text>1kW allocation reduced due to live reading of 0.2kW</text>
  </threadedComment>
  <threadedComment ref="AB268" dT="2024-11-05T13:42:00.38" personId="{AFB55828-FFC6-4C96-B981-0FAA8F63A769}" id="{FF00C52E-CF3B-40DD-BA8C-14FB284C5CB6}" parentId="{2F5D5E34-10E7-487E-956D-5BED6C9F5FD7}">
    <text>1kW allocation reduced due to live reading of 0.3kW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AD268" dT="2024-08-19T13:23:43.06" personId="{AFB55828-FFC6-4C96-B981-0FAA8F63A769}" id="{832ABB17-9EC3-4FBA-BD9C-4C14579A6100}" parentId="{75A4CE43-3A50-4F61-840D-EAAD6F00EC27}">
    <text>4kW allocation reduced due to live reading of 1.7kW</text>
  </threadedComment>
  <threadedComment ref="AD268" dT="2024-11-05T13:42:51.43" personId="{AFB55828-FFC6-4C96-B981-0FAA8F63A769}" id="{CD162F0C-2155-4826-868A-18F90F10B0F7}" parentId="{75A4CE43-3A50-4F61-840D-EAAD6F00EC27}">
    <text>4kW allocation reduced due to live reading of 0.8kW</text>
  </threadedComment>
  <threadedComment ref="AF268" dT="2024-11-06T13:00:36.57" personId="{AFB55828-FFC6-4C96-B981-0FAA8F63A769}" id="{21030FF8-48DA-4E49-955F-DBE1FC6B5356}">
    <text>4.2kW allocation reduced due to live reading of 0.6kW</text>
  </threadedComment>
  <threadedComment ref="AH268" dT="2024-11-06T13:02:00.84" personId="{AFB55828-FFC6-4C96-B981-0FAA8F63A769}" id="{31E1A6FE-EFFE-41F9-ABAD-AE81535355B8}">
    <text>5kW allocation reduced due to live reading of 0.9kW</text>
  </threadedComment>
  <threadedComment ref="U274" dT="2024-08-14T15:45:06.80" personId="{23875134-620F-49C7-896C-147D628FB6EA}" id="{85F68B60-DC67-4A5B-B41E-589F7A8B44C2}">
    <text>ORMT_SAP_240517_1_11255170 is planned for Nokia 7750 SR2s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T275" dT="2024-11-06T12:35:56.71" personId="{4232887B-6F74-4501-885D-8735C5662726}" id="{3780B2BB-C707-4D4E-A33E-A3C4086A9BDC}" parentId="{45A56044-8764-4A5B-A889-4336CF55D115}">
    <text>5KW allocation reduced due to live reading of 3.5KW</text>
  </threadedComment>
  <threadedComment ref="T275" dT="2024-12-12T14:23:10.77" personId="{4232887B-6F74-4501-885D-8735C5662726}" id="{9B143950-BB2D-4B94-A337-94CA3B00E49E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V275" dT="2024-11-06T12:27:54.14" personId="{4232887B-6F74-4501-885D-8735C5662726}" id="{ECBB90C9-F5F7-400B-A488-4684EC174F38}" parentId="{1E91FAF3-967F-4279-957C-651070057E55}">
    <text>4.5kW allocation reduced due to live reading of 1.8kW</text>
  </threadedComment>
  <threadedComment ref="V275" dT="2024-12-12T14:04:36.00" personId="{4232887B-6F74-4501-885D-8735C5662726}" id="{000D851C-489D-4519-A35F-C0950F476101}" parentId="{1E91FAF3-967F-4279-957C-651070057E55}">
    <text>4.5kW allocation reduced due to live reading of 1.8kW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X275" dT="2024-11-06T12:29:44.82" personId="{4232887B-6F74-4501-885D-8735C5662726}" id="{F8E0F083-9C12-464B-A5C8-C82E8287BDA5}" parentId="{8E6E1DB0-CF4F-4025-B1A7-2F68FB81DBA2}">
    <text>4.5kW allocation reduced due to live reading of 2.3kW</text>
  </threadedComment>
  <threadedComment ref="X275" dT="2024-12-12T14:06:19.08" personId="{4232887B-6F74-4501-885D-8735C5662726}" id="{C57D29AF-80E3-46ED-A683-A73E1B057563}" parentId="{8E6E1DB0-CF4F-4025-B1A7-2F68FB81DBA2}">
    <text>4.5kW allocation reduced due to live reading of 2.3kW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Z275" dT="2024-11-06T12:31:14.40" personId="{4232887B-6F74-4501-885D-8735C5662726}" id="{B2059B69-113F-41D2-AF3A-CE1EE8AA2224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B275" dT="2024-11-06T12:25:10.15" personId="{4232887B-6F74-4501-885D-8735C5662726}" id="{A61B71C1-50D6-471B-8AA0-6F267E39EB83}" parentId="{C8E612AA-7ECE-4D5D-9430-5E74398767A5}">
    <text>5kW allocation reduced due to live reading of 0.5KW</text>
  </threadedComment>
  <threadedComment ref="AB275" dT="2024-12-12T13:58:42.88" personId="{4232887B-6F74-4501-885D-8735C5662726}" id="{0DC86F45-61CB-4FC2-BE19-4FB82F1215FC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D275" dT="2024-11-06T12:23:41.54" personId="{4232887B-6F74-4501-885D-8735C5662726}" id="{0DCAE363-5EEB-48B5-AE2D-5C629C290399}" parentId="{45B2C0F7-706F-4A5C-98B1-B5773304AC26}">
    <text>4kW allocation reduced due to live reading of  1.1kW</text>
  </threadedComment>
  <threadedComment ref="AD275" dT="2024-12-12T13:56:10.62" personId="{4232887B-6F74-4501-885D-8735C5662726}" id="{CF509455-101E-49E3-8F82-E8768C1C1968}" parentId="{45B2C0F7-706F-4A5C-98B1-B5773304AC26}">
    <text>4kW allocation reduced due to live reading of  1.5kW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AF275" dT="2024-11-06T12:33:23.37" personId="{4232887B-6F74-4501-885D-8735C5662726}" id="{B08C39C1-47D6-4884-A161-F22DE7AB8916}" parentId="{6F9C1169-4834-4722-A429-CD796F885441}">
    <text>8kW allocation reduced due to live reading of 7.2KW</text>
  </threadedComment>
  <threadedComment ref="AF275" dT="2024-12-12T14:13:25.60" personId="{4232887B-6F74-4501-885D-8735C5662726}" id="{9DADAA5F-9C9D-4578-8E0E-254226EDEDEB}" parentId="{6F9C1169-4834-4722-A429-CD796F885441}">
    <text xml:space="preserve">8kW allocation reduced due to live reading of 7.2KW
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AA285" dT="2024-08-09T10:37:13.31" personId="{23875134-620F-49C7-896C-147D628FB6EA}" id="{601EDBAE-256F-4737-9ABC-79E118FF8F44}">
    <text>ORMT_SAP_240517_1_11255170 planned for Nokia 7750 SR2s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Y287" dT="2024-08-09T10:37:13.31" personId="{23875134-620F-49C7-896C-147D628FB6EA}" id="{26C5CB06-02CA-4AB9-9BB3-9F06A10E3BC0}">
    <text>ORMT_SAP_240517_1_11255170 planned for Nokia 7750 SR2s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R302" dT="2024-08-19T11:26:57.97" personId="{23875134-620F-49C7-896C-147D628FB6EA}" id="{F7506046-1B78-4672-BAA3-3071B337962A}" parentId="{391B5691-C1AB-482B-8434-1DA86698B55E}">
    <text>5kW allocation reduced due to live reading of 3kW</text>
  </threadedComment>
  <threadedComment ref="R302" dT="2024-09-16T15:58:39.27" personId="{23875134-620F-49C7-896C-147D628FB6EA}" id="{0C837A3B-19E1-4D38-8E24-60354C0E70ED}" parentId="{391B5691-C1AB-482B-8434-1DA86698B55E}">
    <text>5kW allocation reduced due to live reading of 3kW</text>
  </threadedComment>
  <threadedComment ref="R302" dT="2024-11-05T16:49:57.63" personId="{23875134-620F-49C7-896C-147D628FB6EA}" id="{C3F8B273-54D7-4C1F-B74A-C0BAF61EB651}" parentId="{391B5691-C1AB-482B-8434-1DA86698B55E}">
    <text>5kW allocation reduced due to live reading of 3kW</text>
  </threadedComment>
  <threadedComment ref="R302" dT="2024-12-12T13:50:59.34" personId="{23875134-620F-49C7-896C-147D628FB6EA}" id="{0013DDC9-220D-470A-9982-27D423AAD113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T302" dT="2024-09-16T16:03:39.02" personId="{23875134-620F-49C7-896C-147D628FB6EA}" id="{F95BD8AB-F012-4433-84A1-0AAA318EF340}" parentId="{8C1FAB66-1684-4DFE-B38C-C9DE624714FF}">
    <text>8kW allocation reduced due to live reading of 7.0kW</text>
  </threadedComment>
  <threadedComment ref="T302" dT="2024-11-05T16:52:04.97" personId="{23875134-620F-49C7-896C-147D628FB6EA}" id="{ADA4B205-9285-4323-B9B7-D0D3262F1706}" parentId="{8C1FAB66-1684-4DFE-B38C-C9DE624714FF}">
    <text>8kW allocation reduced due to live reading of 7.0kW</text>
  </threadedComment>
  <threadedComment ref="T302" dT="2024-12-12T13:53:57.43" personId="{23875134-620F-49C7-896C-147D628FB6EA}" id="{B996AC67-8D39-4130-8EAB-7D44626CD459}" parentId="{8C1FAB66-1684-4DFE-B38C-C9DE624714FF}">
    <text>8kW allocation reduced due to live reading of 7.0kW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V302" dT="2024-08-19T11:27:56.06" personId="{23875134-620F-49C7-896C-147D628FB6EA}" id="{9242333F-4EFA-43A6-A3D7-3AC16D150B96}" parentId="{E6AEFC26-FDCE-4990-8406-005B3BA1E6D9}">
    <text>4kW allocation reduced due to live reading of 1.5kW</text>
  </threadedComment>
  <threadedComment ref="V302" dT="2024-09-16T16:08:21.05" personId="{23875134-620F-49C7-896C-147D628FB6EA}" id="{E0B41911-D1A2-4CA2-8D39-2F782EA0A204}" parentId="{E6AEFC26-FDCE-4990-8406-005B3BA1E6D9}">
    <text>4kW allocation reduced due to live reading of 1.5kW</text>
  </threadedComment>
  <threadedComment ref="V302" dT="2024-11-05T16:58:32.95" personId="{23875134-620F-49C7-896C-147D628FB6EA}" id="{7788C21D-5574-4A26-AF45-E33B9D6A85D9}" parentId="{E6AEFC26-FDCE-4990-8406-005B3BA1E6D9}">
    <text>4kW allocation reduced due to live reading of 1.4kW</text>
  </threadedComment>
  <threadedComment ref="V302" dT="2024-12-12T14:04:42.24" personId="{23875134-620F-49C7-896C-147D628FB6EA}" id="{23A8FB73-9594-4A79-A3A7-05979A9CBAAB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X302" dT="2024-08-19T11:32:54.07" personId="{23875134-620F-49C7-896C-147D628FB6EA}" id="{CCC0DED9-B254-40DC-86E3-1F243A313F1C}" parentId="{5DCE1C2E-D60D-4E55-AA67-78B922809643}">
    <text>4kW allocation reduced due to live reading of 1.1kW</text>
  </threadedComment>
  <threadedComment ref="X302" dT="2024-09-16T16:10:38.79" personId="{23875134-620F-49C7-896C-147D628FB6EA}" id="{6350455E-F110-41D3-B038-4012CA783C16}" parentId="{5DCE1C2E-D60D-4E55-AA67-78B922809643}">
    <text>4kW allocation reduced due to live reading of 1.1kW</text>
  </threadedComment>
  <threadedComment ref="X302" dT="2024-11-05T17:02:10.98" personId="{23875134-620F-49C7-896C-147D628FB6EA}" id="{6C4228A3-4083-4525-8BA9-7EA79A070794}" parentId="{5DCE1C2E-D60D-4E55-AA67-78B922809643}">
    <text>4kW allocation reduced due to live reading of 1.1kW</text>
  </threadedComment>
  <threadedComment ref="X302" dT="2024-12-12T14:06:55.29" personId="{23875134-620F-49C7-896C-147D628FB6EA}" id="{54DBFD91-C8D5-42FD-A7E1-01050B296494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Z302" dT="2024-08-19T11:30:33.93" personId="{23875134-620F-49C7-896C-147D628FB6EA}" id="{97FA6711-84C6-4518-A319-F4E410017E31}" parentId="{06995634-479A-4738-BD62-7E6BA9C529D1}">
    <text>1kW allocation reduced due to live reading of 0.4kW</text>
  </threadedComment>
  <threadedComment ref="Z302" dT="2024-09-16T16:06:25.94" personId="{23875134-620F-49C7-896C-147D628FB6EA}" id="{39AF22AD-D0C2-425F-A53F-E8B26EB17BD9}" parentId="{06995634-479A-4738-BD62-7E6BA9C529D1}">
    <text>1kW allocation reduced due to live reading of 0.4kW</text>
  </threadedComment>
  <threadedComment ref="Z302" dT="2024-11-05T16:56:01.35" personId="{23875134-620F-49C7-896C-147D628FB6EA}" id="{D3AF8417-BC6C-48C0-9444-765F17122174}" parentId="{06995634-479A-4738-BD62-7E6BA9C529D1}">
    <text>1kW allocation reduced due to live reading of 0.4kW</text>
  </threadedComment>
  <threadedComment ref="Z302" dT="2024-12-12T14:02:17.81" personId="{23875134-620F-49C7-896C-147D628FB6EA}" id="{138931ED-AA81-483C-B560-E238FF0956FF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B302" dT="2024-08-19T11:33:53.36" personId="{23875134-620F-49C7-896C-147D628FB6EA}" id="{C9F7947A-9348-4848-823E-D29FEA81C809}" parentId="{19E19FF4-D24B-47ED-9D4C-DA88A662B649}">
    <text>4kW allocation reduced due to live reading of 0.4kW</text>
  </threadedComment>
  <threadedComment ref="AB302" dT="2024-09-16T16:19:56.56" personId="{23875134-620F-49C7-896C-147D628FB6EA}" id="{4A05A91E-FC6A-422F-B5F9-CC71FBE81B75}" parentId="{19E19FF4-D24B-47ED-9D4C-DA88A662B649}">
    <text>4kW allocation reduced due to live reading of 0.4kW</text>
  </threadedComment>
  <threadedComment ref="AB302" dT="2024-11-05T17:05:03.48" personId="{23875134-620F-49C7-896C-147D628FB6EA}" id="{132B0204-D988-494A-99C7-3DF09B04CA3F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09" dT="2024-09-16T13:25:20.76" personId="{A4663B00-DB85-420B-AE65-1E515148FDF2}" id="{DAF28F67-C5A2-426E-BAF5-63129CE9438F}">
    <text>Additional ADVA XG120 is planned under ORMT_SAP_240912_21_11268373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T310" dT="2024-08-19T11:03:01.71" personId="{23875134-620F-49C7-896C-147D628FB6EA}" id="{BC54928F-555E-435E-A1A6-FAB6D35140C6}" parentId="{B958F529-EEFC-4519-846C-FB86E21096CD}">
    <text>4kW allocation reduced due to live reading of 1.7kW</text>
  </threadedComment>
  <threadedComment ref="T310" dT="2024-09-16T14:55:29.21" personId="{23875134-620F-49C7-896C-147D628FB6EA}" id="{7A641C52-640E-4CFA-892B-45065B7B8BF6}" parentId="{B958F529-EEFC-4519-846C-FB86E21096CD}">
    <text>4kW allocation reduced due to live reading of 1.8kW</text>
  </threadedComment>
  <threadedComment ref="T310" dT="2024-11-06T16:35:33.93" personId="{23875134-620F-49C7-896C-147D628FB6EA}" id="{8274BC9F-2B24-4009-8E4C-768B67296F3A}" parentId="{B958F529-EEFC-4519-846C-FB86E21096CD}">
    <text>4kW allocation reduced due to live reading of 1.8kW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V310" dT="2024-08-19T11:04:47.69" personId="{23875134-620F-49C7-896C-147D628FB6EA}" id="{1E6EC9D4-1936-41EB-A177-956EB2812465}" parentId="{80E2C4AC-AA66-4256-AA7C-27224104C635}">
    <text>4kW allocation reduced due to live reading of 1.1kW</text>
  </threadedComment>
  <threadedComment ref="V310" dT="2024-09-16T14:57:32.62" personId="{23875134-620F-49C7-896C-147D628FB6EA}" id="{E82F8D01-D14D-4390-934A-12E443E5BFE2}" parentId="{80E2C4AC-AA66-4256-AA7C-27224104C635}">
    <text>4kW allocation reduced due to live reading of 1.1kW</text>
  </threadedComment>
  <threadedComment ref="V310" dT="2024-11-06T16:37:38.12" personId="{23875134-620F-49C7-896C-147D628FB6EA}" id="{B4C8F067-6B7C-44A0-989A-A60023820EE0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X310" dT="2024-08-19T10:58:14.64" personId="{23875134-620F-49C7-896C-147D628FB6EA}" id="{598C1A2B-EE8F-4DD3-982F-1F4F177B7FDC}" parentId="{139254FD-EB82-4DF6-B619-640D5D94C820}">
    <text>5kW allocation reduced due to live reading of 2.9kW</text>
  </threadedComment>
  <threadedComment ref="X310" dT="2024-09-16T14:44:20.44" personId="{23875134-620F-49C7-896C-147D628FB6EA}" id="{EF1AB676-BA3C-4506-96DD-166EB8A4026D}" parentId="{139254FD-EB82-4DF6-B619-640D5D94C820}">
    <text>5kW allocation reduced due to live reading of 2.9kW</text>
  </threadedComment>
  <threadedComment ref="X310" dT="2024-11-06T16:30:13.03" personId="{23875134-620F-49C7-896C-147D628FB6EA}" id="{50E9D05D-F946-4E17-9385-D2C0622F1977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Z310" dT="2024-08-19T11:06:20.88" personId="{23875134-620F-49C7-896C-147D628FB6EA}" id="{9A3E99A4-5E45-467B-A44D-C8FB01848DAE}" parentId="{2A1783B0-7AE3-4E60-A9B1-756F8597CAC8}">
    <text>2kW allocation reduced due to live reading of 0.5kW</text>
  </threadedComment>
  <threadedComment ref="Z310" dT="2024-09-16T15:01:02.72" personId="{23875134-620F-49C7-896C-147D628FB6EA}" id="{41B0D493-1A9D-4CE7-97BA-BBA6EA751690}" parentId="{2A1783B0-7AE3-4E60-A9B1-756F8597CAC8}">
    <text>2kW allocation reduced due to live reading of 0.4KW</text>
  </threadedComment>
  <threadedComment ref="Z310" dT="2024-11-06T16:41:51.18" personId="{23875134-620F-49C7-896C-147D628FB6EA}" id="{54A13271-5EEF-4D38-99CE-3C1D0ADA715F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B310" dT="2024-08-19T11:13:56.33" personId="{23875134-620F-49C7-896C-147D628FB6EA}" id="{A3665293-7279-4034-AE78-F2AC5E388183}" parentId="{2A693BB5-33A7-4380-9AF1-FB0B636BDD4E}">
    <text>4kW allocation reduced due to live reading of 0.5kW</text>
  </threadedComment>
  <threadedComment ref="AB310" dT="2024-09-16T15:04:33.53" personId="{23875134-620F-49C7-896C-147D628FB6EA}" id="{EDF8E1C9-7448-4D37-B821-4430246CB9CB}" parentId="{2A693BB5-33A7-4380-9AF1-FB0B636BDD4E}">
    <text>4kW allocation reduced due to live reading of 0.3kW</text>
  </threadedComment>
  <threadedComment ref="AB310" dT="2024-11-06T16:47:41.70" personId="{23875134-620F-49C7-896C-147D628FB6EA}" id="{4029BFBA-39EB-44F7-B05B-0F602517BD95}" parent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D310" dT="2024-08-19T11:00:37.13" personId="{23875134-620F-49C7-896C-147D628FB6EA}" id="{3692B043-DEE6-4B2D-AA65-A3A8B1244B3B}" parentId="{50107363-27E4-4693-A1A1-11AFD3B6D63A}">
    <text>8kW allocation reduced due to live reading of 6.8kW</text>
  </threadedComment>
  <threadedComment ref="AD310" dT="2024-09-16T14:50:46.80" personId="{23875134-620F-49C7-896C-147D628FB6EA}" id="{27843E97-F9FE-4D2E-8C39-32A9A38934B9}" parentId="{50107363-27E4-4693-A1A1-11AFD3B6D63A}">
    <text>8kW allocation reduced due to live reading of 6.8kW</text>
  </threadedComment>
  <threadedComment ref="AD310" dT="2024-11-06T16:32:53.30" personId="{23875134-620F-49C7-896C-147D628FB6EA}" id="{0B59C329-4230-400D-9010-F586A60E9967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F310" dT="2024-08-19T11:08:21.49" personId="{23875134-620F-49C7-896C-147D628FB6EA}" id="{6B34B3F5-5B90-44BE-B5B1-0AEE94AFB513}" parentId="{2CC64C0D-107B-48B8-841B-6A8C135B675D}">
    <text>2kW allocation reduced due to live reading of 0.2kW</text>
  </threadedComment>
  <threadedComment ref="AF310" dT="2024-09-16T15:02:53.97" personId="{23875134-620F-49C7-896C-147D628FB6EA}" id="{D34E6E8E-7D71-4D3D-8AE6-091000CA4428}" parentId="{2CC64C0D-107B-48B8-841B-6A8C135B675D}">
    <text>2kW allocation reduced due to live reading of 0.2kW</text>
  </threadedComment>
  <threadedComment ref="AF310" dT="2024-11-06T16:43:51.34" personId="{23875134-620F-49C7-896C-147D628FB6EA}" id="{01A6EFDE-F2EA-4ADC-89C8-5ABB918D064D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H310" dT="2024-08-19T10:53:30.01" personId="{23875134-620F-49C7-896C-147D628FB6EA}" id="{5484F665-BDC6-42D3-AFE9-827E8FC63A36}" parentId="{6FA797A3-07B5-4C60-9DF4-664ADD43DD2F}">
    <text>5kW allocation reduced due to live reading of 0.9kW</text>
  </threadedComment>
  <threadedComment ref="AH310" dT="2024-09-16T14:39:01.78" personId="{23875134-620F-49C7-896C-147D628FB6EA}" id="{1B09F73E-23AC-4275-BC64-5604F57C9BA2}" parentId="{6FA797A3-07B5-4C60-9DF4-664ADD43DD2F}">
    <text>5kW allocation reduced due to live reading of 0.9kW</text>
  </threadedComment>
  <threadedComment ref="AH310" dT="2024-11-06T16:23:00.99" personId="{23875134-620F-49C7-896C-147D628FB6EA}" id="{C56810C9-41FD-4B5F-BBD0-07E3D0C85F14}" parent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AJ310" dT="2024-08-19T10:55:50.39" personId="{23875134-620F-49C7-896C-147D628FB6EA}" id="{069B4BAC-DE21-499C-98C8-EA2AE107D08B}" parentId="{F770FF4C-B0CC-4F52-B346-BE3F08D02340}">
    <text>5kW allocation reduced due to live reading of 0.6kW</text>
  </threadedComment>
  <threadedComment ref="AJ310" dT="2024-09-16T14:41:21.08" personId="{23875134-620F-49C7-896C-147D628FB6EA}" id="{2BBF39C8-03A0-47EA-B6AA-535A697B654A}" parentId="{F770FF4C-B0CC-4F52-B346-BE3F08D02340}">
    <text>5kW allocation reduced due to live reading of 0.6kW</text>
  </threadedComment>
  <threadedComment ref="AJ310" dT="2024-11-06T16:26:05.88" personId="{23875134-620F-49C7-896C-147D628FB6EA}" id="{8D5CFF86-2EEB-4D3E-9E79-9E05D71F4B7B}" parentId="{F770FF4C-B0CC-4F52-B346-BE3F08D02340}">
    <text>5kW allocation reduced due to live reading of 0.6kW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T339" dT="2024-08-16T15:36:12.91" personId="{A4663B00-DB85-420B-AE65-1E515148FDF2}" id="{C6F93FC6-8B97-440B-BE30-A65A9A046C3C}">
    <text>Additional ADVA FSP is planned under ORMT_SAP_240814_13_Y857420</text>
  </threadedComment>
  <threadedComment ref="U339" dT="2024-10-24T11:43:26.79" personId="{23875134-620F-49C7-896C-147D628FB6EA}" id="{10DBB80F-F013-4D0A-893B-128C231A49B9}">
    <text>ORMT_SAP_240517_1_11255170 is planned for Nokia 7750 SR2s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R359" dT="2024-11-05T11:46:35.97" personId="{4232887B-6F74-4501-885D-8735C5662726}" id="{34B9855A-D616-413A-B35B-C01F8C37BB4A}" parentId="{8FE0E1C2-0E20-4A6B-B1C6-E78208AA8FD6}">
    <text>5kW allocation reduced due to live reading of 3.3KW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T359" dT="2024-11-05T11:47:49.95" personId="{4232887B-6F74-4501-885D-8735C5662726}" id="{E9DC6020-7CAA-435F-A344-BD8F2C614539}" parentId="{CF342E8F-5165-476B-A633-5F97C1D14B9D}">
    <text>8kW allocation reduced due to live reading of 7KW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V359" dT="2024-11-05T11:53:33.23" personId="{4232887B-6F74-4501-885D-8735C5662726}" id="{006579CF-3DE4-4E5F-B656-C14B564CCD23}" parentId="{7BEA0FCE-52F0-4F2B-90D6-810BC22767B3}">
    <text>11kW allocation reduced due to live reading of 6.9KW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X359" dT="2024-11-05T11:59:13.21" personId="{4232887B-6F74-4501-885D-8735C5662726}" id="{0D72D775-697E-419E-9EBC-467FD11063B1}" parentId="{3432138C-8BBE-48FE-9D10-63361C9FE8EF}">
    <text>4kW allocation reduced due to live reading of 2KW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Z359" dT="2024-11-05T11:57:50.33" personId="{4232887B-6F74-4501-885D-8735C5662726}" id="{A857CC3F-54EC-480A-92FF-93382705EBA8}" parentId="{6FC40B69-2FC7-4DA1-8F99-0946639E9028}">
    <text>4kW allocation reduced due to live reading of 2.1KW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B359" dT="2024-11-05T12:00:36.30" personId="{4232887B-6F74-4501-885D-8735C5662726}" id="{ECFD3F4D-7B2A-4585-93B8-FC7D3CE4C2A8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D359" dT="2024-11-05T11:52:01.82" personId="{4232887B-6F74-4501-885D-8735C5662726}" id="{B0D396F3-9F34-499D-98F6-4AF3B690D573}" parentId="{55C5CFA6-DC94-414D-A6D5-80767812D784}">
    <text>7kW allocation reduced due to live reading of 5.2KW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H359" dT="2024-11-05T11:44:57.26" personId="{4232887B-6F74-4501-885D-8735C5662726}" id="{246899A1-524B-4790-853D-AEDA2D4ACCAC}" parentId="{49C5CD2B-0DED-4589-A0F9-396F2235ACD4}">
    <text>2.6kW allocation reduced due to live reading of 1.5kW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AL359" dT="2024-11-05T11:49:50.97" personId="{4232887B-6F74-4501-885D-8735C5662726}" id="{A60ED518-4433-4AF5-8FB9-E1884C7EECF6}" parentId="{6AB43DDE-E856-4C2F-936B-FCB5F09D8239}">
    <text>1kW allocation reduced due to live reading of 0.1KW</text>
  </threadedComment>
  <threadedComment ref="S363" dT="2024-09-03T16:14:51.49" personId="{23875134-620F-49C7-896C-147D628FB6EA}" id="{18B172DA-42E1-4491-8BC3-AFEE1E4109BC}">
    <text>ORMT_SAP_240822_8_26167987 allocated additional power 2*Ciena 6500 R4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5" dT="2024-09-18T08:25:56.19" personId="{4232887B-6F74-4501-885D-8735C5662726}" id="{E48C2DA9-EC61-4C7B-BE5E-201885DFA85F}" parentId="{846E2441-ABB5-4942-8446-5A9D4DB0A71D}">
    <text>7kW allocation reduced due to live reading of 1.2kW</text>
  </threadedComment>
  <threadedComment ref="R365" dT="2024-11-05T14:59:52.45" personId="{4232887B-6F74-4501-885D-8735C5662726}" id="{83EC3ECA-5C55-48C5-9C72-2F679B9D8BD5}" parentId="{846E2441-ABB5-4942-8446-5A9D4DB0A71D}">
    <text>7kW allocation reduced due to live reading of 1.1kW</text>
  </threadedComment>
  <threadedComment ref="R365" dT="2024-12-12T13:44:30.48" personId="{4232887B-6F74-4501-885D-8735C5662726}" id="{245F3B90-DD1A-470A-8305-3AD98E36A195}" parentId="{846E2441-ABB5-4942-8446-5A9D4DB0A71D}">
    <text>7kW allocation reduced due to live reading of 1.1kW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69" dT="2024-08-15T17:36:54.33" personId="{23875134-620F-49C7-896C-147D628FB6EA}" id="{6A849283-C30E-4F6B-992C-8C363BC1601A}" parentId="{641E5D14-1053-45F2-A2CE-B15A8327F450}">
    <text>12kW allocation reduced due to live reading of 0.3kW</text>
  </threadedComment>
  <threadedComment ref="R369" dT="2024-09-05T14:13:36.97" personId="{23875134-620F-49C7-896C-147D628FB6EA}" id="{BF3CA18C-7FE6-4A06-84CE-3653EACA1E82}" parentId="{641E5D14-1053-45F2-A2CE-B15A8327F450}">
    <text>12kW allocation reduced due to live reading of 0.3kW</text>
  </threadedComment>
  <threadedComment ref="R369" dT="2024-10-11T08:56:27.83" personId="{23875134-620F-49C7-896C-147D628FB6EA}" id="{A90C0147-F58C-4330-8ADD-53944E0F837A}" parentId="{641E5D14-1053-45F2-A2CE-B15A8327F450}">
    <text>12kW allocation reduced due to live reading of 0.3kW</text>
  </threadedComment>
  <threadedComment ref="R369" dT="2024-10-11T09:08:50.84" personId="{23875134-620F-49C7-896C-147D628FB6EA}" id="{79D56D23-3B6D-4E94-A9F8-4EE12FB0033F}" parentId="{641E5D14-1053-45F2-A2CE-B15A8327F450}">
    <text>12kW allocation reduced due to live reading of 0.3kW</text>
  </threadedComment>
  <threadedComment ref="R369" dT="2024-11-05T16:39:58.70" personId="{23875134-620F-49C7-896C-147D628FB6EA}" id="{8F9191CC-CB94-450D-86C0-D7BCE4E213CA}" parentId="{641E5D14-1053-45F2-A2CE-B15A8327F450}">
    <text>12kW allocation reduced due to live reading of 0.3kW</text>
  </threadedComment>
  <threadedComment ref="R369" dT="2024-12-12T10:32:19.99" personId="{23875134-620F-49C7-896C-147D628FB6EA}" id="{267A0DB8-0DC0-4F94-95C4-7481E0EFB374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2" dT="2024-08-15T17:31:25.51" personId="{23875134-620F-49C7-896C-147D628FB6EA}" id="{EBDC4DAC-9C7D-4981-B2C0-163A0DBEBDC0}" parentId="{5CF3A743-152B-4477-8CC9-FB853C6C69A5}">
    <text>12kW allocation reduced due to live reading of 0.3kW</text>
  </threadedComment>
  <threadedComment ref="R372" dT="2024-09-05T14:06:57.61" personId="{23875134-620F-49C7-896C-147D628FB6EA}" id="{B8E11D2B-B211-4B2C-8C91-DAFC59DE229D}" parentId="{5CF3A743-152B-4477-8CC9-FB853C6C69A5}">
    <text>12kW allocation reduced due to live reading of 0.3kW</text>
  </threadedComment>
  <threadedComment ref="R372" dT="2024-11-05T16:31:29.06" personId="{23875134-620F-49C7-896C-147D628FB6EA}" id="{33F88850-D835-46C7-8BDC-72DFB7805917}" parentId="{5CF3A743-152B-4477-8CC9-FB853C6C69A5}">
    <text>12kW allocation reduced due to live reading of 0.3kW</text>
  </threadedComment>
  <threadedComment ref="R372" dT="2024-12-12T10:25:22.99" personId="{23875134-620F-49C7-896C-147D628FB6EA}" id="{EF4CD5AC-2906-4B4C-AABA-CAE5FD757AF2}" parentId="{5CF3A743-152B-4477-8CC9-FB853C6C69A5}">
    <text>12kW allocation reduced due to live reading of 0.4kW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7" dT="2024-08-16T02:34:42.56" personId="{23875134-620F-49C7-896C-147D628FB6EA}" id="{92F659A5-7560-4363-AF7A-0F27510D9D20}" parentId="{F90C1C7F-361B-4803-AE43-FCAC9AB98B83}">
    <text>12kW allocation reduced due to live reading of 0.4kW</text>
  </threadedComment>
  <threadedComment ref="R377" dT="2024-09-05T14:21:18.72" personId="{23875134-620F-49C7-896C-147D628FB6EA}" id="{91C998CF-286B-4482-B3C9-92175259787E}" parentId="{F90C1C7F-361B-4803-AE43-FCAC9AB98B83}">
    <text>12kW allocation reduced due to live reading of 0.4kW</text>
  </threadedComment>
  <threadedComment ref="R377" dT="2024-10-14T14:47:39.17" personId="{23875134-620F-49C7-896C-147D628FB6EA}" id="{76A8E210-BC8F-4BDA-8692-3F3DABE13ABB}" parentId="{F90C1C7F-361B-4803-AE43-FCAC9AB98B83}">
    <text>12kW allocation reduced due to live reading of 0.4kW</text>
  </threadedComment>
  <threadedComment ref="R377" dT="2024-11-05T17:14:44.46" personId="{23875134-620F-49C7-896C-147D628FB6EA}" id="{173F23A6-EE6E-47B4-A543-CBD15BA2FD22}" parentId="{F90C1C7F-361B-4803-AE43-FCAC9AB98B83}">
    <text>12kW allocation reduced due to live reading of 0.2kW</text>
  </threadedComment>
  <threadedComment ref="R377" dT="2024-12-12T10:38:57.17" personId="{23875134-620F-49C7-896C-147D628FB6EA}" id="{39778D92-35F2-4F9B-BB79-C3B7EF494ED5}" parentId="{F90C1C7F-361B-4803-AE43-FCAC9AB98B83}">
    <text>12kW allocation reduced due to live reading of 0.4kW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78" dT="2024-08-16T15:13:29.28" personId="{23875134-620F-49C7-896C-147D628FB6EA}" id="{23F769CC-3EF9-4559-AEB9-C9E2D643831C}" parentId="{DEDE40B2-E6B3-4524-8D0D-3F2744AEE33C}">
    <text>12kW allocation reduced due to live reading of 0.3kW</text>
  </threadedComment>
  <threadedComment ref="R378" dT="2024-09-05T14:27:41.58" personId="{23875134-620F-49C7-896C-147D628FB6EA}" id="{528362E0-8951-46B9-B98F-E31B71E7BA88}" parentId="{DEDE40B2-E6B3-4524-8D0D-3F2744AEE33C}">
    <text>12kW allocation reduced due to live reading of 0.3kW</text>
  </threadedComment>
  <threadedComment ref="R378" dT="2024-10-14T14:46:22.42" personId="{23875134-620F-49C7-896C-147D628FB6EA}" id="{76950070-46E2-4006-B8BA-6D6CEE2D2A46}" parentId="{DEDE40B2-E6B3-4524-8D0D-3F2744AEE33C}">
    <text>12kW allocation reduced due to live reading of 0.3kW</text>
  </threadedComment>
  <threadedComment ref="R378" dT="2024-11-06T15:42:26.37" personId="{23875134-620F-49C7-896C-147D628FB6EA}" id="{4E6C7373-5342-4E25-9E42-047B30A9FC76}" parentId="{DEDE40B2-E6B3-4524-8D0D-3F2744AEE33C}">
    <text>12kW allocation reduced due to live reading of 0.2kW</text>
  </threadedComment>
  <threadedComment ref="R378" dT="2024-12-12T11:05:05.29" personId="{23875134-620F-49C7-896C-147D628FB6EA}" id="{47CC6146-4284-4191-9D92-A83D53CE3081}" parentId="{DEDE40B2-E6B3-4524-8D0D-3F2744AEE33C}">
    <text>12kW allocation reduced due to live reading of 0.4kW</text>
  </threadedComment>
  <threadedComment ref="Q380" dT="2024-07-24T09:55:07.15" personId="{4232887B-6F74-4501-885D-8735C5662726}" id="{5FD6D4D5-17AB-491C-B5F5-6D6208139FF8}">
    <text>additional 40 amps power upgrade for Ciena 6500 rack D04- ORMT_SAP_240719_8_w144739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R381" dT="2024-08-18T17:07:32.76" personId="{AFB55828-FFC6-4C96-B981-0FAA8F63A769}" id="{46596B5C-C0B5-4D2D-A5F1-D20C3A8F0360}" parentId="{B1F840D2-16DD-47E0-ACFC-8CF86A4CE4C3}">
    <text>5kW allocation reduced due to live reading of 2.5kW</text>
  </threadedComment>
  <threadedComment ref="R381" dT="2024-11-05T15:33:14.91" personId="{AFB55828-FFC6-4C96-B981-0FAA8F63A769}" id="{B3AD6BDE-2CED-40D8-987E-2251F63ABCA8}" parentId="{B1F840D2-16DD-47E0-ACFC-8CF86A4CE4C3}">
    <text>5kW allocation reduced due to live reading of 2.4kW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T381" dT="2024-08-18T17:06:53.63" personId="{AFB55828-FFC6-4C96-B981-0FAA8F63A769}" id="{DC3E8EC4-11C2-4E41-A6ED-F6F4CEBF5088}" parentId="{F2C1B8B0-4E71-4CF2-8A8D-B9252B526B52}">
    <text>12 kW allocation reduced due to live reading of 0.2 kW</text>
  </threadedComment>
  <threadedComment ref="T381" dT="2024-11-05T15:33:50.24" personId="{AFB55828-FFC6-4C96-B981-0FAA8F63A769}" id="{F2A1438A-C8F5-41B4-BB51-00CDFC66443E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R383" dT="2024-11-05T15:44:23.91" personId="{AFB55828-FFC6-4C96-B981-0FAA8F63A769}" id="{5EECBD24-17B6-440D-BD4D-58B0CE1671E8}" parentId="{48AED4FE-32F5-4BE4-9FD7-9485F8F80EB3}">
    <text>2.5kW allocation reduced due to live reading of 0.9KW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T383" dT="2024-08-19T14:18:33.20" personId="{AFB55828-FFC6-4C96-B981-0FAA8F63A769}" id="{2E2CA15B-91C3-48A3-A2A9-624DCA087967}" parentId="{9181FBC9-1198-4FDB-B871-0E4F900DE635}">
    <text>12kW allocation reduced due to live reading of 3.8kW</text>
  </threadedComment>
  <threadedComment ref="T383" dT="2024-11-05T15:40:22.77" personId="{AFB55828-FFC6-4C96-B981-0FAA8F63A769}" id="{761740AF-F367-4AFA-A3CE-77D5239A95CA}" parentId="{9181FBC9-1198-4FDB-B871-0E4F900DE635}">
    <text>12kW allocation reduced due to live reading of 3.9kW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V383" dT="2024-08-19T14:19:16.43" personId="{AFB55828-FFC6-4C96-B981-0FAA8F63A769}" id="{57D33E20-5579-4FB7-81B0-94BCD653F90F}" parentId="{F7E5F612-FA7F-4AC3-BA0D-39FF8D8081C7}">
    <text>4kW allocation reduced due to live reading of 0.1kW</text>
  </threadedComment>
  <threadedComment ref="V383" dT="2024-11-05T15:45:03.10" personId="{AFB55828-FFC6-4C96-B981-0FAA8F63A769}" id="{FC721167-16A2-4841-A6F5-324197D67BC1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R393" dT="2024-08-19T14:44:48.05" personId="{AFB55828-FFC6-4C96-B981-0FAA8F63A769}" id="{E7F7D9C1-7357-4160-8F0C-724CF7AB6E38}" parentId="{64F80D54-9F72-4A7A-97B7-6363ED8D571F}">
    <text>5kW allocation reduced due to live reading of 2.6kW</text>
  </threadedComment>
  <threadedComment ref="R393" dT="2024-11-05T16:24:40.57" personId="{AFB55828-FFC6-4C96-B981-0FAA8F63A769}" id="{1255F532-5DF9-4ACC-9709-ACD6C78D230C}" parentId="{64F80D54-9F72-4A7A-97B7-6363ED8D571F}">
    <text>5kW allocation reduced due to live reading of 2.7kW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T393" dT="2024-08-19T14:45:21.10" personId="{AFB55828-FFC6-4C96-B981-0FAA8F63A769}" id="{7D380AEA-472A-4DC4-9320-99AB80499D59}" parentId="{CBCC2858-788F-4B22-8AA3-4B67A4B99E20}">
    <text>8kW allocation reduced due to live reading of 7.4kW</text>
  </threadedComment>
  <threadedComment ref="T393" dT="2024-11-05T16:25:06.70" personId="{AFB55828-FFC6-4C96-B981-0FAA8F63A769}" id="{D6FDF39E-52FC-4943-9763-9F562557E37B}" parentId="{CBCC2858-788F-4B22-8AA3-4B67A4B99E20}">
    <text>8kW allocation reduced due to live reading of 7.5kW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V393" dT="2024-08-19T14:37:24.60" personId="{AFB55828-FFC6-4C96-B981-0FAA8F63A769}" id="{151B50D6-6179-4E80-BB95-C699E99E5AEE}" parentId="{75267E8C-AD2B-4398-BB27-976F96C85FA9}">
    <text>4kW allocation reduced due to live reading of 1.9kW</text>
  </threadedComment>
  <threadedComment ref="V393" dT="2024-11-05T16:27:39.77" personId="{AFB55828-FFC6-4C96-B981-0FAA8F63A769}" id="{52442644-EEDE-4389-AA71-C587F8F9B8AA}" parentId="{75267E8C-AD2B-4398-BB27-976F96C85FA9}">
    <text>4kW allocation reduced due to live reading of 2.1kW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X393" dT="2024-08-19T14:39:55.62" personId="{AFB55828-FFC6-4C96-B981-0FAA8F63A769}" id="{6191FB25-D86A-4A36-83D0-6D2C1EBA44AB}" parentId="{A8BE0A57-EDEF-4931-8617-9F6C7302290D}">
    <text>4kW allocation reduced due to live reading of 1.4kW</text>
  </threadedComment>
  <threadedComment ref="X393" dT="2024-11-05T16:28:49.12" personId="{AFB55828-FFC6-4C96-B981-0FAA8F63A769}" id="{701715D4-71CD-4425-B025-14CA29E5EAD2}" parentId="{A8BE0A57-EDEF-4931-8617-9F6C7302290D}">
    <text>4kW allocation reduced due to live reading of 1.4kW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Z393" dT="2024-08-19T14:41:15.83" personId="{AFB55828-FFC6-4C96-B981-0FAA8F63A769}" id="{ECBF3511-6AD1-4254-A1E8-C032DDA54300}" parentId="{75BFD2E7-EC0C-454F-978C-B444521F890A}">
    <text>4kW allocation reduced due to live reading of 2.7kW</text>
  </threadedComment>
  <threadedComment ref="Z393" dT="2024-11-05T16:29:33.48" personId="{AFB55828-FFC6-4C96-B981-0FAA8F63A769}" id="{6BCB0610-D74C-4288-B22F-0B7EBDCCB4D3}" parentId="{75BFD2E7-EC0C-454F-978C-B444521F890A}">
    <text>4kW allocation reduced due to live reading of 2.8kW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AB393" dT="2024-08-19T14:36:49.25" personId="{AFB55828-FFC6-4C96-B981-0FAA8F63A769}" id="{B348D8E0-9E5D-49A1-A71A-5FE01C66050F}" parentId="{3E5ECBE8-D672-4EBB-9632-69A3A504683D}">
    <text>4.2kW allocation reduced due to live reading of 1.1kW</text>
  </threadedComment>
  <threadedComment ref="AB393" dT="2024-11-05T16:31:10.97" personId="{AFB55828-FFC6-4C96-B981-0FAA8F63A769}" id="{F07FEF44-39D1-4872-A4AC-AE3F70A9D597}" parentId="{3E5ECBE8-D672-4EBB-9632-69A3A504683D}">
    <text>4.2kW allocation reduced due to live reading of 1.1kW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R405" dT="2024-08-19T14:48:35.47" personId="{AFB55828-FFC6-4C96-B981-0FAA8F63A769}" id="{F37BF2D7-8DD8-45FF-AFB0-30DE18F29572}" parentId="{B621009E-9B68-4EEA-82AB-71D9AEC957B9}">
    <text>12kW allocation reduced due to live reading of 0.2kW</text>
  </threadedComment>
  <threadedComment ref="R405" dT="2024-09-17T13:56:28.81" personId="{AFB55828-FFC6-4C96-B981-0FAA8F63A769}" id="{0A8A38BC-4CF1-49E5-843B-A9E3B88E3E50}" parentId="{B621009E-9B68-4EEA-82AB-71D9AEC957B9}">
    <text>12kW allocation reduced due to live reading of 0.6kW</text>
  </threadedComment>
  <threadedComment ref="R405" dT="2024-11-05T16:36:13.77" personId="{AFB55828-FFC6-4C96-B981-0FAA8F63A769}" id="{DF34D7D6-24A3-4F37-B254-F58585A3058E}" parentId="{B621009E-9B68-4EEA-82AB-71D9AEC957B9}">
    <text>12kW allocation reduced due to live reading of 0.2kW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T405" dT="2024-08-19T14:49:05.80" personId="{AFB55828-FFC6-4C96-B981-0FAA8F63A769}" id="{846154A1-64D0-4BA1-BC2C-110BAC7B274E}" parentId="{55A2194F-D998-4EC4-967B-F2927199D168}">
    <text>4kW allocation reduced due to live reading of 0.6kW</text>
  </threadedComment>
  <threadedComment ref="T405" dT="2024-09-17T13:59:30.76" personId="{AFB55828-FFC6-4C96-B981-0FAA8F63A769}" id="{A5C8809F-F876-4C00-BFEA-494A3386EB34}" parentId="{55A2194F-D998-4EC4-967B-F2927199D168}">
    <text>4kW allocation reduced due to live reading of 0.6kW</text>
  </threadedComment>
  <threadedComment ref="T405" dT="2024-11-05T16:36:39.94" personId="{AFB55828-FFC6-4C96-B981-0FAA8F63A769}" id="{C7C1A704-E2B8-4E87-B0AD-1CD2F58110C4}" parentId="{55A2194F-D998-4EC4-967B-F2927199D168}">
    <text>4kW allocation reduced due to live reading of 0.6kW</text>
  </threadedComment>
  <threadedComment ref="U409" dT="2024-08-12T10:31:06.02" personId="{23875134-620F-49C7-896C-147D628FB6EA}" id="{DC40EE43-AF0A-4E84-8895-9C3EF0AC0491}">
    <text>ORMT_SAP_240517_1_11255170 planned for Nokia 7750 SR2s</text>
  </threadedComment>
  <threadedComment ref="U411" dT="2024-08-12T10:31:06.02" personId="{23875134-620F-49C7-896C-147D628FB6EA}" id="{BCDB9D47-1518-4D17-A8B4-4CB2465614C1}">
    <text>ORMT_SAP_240517_1_11255170 planned for Nokia 7750 SR2s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R412" dT="2024-08-19T11:48:26.26" personId="{23875134-620F-49C7-896C-147D628FB6EA}" id="{C793A803-BEA5-40AA-BFE0-F81FD61502D1}" parentId="{4C14068F-9F2E-433A-883D-FCBAED4EE20C}">
    <text>5kW allocation reduced due to live reading of 0.7kW</text>
  </threadedComment>
  <threadedComment ref="R412" dT="2024-10-14T14:42:13.23" personId="{23875134-620F-49C7-896C-147D628FB6EA}" id="{81DE5784-BF2C-4B4F-ADE9-E948DE57A713}" parentId="{4C14068F-9F2E-433A-883D-FCBAED4EE20C}">
    <text>5kW allocation reduced due to live reading of 0.7kW</text>
  </threadedComment>
  <threadedComment ref="R412" dT="2024-11-06T16:04:38.09" personId="{23875134-620F-49C7-896C-147D628FB6EA}" id="{A7862700-E248-468D-8F7B-EA1635640935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T412" dT="2024-08-19T11:48:04.01" personId="{23875134-620F-49C7-896C-147D628FB6EA}" id="{02A6D1AF-F05C-42B8-ADCD-5D5F47CE309D}" parentId="{04BBF127-517B-427A-AC5B-4604780B01EF}">
    <text>5kW allocation reduced due to live reading of 0.3kW</text>
  </threadedComment>
  <threadedComment ref="T412" dT="2024-10-14T14:42:22.81" personId="{23875134-620F-49C7-896C-147D628FB6EA}" id="{4AA95886-E65F-4EAC-9F63-524141A843F5}" parentId="{04BBF127-517B-427A-AC5B-4604780B01EF}">
    <text>5kW allocation reduced due to live reading of 0.3kW</text>
  </threadedComment>
  <threadedComment ref="T412" dT="2024-11-06T16:06:02.91" personId="{23875134-620F-49C7-896C-147D628FB6EA}" id="{DA4F2586-2F58-4E77-AA86-1FE17FA97699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V412" dT="2024-08-19T11:47:35.18" personId="{23875134-620F-49C7-896C-147D628FB6EA}" id="{24762E00-8ECA-4853-9D55-E274C574219B}" parentId="{EB2CE551-A21E-46DC-BB79-99C2BCF6024E}">
    <text>5kW allocation reduced due to live reading of 2.4kW</text>
  </threadedComment>
  <threadedComment ref="V412" dT="2024-10-14T14:42:32.84" personId="{23875134-620F-49C7-896C-147D628FB6EA}" id="{9B530027-A8AE-4745-9F21-E293F1D175C2}" parentId="{EB2CE551-A21E-46DC-BB79-99C2BCF6024E}">
    <text>5kW allocation reduced due to live reading of 2.4kW</text>
  </threadedComment>
  <threadedComment ref="V412" dT="2024-11-06T16:01:41.37" personId="{23875134-620F-49C7-896C-147D628FB6EA}" id="{743AC02A-34CE-4339-A8C7-B4AE5A43A6CE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X412" dT="2024-08-19T11:47:06.49" personId="{23875134-620F-49C7-896C-147D628FB6EA}" id="{2DAC31BF-820B-4A03-8E87-9852875F63D4}" parentId="{F12838CD-F258-42F3-A73C-DC6DABCDA823}">
    <text>2kW allocation reduced due to live reading of 0.4kW</text>
  </threadedComment>
  <threadedComment ref="X412" dT="2024-10-14T14:42:46.96" personId="{23875134-620F-49C7-896C-147D628FB6EA}" id="{7B47AA24-E0A4-46B0-97A9-9356739EDFE4}" parentId="{F12838CD-F258-42F3-A73C-DC6DABCDA823}">
    <text>2kW allocation reduced due to live reading of 0.4kW</text>
  </threadedComment>
  <threadedComment ref="X412" dT="2024-11-06T15:59:56.32" personId="{23875134-620F-49C7-896C-147D628FB6EA}" id="{0F68948E-3FA1-4226-8583-427FAF0F7957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Z412" dT="2024-08-19T11:46:36.41" personId="{23875134-620F-49C7-896C-147D628FB6EA}" id="{1D9CE3DB-E89B-4F70-B73A-77A588C34A88}" parentId="{A47D4D76-6FA0-48D9-A901-5B0F65F15501}">
    <text>1kW allocation reduced due to live reading of 0.3kW</text>
  </threadedComment>
  <threadedComment ref="Z412" dT="2024-10-14T14:43:01.62" personId="{23875134-620F-49C7-896C-147D628FB6EA}" id="{AD3507BD-71EC-45B9-81F9-B351EFCDC5E5}" parentId="{A47D4D76-6FA0-48D9-A901-5B0F65F15501}">
    <text>1kW allocation reduced due to live reading of 0.3kW</text>
  </threadedComment>
  <threadedComment ref="Z412" dT="2024-11-06T15:58:16.11" personId="{23875134-620F-49C7-896C-147D628FB6EA}" id="{ECAE63E7-6B0B-4CC0-B129-673E93B03278}" parentId="{A47D4D76-6FA0-48D9-A901-5B0F65F15501}">
    <text>1kW allocation reduced due to live reading of 0.4kW</text>
  </threadedComment>
  <threadedComment ref="Q416" dT="2024-08-12T13:01:21.92" personId="{23875134-620F-49C7-896C-147D628FB6EA}" id="{614864F7-3B7D-41F8-98BE-1D34B03B0BB1}">
    <text>ORMT_SAP_240517_1_11255170 is planned for Nokia 7750 SR2s</text>
  </threadedComment>
  <threadedComment ref="W420" dT="2024-08-12T15:03:43.93" personId="{23875134-620F-49C7-896C-147D628FB6EA}" id="{D9DD88C5-0521-4104-BB95-7023C0B9FFC6}">
    <text>ORMT_SAP_240517_1_11255170 is planned for Nokia 7750 SR2s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S433" dT="2024-12-09T14:24:56.33" personId="{23875134-620F-49C7-896C-147D628FB6EA}" id="{03456237-D618-4311-A6C9-6B1A29C4089F}">
    <text>Nokia 7210 SAS SX New rack is planned and power allocated for 6.6KW</text>
  </threadedComment>
  <threadedComment ref="Q436" dT="2024-12-03T17:03:17.88" personId="{23875134-620F-49C7-896C-147D628FB6EA}" id="{D618CAEC-B3EC-4EF1-8FCB-F031D60176EC}">
    <text>Wave Server(CIENA 6500-R4) is planned under ORMT_SAP_241010_7_10334046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T439" dT="2024-08-20T10:24:39.67" personId="{4232887B-6F74-4501-885D-8735C5662726}" id="{FE16CF3A-AA63-4BAF-BC2C-5D42C1805025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V439" dT="2024-08-20T10:26:31.03" personId="{4232887B-6F74-4501-885D-8735C5662726}" id="{CE4D5CF3-B5B5-4CC6-AB5C-6038DEE91415}" parentId="{A3E908ED-6BF2-4551-A934-59D0C0C7E5FF}">
    <text>4kW allocation reduced due to live reading of 2.3kW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X439" dT="2024-08-20T10:29:39.66" personId="{4232887B-6F74-4501-885D-8735C5662726}" id="{E9A74093-33EC-47F7-838E-676C94457F16}" parentId="{8B82791E-B348-4151-BFAE-595FBF874A5A}">
    <text>4kW allocation reduced due to live reading of 2.2kW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Z439" dT="2024-08-20T10:28:23.72" personId="{4232887B-6F74-4501-885D-8735C5662726}" id="{FC3D728B-925E-48A6-9614-53D61D47CF3F}" parentId="{53E3D3B3-8DB4-464B-AE46-08B174B581C6}">
    <text>4kW allocation reduced due to live reading of 2.4kW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AB439" dT="2024-08-20T10:21:55.60" personId="{4232887B-6F74-4501-885D-8735C5662726}" id="{5CAEAE2D-5CC5-4BF9-BE03-77BE10445596}" parentId="{B663144B-49E3-462C-975B-3D2EAE685396}">
    <text>67kW allocation reduced due to live reading of 10.2kW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R440" dT="2024-08-20T10:40:47.96" personId="{4232887B-6F74-4501-885D-8735C5662726}" id="{3DC9FEE7-CFE0-4ED2-BCDB-2762DC0F2A3A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T440" dT="2024-08-20T10:42:35.73" personId="{4232887B-6F74-4501-885D-8735C5662726}" id="{660543F8-0C38-44D1-8B7E-12854B7BADE7}" parentId="{9A99AEB2-7A7C-4EFA-9E72-3FE462120598}">
    <text>8kW allocation reduced due to live reading of 6.7kW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V440" dT="2024-08-20T10:45:51.23" personId="{4232887B-6F74-4501-885D-8735C5662726}" id="{4CBA0812-FCE7-4FEB-8993-4F9FD04C4ADA}" parentId="{672111D5-75F8-4BDB-8AC6-733CF3CF3FB8}">
    <text>4kW allocation reduced due to live reading of 2kW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R441" dT="2024-08-20T10:53:32.60" personId="{4232887B-6F74-4501-885D-8735C5662726}" id="{2F24DA4B-F522-4553-943A-E98B7813BBC1}" parentId="{6B533988-9E63-4854-9859-C038DC76A635}">
    <text>38kW allocation reduced due to live reading of 0.2kW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T441" dT="2024-08-20T10:58:18.87" personId="{4232887B-6F74-4501-885D-8735C5662726}" id="{8EC73458-86F1-49CD-B2A8-D741C7C16BAD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X441" dT="2024-08-20T11:00:30.27" personId="{4232887B-6F74-4501-885D-8735C5662726}" id="{3C58ED48-76AA-4E9D-8123-302ABAC214C1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Z441" dT="2024-08-20T11:01:21.02" personId="{4232887B-6F74-4501-885D-8735C5662726}" id="{2AC775C5-1B12-45F8-B6A1-9E8C1D3DB0E1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AB441" dT="2024-08-20T10:56:37.23" personId="{4232887B-6F74-4501-885D-8735C5662726}" id="{C7857E2C-6E26-4C6F-9FC8-C8AF840DE77C}" parentId="{F7304332-4C37-4AA8-8BEC-DB297BDBAF30}">
    <text>14.2kW allocation reduced due to live reading of 2kW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S442" dT="2024-12-04T17:04:18.50" personId="{23875134-620F-49C7-896C-147D628FB6EA}" id="{0858E7F1-0C24-4457-BB56-380DECA4595A}">
    <text>WAVESERVER rack is planned under ORMT_SAP_241010_7_10334046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T447" dT="2024-08-19T14:28:54.34" personId="{AFB55828-FFC6-4C96-B981-0FAA8F63A769}" id="{FB17D4D3-D247-4F9B-9DC9-21C2402AFB9F}" parentId="{083EC705-16EF-4110-A4B4-DDA819A27B44}">
    <text>12kW allocation reduced due to live reading of 0.3kW</text>
  </threadedComment>
  <threadedComment ref="T447" dT="2024-11-05T16:02:12.93" personId="{AFB55828-FFC6-4C96-B981-0FAA8F63A769}" id="{116BE3DE-9908-4787-A768-C13CC6A2FD39}" parentId="{083EC705-16EF-4110-A4B4-DDA819A27B44}">
    <text>12kW allocation reduced due to live reading of 0.2kW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X447" dT="2024-08-19T14:30:45.66" personId="{AFB55828-FFC6-4C96-B981-0FAA8F63A769}" id="{5F99BC63-2A2D-4320-9648-7D555F35022C}" parentId="{847E2C7A-3CCC-4777-BB9A-8EE9FC68676F}">
    <text>2kW allocation reduced due to live reading of 0.3kW</text>
  </threadedComment>
  <threadedComment ref="X447" dT="2024-11-05T16:02:49.89" personId="{AFB55828-FFC6-4C96-B981-0FAA8F63A769}" id="{6679F3C6-17B6-4A5F-ACF0-EE918D4C26C5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Z447" dT="2024-08-19T14:33:04.86" personId="{AFB55828-FFC6-4C96-B981-0FAA8F63A769}" id="{73B5D7AB-E235-40A6-AD29-5596181AFA95}" parentId="{6F9E3C5F-43B0-4361-B446-E958AB9278F7}">
    <text>5kW allocation reduced due to live reading of  2.5kW</text>
  </threadedComment>
  <threadedComment ref="Z447" dT="2024-11-05T16:05:40.04" personId="{AFB55828-FFC6-4C96-B981-0FAA8F63A769}" id="{183AEA17-3F72-4A18-A8A9-2ECC9C46411E}" parentId="{6F9E3C5F-43B0-4361-B446-E958AB9278F7}">
    <text>5kW allocation reduced due to live reading of  2.5kW</text>
  </threadedComment>
  <threadedComment ref="Q452" dT="2024-08-12T13:01:21.92" personId="{23875134-620F-49C7-896C-147D628FB6EA}" id="{57A8207F-EC01-4520-9F28-584A3A244C28}">
    <text>ORMT_SAP_240517_1_11255170 is planned for Nokia 7750 SR2s</text>
  </threadedComment>
  <threadedComment ref="U453" dT="2024-10-24T11:34:09.12" personId="{23875134-620F-49C7-896C-147D628FB6EA}" id="{9FFF9CB3-903C-447E-B485-8D43F7778019}">
    <text>ORMT_SAP_240517_1_11255170 is planned for Nokia 7750 SR2s</text>
  </threadedComment>
  <threadedComment ref="W453" dT="2024-12-05T14:02:53.72" personId="{23875134-620F-49C7-896C-147D628FB6EA}" id="{448AB1B2-A26E-44A8-BC52-D8E7C59D0D28}">
    <text>WAVESERVER rack is planned under ORMT_SAP_241010_7_10334046. Power allocated for 0.5KW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R467" dT="2024-11-27T14:47:31.08" personId="{4232887B-6F74-4501-885D-8735C5662726}" id="{7F4FBB05-35DD-4830-BFD9-274285BB9914}" parentId="{17262EAC-6DF0-454B-83BA-16B5B3F91F32}">
    <text>2kW allocation reduced due to live reading of 0.7kW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T467" dT="2024-11-27T14:47:03.95" personId="{4232887B-6F74-4501-885D-8735C5662726}" id="{37DF2608-50BD-480F-BBB5-772DF3A89185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Z467" dT="2024-11-27T14:45:38.79" personId="{4232887B-6F74-4501-885D-8735C5662726}" id="{849FC5D5-5FFC-4F9B-BEF0-C1E06E122201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AB467" dT="2024-11-27T14:46:28.86" personId="{4232887B-6F74-4501-885D-8735C5662726}" id="{4ABA9073-7FA8-4B57-B5ED-0892E2269218}" parentId="{315A61B0-32ED-4EAF-A41D-329900503207}">
    <text>6kW allocation reduced due to live reading of 4.2kW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R468" dT="2024-11-05T12:16:24.44" personId="{4232887B-6F74-4501-885D-8735C5662726}" id="{D7BDD73A-1046-482E-A01C-3E106B75425F}" parentId="{11454096-3B71-4920-BAC8-938D3E4545AF}">
    <text>2kW allocation reduced due to live reading of 0.3kW</text>
  </threadedComment>
  <threadedComment ref="U468" dT="2023-12-06T13:03:55.78" personId="{4232887B-6F74-4501-885D-8735C5662726}" id="{27260D3C-B60E-4876-A0F6-B46CFB1B8552}">
    <text>Waveserver_5(2.0KW)into B22-ORMT_SAP_231123_10_w014433 </text>
  </threadedComment>
  <threadedComment ref="V468" dT="2024-11-05T12:15:22.66" personId="{4232887B-6F74-4501-885D-8735C5662726}" id="{B9FCE26F-C31C-4A15-AEC8-1A003BFF91EB}">
    <text>2kW allocation reduced due to live reading of 0.4kW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X468" dT="2024-11-05T12:14:16.19" personId="{4232887B-6F74-4501-885D-8735C5662726}" id="{BDB44DBA-01AC-4B7B-8094-B63F76789BC4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Z468" dT="2024-11-05T12:10:03.91" personId="{4232887B-6F74-4501-885D-8735C5662726}" id="{A85E5657-6D30-42EC-887D-5861997E17F8}" parentId="{4607B1CB-7CA8-47ED-A15F-BBC8A8250C9D}">
    <text>6.5kW allocation reduced due to live reading of 0.7kW</text>
  </threadedComment>
  <threadedComment ref="AA468" dT="2024-05-03T11:12:08.65" personId="{7807B229-714C-4AA1-8F83-E7F46ACB7D83}" id="{A7B97C4C-9E5D-4E92-8250-89C6B258BBE0}">
    <text>10 Servers and 1 Switch planned - ORMT_SAP_240306_5_10335416</text>
  </threadedComment>
  <threadedComment ref="AB468" dT="2024-11-05T12:12:10.84" personId="{4232887B-6F74-4501-885D-8735C5662726}" id="{A1681BE7-A1A9-4933-8770-8F8252A52C99}">
    <text>5.6kW allocation reduced due to live reading of 3.5kW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4kW allocation reduced due to live reading of 0.6kW</text>
  </threadedComment>
  <threadedComment ref="V469" dT="2024-09-10T13:16:15.79" personId="{23875134-620F-49C7-896C-147D628FB6EA}" id="{EFF2A8B6-B477-454B-908F-ADE80BC2A1C9}" parentId="{099A3399-AE93-4B09-9DCA-C8CCC18435D6}">
    <text>4kW allocation reduced due to live reading of 0.6kW</text>
  </threadedComment>
  <threadedComment ref="V469" dT="2024-11-05T13:45:00.43" personId="{23875134-620F-49C7-896C-147D628FB6EA}" id="{ED506A4A-5BFF-4EE9-A01F-9F00197D1462}" parentId="{099A3399-AE93-4B09-9DCA-C8CCC18435D6}">
    <text>4kW allocation reduced due to live reading of 0.6kW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X469" dT="2024-09-10T13:15:12.03" personId="{23875134-620F-49C7-896C-147D628FB6EA}" id="{C6211FDA-61A4-44EA-A0B4-5D807C5BE66B}" parentId="{E4B85817-62AD-46DE-8D8B-B97C8E813D07}">
    <text>4.2kW allocation reduced due to live reading of 0.6kW</text>
  </threadedComment>
  <threadedComment ref="X469" dT="2024-11-05T13:49:35.53" personId="{23875134-620F-49C7-896C-147D628FB6EA}" id="{342CC4A8-A0AE-43AD-8072-4D364C60310B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R470" dT="2024-08-19T13:29:40.51" personId="{AFB55828-FFC6-4C96-B981-0FAA8F63A769}" id="{81063509-2233-412F-AA4E-2124F6207E2A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  <threadedComment ref="T470" dT="2024-08-19T13:31:53.92" personId="{AFB55828-FFC6-4C96-B981-0FAA8F63A769}" id="{FA450F55-8537-41F1-93E1-8F6D54171FAF}" parentId="{D95DA67D-02B0-4470-846B-C37A262C91F6}">
    <text>5kW allocation reduced due to live reading of 0.9kW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0"/>
  <sheetViews>
    <sheetView zoomScale="70" zoomScaleNormal="70" workbookViewId="0">
      <pane xSplit="1" ySplit="7" topLeftCell="B48" activePane="bottomRight" state="frozen"/>
      <selection pane="bottomRight" activeCell="A48" sqref="A48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45615</v>
      </c>
    </row>
    <row r="2" spans="1:19">
      <c r="A2" s="27" t="s">
        <v>3</v>
      </c>
      <c r="C2" s="70">
        <f ca="1">All!B2</f>
        <v>115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45600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3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31.333333333333332</v>
      </c>
      <c r="F9" s="17">
        <f>VLOOKUP(A9,All!A:AM,28,0)</f>
        <v>5.1230000000000002</v>
      </c>
      <c r="G9" s="17">
        <f>VLOOKUP(A9,All!A:AM,31,0)</f>
        <v>-198.55072463768116</v>
      </c>
      <c r="H9" s="17">
        <f>VLOOKUP(A9,All!A:AM,29,0)</f>
        <v>-7.4664999999999999</v>
      </c>
      <c r="I9" s="6">
        <f>VLOOKUP(A9,All!A:AM,33,0)</f>
        <v>57.008393836350827</v>
      </c>
      <c r="J9" s="6">
        <f>VLOOKUP(A9,All!A:AM,32,0)</f>
        <v>14.8874</v>
      </c>
      <c r="K9" s="20">
        <f>VLOOKUP(A9,All!A:AM,39,0)</f>
        <v>50.102222222222217</v>
      </c>
      <c r="L9" s="20">
        <f>VLOOKUP(A9,All!A:AM,38,0)</f>
        <v>11.273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3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45600</v>
      </c>
      <c r="D10" s="5"/>
      <c r="E10" s="17">
        <f>VLOOKUP(A10,All!A:AM,30,0)</f>
        <v>46.428571428571423</v>
      </c>
      <c r="F10" s="17">
        <f>VLOOKUP(A10,All!A:AM,28,0)</f>
        <v>17.570799999999998</v>
      </c>
      <c r="G10" s="17">
        <f>VLOOKUP(A10,All!A:AM,31,0)</f>
        <v>26.771653543307085</v>
      </c>
      <c r="H10" s="17">
        <f>VLOOKUP(A10,All!A:AM,29,0)</f>
        <v>7.4119999999999999</v>
      </c>
      <c r="I10" s="6">
        <f>VLOOKUP(A10,All!A:AM,33,0)</f>
        <v>36.018329167613423</v>
      </c>
      <c r="J10" s="6">
        <f>VLOOKUP(A10,All!A:AM,32,0)</f>
        <v>11.4132</v>
      </c>
      <c r="K10" s="20">
        <f>VLOOKUP(A10,All!A:AM,39,0)</f>
        <v>39.928888888888885</v>
      </c>
      <c r="L10" s="20">
        <f>VLOOKUP(A10,All!A:AM,38,0)</f>
        <v>13.475999999999999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4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45600</v>
      </c>
      <c r="D11" s="5"/>
      <c r="E11" s="17">
        <f>VLOOKUP(A11,All!A:AM,30,0)</f>
        <v>56.576893052302886</v>
      </c>
      <c r="F11" s="17">
        <f>VLOOKUP(A11,All!A:AM,28,0)</f>
        <v>12.63964</v>
      </c>
      <c r="G11" s="17">
        <f>VLOOKUP(A11,All!A:AM,31,0)</f>
        <v>29.477020602218698</v>
      </c>
      <c r="H11" s="17">
        <f>VLOOKUP(A11,All!A:AM,29,0)</f>
        <v>4.0548000000000002</v>
      </c>
      <c r="I11" s="6">
        <f>VLOOKUP(A11,All!A:AM,33,0)</f>
        <v>57.550059511307154</v>
      </c>
      <c r="J11" s="6">
        <f>VLOOKUP(A11,All!A:AM,32,0)</f>
        <v>13.1518</v>
      </c>
      <c r="K11" s="20">
        <f>VLOOKUP(A11,All!A:AM,39,0)</f>
        <v>78.442222222222213</v>
      </c>
      <c r="L11" s="20">
        <f>VLOOKUP(A11,All!A:AM,38,0)</f>
        <v>35.298999999999999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3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45600</v>
      </c>
      <c r="D12" s="5"/>
      <c r="E12" s="17">
        <f>VLOOKUP(A12,All!A:AM,30,0)</f>
        <v>65.789108085579329</v>
      </c>
      <c r="F12" s="17">
        <f>VLOOKUP(A12,All!A:AM,28,0)</f>
        <v>61.940339999999999</v>
      </c>
      <c r="G12" s="17">
        <f>VLOOKUP(A12,All!A:AM,31,0)</f>
        <v>49.025357943764014</v>
      </c>
      <c r="H12" s="17">
        <f>VLOOKUP(A12,All!A:AM,29,0)</f>
        <v>30.977799999999998</v>
      </c>
      <c r="I12" s="6">
        <f>VLOOKUP(A12,All!A:AM,33,0)</f>
        <v>63.762319427568599</v>
      </c>
      <c r="J12" s="6">
        <f>VLOOKUP(A12,All!A:AM,32,0)</f>
        <v>56.674500000000201</v>
      </c>
      <c r="K12" s="334">
        <f>VLOOKUP(A12,All!A:AM,39,0)</f>
        <v>85.544489067380638</v>
      </c>
      <c r="L12" s="334">
        <f>VLOOKUP(A12,All!A:AM,38,0)</f>
        <v>479.26300000000003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7.25</v>
      </c>
      <c r="S12" s="323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45600</v>
      </c>
      <c r="D13" s="5"/>
      <c r="E13" s="17">
        <f>VLOOKUP(A13,All!A:AM,30,0)</f>
        <v>48.191627303880708</v>
      </c>
      <c r="F13" s="17">
        <f>VLOOKUP(A13,All!A:AM,28,0)</f>
        <v>45.372340000000001</v>
      </c>
      <c r="G13" s="17">
        <f>VLOOKUP(A13,All!A:AM,31,0)</f>
        <v>22.804899085734</v>
      </c>
      <c r="H13" s="17">
        <f>VLOOKUP(A13,All!A:AM,29,0)</f>
        <v>14.409800000000001</v>
      </c>
      <c r="I13" s="6">
        <f>VLOOKUP(A13,All!A:AM,33,0)</f>
        <v>45.122294226182568</v>
      </c>
      <c r="J13" s="6">
        <f>VLOOKUP(A13,All!A:AM,32,0)</f>
        <v>40.106500000000203</v>
      </c>
      <c r="K13" s="335"/>
      <c r="L13" s="335"/>
      <c r="M13" s="96"/>
      <c r="N13" s="96"/>
      <c r="O13" s="96"/>
      <c r="P13" s="96"/>
      <c r="Q13" s="96"/>
      <c r="R13" s="12">
        <f>VLOOKUP(A13,'SYS Allocations'!A:G,7,0)</f>
        <v>7.25</v>
      </c>
      <c r="S13" s="323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75.568181818181813</v>
      </c>
      <c r="F14" s="17">
        <f>VLOOKUP(A14,All!A:AM,28,0)</f>
        <v>2.17455</v>
      </c>
      <c r="G14" s="17">
        <f>VLOOKUP(A14,All!A:AM,31,0)</f>
        <v>79.523809523809518</v>
      </c>
      <c r="H14" s="17">
        <f>VLOOKUP(A14,All!A:AM,29,0)</f>
        <v>2.7304499999999998</v>
      </c>
      <c r="I14" s="6">
        <f>VLOOKUP(A14,All!A:AM,33,0)</f>
        <v>72.876157407407405</v>
      </c>
      <c r="J14" s="6">
        <f>VLOOKUP(A14,All!A:AM,32,0)</f>
        <v>1.8889499999999999</v>
      </c>
      <c r="K14" s="20">
        <f>VLOOKUP(A14,All!A:AM,39,0)</f>
        <v>86.008955223880591</v>
      </c>
      <c r="L14" s="20">
        <f>VLOOKUP(A14,All!A:AM,38,0)</f>
        <v>4.3219500000000002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3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53.117237953303523</v>
      </c>
      <c r="F15" s="17">
        <f>VLOOKUP(A15,All!A:AM,28,0)</f>
        <v>9.3238599999999998</v>
      </c>
      <c r="G15" s="17">
        <f>VLOOKUP(A15,All!A:AM,31,0)</f>
        <v>47.294937262319145</v>
      </c>
      <c r="H15" s="17">
        <f>VLOOKUP(A15,All!A:AM,29,0)</f>
        <v>7.3847495094999998</v>
      </c>
      <c r="I15" s="6">
        <f>VLOOKUP(A15,All!A:AM,33,0)</f>
        <v>34.872586261474993</v>
      </c>
      <c r="J15" s="6">
        <f>VLOOKUP(A15,All!A:AM,32,0)</f>
        <v>4.4064999999999799</v>
      </c>
      <c r="K15" s="20">
        <f>VLOOKUP(A15,All!A:AM,39,0)</f>
        <v>15.594871794871796</v>
      </c>
      <c r="L15" s="20">
        <f>VLOOKUP(A15,All!A:AM,38,0)</f>
        <v>1.5205000000000002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3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3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3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54.865489701555276</v>
      </c>
      <c r="F18" s="17">
        <f>VLOOKUP(A18,All!A:AM,28,0)</f>
        <v>56.908900000000003</v>
      </c>
      <c r="G18" s="17">
        <f>VLOOKUP(A18,All!A:AM,31,0)</f>
        <v>27.14164546225615</v>
      </c>
      <c r="H18" s="17">
        <f>VLOOKUP(A18,All!A:AM,29,0)</f>
        <v>17.440000000000001</v>
      </c>
      <c r="I18" s="6">
        <f>VLOOKUP(A18,All!A:AM,33,0)</f>
        <v>56.108054693008214</v>
      </c>
      <c r="J18" s="6">
        <f>VLOOKUP(A18,All!A:AM,32,0)</f>
        <v>59.845300000000101</v>
      </c>
      <c r="K18" s="20">
        <f>VLOOKUP(A18,All!A:AM,39,0)</f>
        <v>59.728602150537633</v>
      </c>
      <c r="L18" s="20">
        <f>VLOOKUP(A18,All!A:AM,38,0)</f>
        <v>69.4345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3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45600</v>
      </c>
      <c r="D19" s="5"/>
      <c r="E19" s="17">
        <f>VLOOKUP(A19,All!A:AM,30,0)</f>
        <v>71.254553734061929</v>
      </c>
      <c r="F19" s="17">
        <f>VLOOKUP(A19,All!A:AM,28,0)</f>
        <v>13.64462</v>
      </c>
      <c r="G19" s="17">
        <f>VLOOKUP(A19,All!A:AM,31,0)</f>
        <v>61.258151131568852</v>
      </c>
      <c r="H19" s="17">
        <f>VLOOKUP(A19,All!A:AM,29,0)</f>
        <v>8.7036499999999997</v>
      </c>
      <c r="I19" s="6">
        <f>VLOOKUP(A19,All!A:AM,33,0)</f>
        <v>63.698295874221742</v>
      </c>
      <c r="J19" s="6">
        <f>VLOOKUP(A19,All!A:AM,32,0)</f>
        <v>9.6586999999999907</v>
      </c>
      <c r="K19" s="20">
        <f>VLOOKUP(A19,All!A:AM,39,0)</f>
        <v>79.612962962962953</v>
      </c>
      <c r="L19" s="20">
        <f>VLOOKUP(A19,All!A:AM,38,0)</f>
        <v>21.4955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3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3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30.555555555555554</v>
      </c>
      <c r="F21" s="17">
        <f>VLOOKUP(A21,All!A:AM,28,0)</f>
        <v>11.99</v>
      </c>
      <c r="G21" s="17">
        <f>VLOOKUP(A21,All!A:AM,31,0)</f>
        <v>23.1596741970186</v>
      </c>
      <c r="H21" s="17">
        <f>VLOOKUP(A21,All!A:AM,29,0)</f>
        <v>8.2131500000000006</v>
      </c>
      <c r="I21" s="6">
        <f>VLOOKUP(A21,All!A:AM,33,0)</f>
        <v>1.9755964200407603</v>
      </c>
      <c r="J21" s="6">
        <f>VLOOKUP(A21,All!A:AM,32,0)</f>
        <v>0.54919999999997104</v>
      </c>
      <c r="K21" s="20">
        <f>VLOOKUP(A21,All!A:AM,39,0)</f>
        <v>68.245644700809876</v>
      </c>
      <c r="L21" s="20">
        <f>VLOOKUP(A21,All!A:AM,38,0)</f>
        <v>58.564999999999998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7.5</v>
      </c>
      <c r="S21" s="323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45600</v>
      </c>
      <c r="D22" s="5"/>
      <c r="E22" s="17">
        <f>VLOOKUP(A22,All!A:AM,30,0)</f>
        <v>57.940339845796842</v>
      </c>
      <c r="F22" s="17">
        <f>VLOOKUP(A22,All!A:AM,28,0)</f>
        <v>67.494979999999998</v>
      </c>
      <c r="G22" s="17">
        <f>VLOOKUP(A22,All!A:AM,31,0)</f>
        <v>38.918331295012912</v>
      </c>
      <c r="H22" s="17">
        <f>VLOOKUP(A22,All!A:AM,29,0)</f>
        <v>31.217600000000001</v>
      </c>
      <c r="I22" s="6">
        <f>VLOOKUP(A22,All!A:AM,33,0)</f>
        <v>54.064192280575526</v>
      </c>
      <c r="J22" s="6">
        <f>VLOOKUP(A22,All!A:AM,32,0)</f>
        <v>57.665300000000101</v>
      </c>
      <c r="K22" s="334">
        <f>VLOOKUP(A22,All!A:AM,39,0)</f>
        <v>34.599999999999994</v>
      </c>
      <c r="L22" s="334">
        <f>VLOOKUP(A22,All!A:AM,38,0)</f>
        <v>55.79249999999999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12.75</v>
      </c>
      <c r="S22" s="323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45600</v>
      </c>
      <c r="D23" s="5"/>
      <c r="E23" s="17">
        <f>VLOOKUP(A23,All!A:AM,30,0)</f>
        <v>51.530803203832626</v>
      </c>
      <c r="F23" s="17">
        <f>VLOOKUP(A23,All!A:AM,28,0)</f>
        <v>60.028480000000002</v>
      </c>
      <c r="G23" s="17">
        <f>VLOOKUP(A23,All!A:AM,31,0)</f>
        <v>29.610001358880286</v>
      </c>
      <c r="H23" s="17">
        <f>VLOOKUP(A23,All!A:AM,29,0)</f>
        <v>23.751100000000001</v>
      </c>
      <c r="I23" s="6">
        <f>VLOOKUP(A23,All!A:AM,33,0)</f>
        <v>47.063963517993578</v>
      </c>
      <c r="J23" s="6">
        <f>VLOOKUP(A23,All!A:AM,32,0)</f>
        <v>50.198800000000098</v>
      </c>
      <c r="K23" s="335"/>
      <c r="L23" s="335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10.95</v>
      </c>
      <c r="S23" s="323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3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63.661202185792355</v>
      </c>
      <c r="F25" s="17">
        <f>VLOOKUP(A25,All!A:AM,28,0)</f>
        <v>25.396999999999998</v>
      </c>
      <c r="G25" s="17">
        <f>VLOOKUP(A25,All!A:AM,31,0)</f>
        <v>55.294117647058812</v>
      </c>
      <c r="H25" s="17">
        <f>VLOOKUP(A25,All!A:AM,29,0)</f>
        <v>17.930499999999999</v>
      </c>
      <c r="I25" s="6">
        <f>VLOOKUP(A25,All!A:AM,33,0)</f>
        <v>48.451812027080848</v>
      </c>
      <c r="J25" s="6">
        <f>VLOOKUP(A25,All!A:AM,32,0)</f>
        <v>13.626200000000001</v>
      </c>
      <c r="K25" s="20">
        <f>VLOOKUP(A25,All!A:AM,39,0)</f>
        <v>73.153703703703698</v>
      </c>
      <c r="L25" s="20">
        <f>VLOOKUP(A25,All!A:AM,38,0)</f>
        <v>39.503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22.599999999999998</v>
      </c>
      <c r="S25" s="323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33.543943533697636</v>
      </c>
      <c r="F26" s="17">
        <f>VLOOKUP(A26,All!A:AM,28,0)</f>
        <v>12.84674</v>
      </c>
      <c r="G26" s="17">
        <f>VLOOKUP(A26,All!A:AM,31,0)</f>
        <v>-17.218875502008032</v>
      </c>
      <c r="H26" s="17">
        <f>VLOOKUP(A26,All!A:AM,29,0)</f>
        <v>-3.7387000000000001</v>
      </c>
      <c r="I26" s="6">
        <f>VLOOKUP(A26,All!A:AM,33,0)</f>
        <v>39.666657184578334</v>
      </c>
      <c r="J26" s="6">
        <f>VLOOKUP(A26,All!A:AM,32,0)</f>
        <v>16.7333</v>
      </c>
      <c r="K26" s="20">
        <f>VLOOKUP(A26,All!A:AM,39,0)</f>
        <v>63.510394265232982</v>
      </c>
      <c r="L26" s="20">
        <f>VLOOKUP(A26,All!A:AM,38,0)</f>
        <v>44.298500000000004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18.399999999999999</v>
      </c>
      <c r="S26" s="323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3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45600</v>
      </c>
      <c r="D28" s="5"/>
      <c r="E28" s="17">
        <f>VLOOKUP(A28,All!A:AM,30,0)</f>
        <v>66.023648012059553</v>
      </c>
      <c r="F28" s="17">
        <f>VLOOKUP(A28,All!A:AM,28,0)</f>
        <v>61.107579999999999</v>
      </c>
      <c r="G28" s="17">
        <f>VLOOKUP(A28,All!A:AM,31,0)</f>
        <v>62.841318907779495</v>
      </c>
      <c r="H28" s="17">
        <f>VLOOKUP(A28,All!A:AM,29,0)</f>
        <v>53.181100000000001</v>
      </c>
      <c r="I28" s="6">
        <f>VLOOKUP(A28,All!A:AM,33,0)</f>
        <v>34.580008920576908</v>
      </c>
      <c r="J28" s="6">
        <f>VLOOKUP(A28,All!A:AM,32,0)</f>
        <v>16.622140000000002</v>
      </c>
      <c r="K28" s="20">
        <f>VLOOKUP(A28,All!A:AM,39,0)</f>
        <v>61.883030303030303</v>
      </c>
      <c r="L28" s="20">
        <f>VLOOKUP(A28,All!A:AM,38,0)</f>
        <v>51.0535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3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45600</v>
      </c>
      <c r="D29" s="5"/>
      <c r="E29" s="17">
        <f>VLOOKUP(A29,All!A:AM,30,0)</f>
        <v>61.901733559449788</v>
      </c>
      <c r="F29" s="17">
        <f>VLOOKUP(A29,All!A:AM,28,0)</f>
        <v>57.292580000000001</v>
      </c>
      <c r="G29" s="17">
        <f>VLOOKUP(A29,All!A:AM,31,0)</f>
        <v>57.512477016023119</v>
      </c>
      <c r="H29" s="17">
        <f>VLOOKUP(A29,All!A:AM,29,0)</f>
        <v>47.731099999999998</v>
      </c>
      <c r="I29" s="6">
        <f>VLOOKUP(A29,All!A:AM,33,0)</f>
        <v>33.881050957802678</v>
      </c>
      <c r="J29" s="6">
        <f>VLOOKUP(A29,All!A:AM,32,0)</f>
        <v>18.068899999999999</v>
      </c>
      <c r="K29" s="20">
        <f>VLOOKUP(A29,All!A:AM,39,0)</f>
        <v>57.258787878787885</v>
      </c>
      <c r="L29" s="20">
        <f>VLOOKUP(A29,All!A:AM,38,0)</f>
        <v>47.238500000000002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3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85.627276867030957</v>
      </c>
      <c r="F30" s="17">
        <f>VLOOKUP(A30,All!A:AM,28,0)</f>
        <v>32.79374</v>
      </c>
      <c r="G30" s="17">
        <f>VLOOKUP(A30,All!A:AM,31,0)</f>
        <v>78.88795986622074</v>
      </c>
      <c r="H30" s="17">
        <f>VLOOKUP(A30,All!A:AM,29,0)</f>
        <v>20.568300000000001</v>
      </c>
      <c r="I30" s="6">
        <f>VLOOKUP(A30,All!A:AM,33,0)</f>
        <v>84.517742225822417</v>
      </c>
      <c r="J30" s="6">
        <f>VLOOKUP(A30,All!A:AM,32,0)</f>
        <v>30.049099999999999</v>
      </c>
      <c r="K30" s="20">
        <f>VLOOKUP(A30,All!A:AM,39,0)</f>
        <v>87.767777777777781</v>
      </c>
      <c r="L30" s="20">
        <f>VLOOKUP(A30,All!A:AM,38,0)</f>
        <v>39.4955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8.5500000000000007</v>
      </c>
      <c r="S30" s="323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80.362021857923494</v>
      </c>
      <c r="F31" s="17">
        <f>VLOOKUP(A31,All!A:AM,28,0)</f>
        <v>30.777239999999999</v>
      </c>
      <c r="G31" s="17">
        <f>VLOOKUP(A31,All!A:AM,31,0)</f>
        <v>71.153846153846146</v>
      </c>
      <c r="H31" s="17">
        <f>VLOOKUP(A31,All!A:AM,29,0)</f>
        <v>18.5518</v>
      </c>
      <c r="I31" s="6">
        <f>VLOOKUP(A31,All!A:AM,33,0)</f>
        <v>78.846024031321718</v>
      </c>
      <c r="J31" s="6">
        <f>VLOOKUP(A31,All!A:AM,32,0)</f>
        <v>28.032599999999999</v>
      </c>
      <c r="K31" s="20">
        <f>VLOOKUP(A31,All!A:AM,39,0)</f>
        <v>83.286666666666662</v>
      </c>
      <c r="L31" s="20">
        <f>VLOOKUP(A31,All!A:AM,38,0)</f>
        <v>37.478999999999999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7.18</v>
      </c>
      <c r="S31" s="323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45600</v>
      </c>
      <c r="D32" s="5"/>
      <c r="E32" s="17">
        <f>VLOOKUP(A32,All!A:AM,30,0)</f>
        <v>87.568306010928964</v>
      </c>
      <c r="F32" s="17">
        <f>VLOOKUP(A32,All!A:AM,28,0)</f>
        <v>34.9345</v>
      </c>
      <c r="G32" s="17">
        <f>VLOOKUP(A32,All!A:AM,31,0)</f>
        <v>82.330097087378647</v>
      </c>
      <c r="H32" s="17">
        <f>VLOOKUP(A32,All!A:AM,29,0)</f>
        <v>23.108000000000001</v>
      </c>
      <c r="I32" s="6">
        <f>VLOOKUP(A32,All!A:AM,33,0)</f>
        <v>86.050639035146929</v>
      </c>
      <c r="J32" s="6">
        <f>VLOOKUP(A32,All!A:AM,32,0)</f>
        <v>30.594100000000001</v>
      </c>
      <c r="K32" s="20">
        <f>VLOOKUP(A32,All!A:AM,39,0)</f>
        <v>94.48944444444443</v>
      </c>
      <c r="L32" s="20">
        <f>VLOOKUP(A32,All!A:AM,38,0)</f>
        <v>85.040499999999994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3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45600</v>
      </c>
      <c r="D33" s="5"/>
      <c r="E33" s="17">
        <f>VLOOKUP(A33,All!A:AM,30,0)</f>
        <v>81.642759562841533</v>
      </c>
      <c r="F33" s="17">
        <f>VLOOKUP(A33,All!A:AM,28,0)</f>
        <v>31.26774</v>
      </c>
      <c r="G33" s="17">
        <f>VLOOKUP(A33,All!A:AM,31,0)</f>
        <v>73.03511705685618</v>
      </c>
      <c r="H33" s="17">
        <f>VLOOKUP(A33,All!A:AM,29,0)</f>
        <v>19.042300000000001</v>
      </c>
      <c r="I33" s="6">
        <f>VLOOKUP(A33,All!A:AM,33,0)</f>
        <v>80.225631159713785</v>
      </c>
      <c r="J33" s="6">
        <f>VLOOKUP(A33,All!A:AM,32,0)</f>
        <v>28.523099999999999</v>
      </c>
      <c r="K33" s="20">
        <f>VLOOKUP(A33,All!A:AM,39,0)</f>
        <v>92.188333333333333</v>
      </c>
      <c r="L33" s="20">
        <f>VLOOKUP(A33,All!A:AM,38,0)</f>
        <v>82.969499999999996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3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44.88636363636364</v>
      </c>
      <c r="F34" s="17">
        <f>VLOOKUP(A34,All!A:AM,28,0)</f>
        <v>8.6110000000000007</v>
      </c>
      <c r="G34" s="17">
        <f>VLOOKUP(A34,All!A:AM,31,0)</f>
        <v>25.81261950286807</v>
      </c>
      <c r="H34" s="17">
        <f>VLOOKUP(A34,All!A:AM,29,0)</f>
        <v>3.67875</v>
      </c>
      <c r="I34" s="6">
        <f>VLOOKUP(A34,All!A:AM,33,0)</f>
        <v>30.271974253455667</v>
      </c>
      <c r="J34" s="6">
        <f>VLOOKUP(A34,All!A:AM,32,0)</f>
        <v>4.5901999999999896</v>
      </c>
      <c r="K34" s="20">
        <f>VLOOKUP(A34,All!A:AM,39,0)</f>
        <v>29.513333333333332</v>
      </c>
      <c r="L34" s="20">
        <f>VLOOKUP(A34,All!A:AM,38,0)</f>
        <v>4.4269999999999996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3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45568</v>
      </c>
      <c r="D35" s="5"/>
      <c r="E35" s="17">
        <f>VLOOKUP(A35,All!A:AM,30,0)</f>
        <v>61.95652173913043</v>
      </c>
      <c r="F35" s="17">
        <f>VLOOKUP(A35,All!A:AM,28,0)</f>
        <v>3.1065</v>
      </c>
      <c r="G35" s="17">
        <f>VLOOKUP(A35,All!A:AM,31,0)</f>
        <v>68.181818181818187</v>
      </c>
      <c r="H35" s="17">
        <f>VLOOKUP(A35,All!A:AM,29,0)</f>
        <v>4.0875000000000004</v>
      </c>
      <c r="I35" s="6">
        <f>VLOOKUP(A35,All!A:AM,33,0)</f>
        <v>55.844907407407405</v>
      </c>
      <c r="J35" s="6">
        <f>VLOOKUP(A35,All!A:AM,32,0)</f>
        <v>2.4125000000000001</v>
      </c>
      <c r="K35" s="20">
        <f>VLOOKUP(A35,All!A:AM,39,0)</f>
        <v>49.133333333333333</v>
      </c>
      <c r="L35" s="20">
        <f>VLOOKUP(A35,All!A:AM,38,0)</f>
        <v>1.8425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3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45600</v>
      </c>
      <c r="D36" s="5"/>
      <c r="E36" s="17">
        <f>VLOOKUP(A36,All!A:AM,30,0)</f>
        <v>73.531420765027306</v>
      </c>
      <c r="F36" s="17">
        <f>VLOOKUP(A36,All!A:AM,28,0)</f>
        <v>9.3870799999999992</v>
      </c>
      <c r="G36" s="17">
        <f>VLOOKUP(A36,All!A:AM,31,0)</f>
        <v>64.326812428078242</v>
      </c>
      <c r="H36" s="17">
        <f>VLOOKUP(A36,All!A:AM,29,0)</f>
        <v>6.0930999999999997</v>
      </c>
      <c r="I36" s="6">
        <f>VLOOKUP(A36,All!A:AM,33,0)</f>
        <v>66.573678379233726</v>
      </c>
      <c r="J36" s="6">
        <f>VLOOKUP(A36,All!A:AM,32,0)</f>
        <v>6.7297999999999796</v>
      </c>
      <c r="K36" s="20">
        <f>VLOOKUP(A36,All!A:AM,39,0)</f>
        <v>84.982222222222219</v>
      </c>
      <c r="L36" s="20">
        <f>VLOOKUP(A36,All!A:AM,38,0)</f>
        <v>19.120999999999999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3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45600</v>
      </c>
      <c r="D37" s="19"/>
      <c r="E37" s="17">
        <f>VLOOKUP(A37,All!A:AM,30,0)</f>
        <v>31.978597449908925</v>
      </c>
      <c r="F37" s="17">
        <f>VLOOKUP(A37,All!A:AM,28,0)</f>
        <v>30.618099999999998</v>
      </c>
      <c r="G37" s="17">
        <f>VLOOKUP(A37,All!A:AM,31,0)</f>
        <v>25.125313283208019</v>
      </c>
      <c r="H37" s="17">
        <f>VLOOKUP(A37,All!A:AM,29,0)</f>
        <v>21.854500000000002</v>
      </c>
      <c r="I37" s="6">
        <f>VLOOKUP(A37,All!A:AM,33,0)</f>
        <v>-22.120779142852857</v>
      </c>
      <c r="J37" s="6">
        <f>VLOOKUP(A37,All!A:AM,32,0)</f>
        <v>-11.7971</v>
      </c>
      <c r="K37" s="334">
        <f>VLOOKUP(A37,All!A:AM,39,0)</f>
        <v>49.572672309552601</v>
      </c>
      <c r="L37" s="336">
        <f>VLOOKUP(A37,All!A:AM,38,0)</f>
        <v>204.983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18.8</v>
      </c>
      <c r="S37" s="323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45600</v>
      </c>
      <c r="D38" s="19"/>
      <c r="E38" s="17">
        <f>VLOOKUP(A38,All!A:AM,30,0)</f>
        <v>28.52263856362217</v>
      </c>
      <c r="F38" s="17">
        <f>VLOOKUP(A38,All!A:AM,28,0)</f>
        <v>25.48856</v>
      </c>
      <c r="G38" s="17">
        <f>VLOOKUP(A38,All!A:AM,31,0)</f>
        <v>-37.947269303201509</v>
      </c>
      <c r="H38" s="17">
        <f>VLOOKUP(A38,All!A:AM,29,0)</f>
        <v>-17.570799999999998</v>
      </c>
      <c r="I38" s="6">
        <f>VLOOKUP(A38,All!A:AM,33,0)</f>
        <v>40.114831315722455</v>
      </c>
      <c r="J38" s="6">
        <f>VLOOKUP(A38,All!A:AM,32,0)</f>
        <v>42.786800000000099</v>
      </c>
      <c r="K38" s="336"/>
      <c r="L38" s="336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</v>
      </c>
      <c r="S38" s="323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45600</v>
      </c>
      <c r="D39" s="19"/>
      <c r="E39" s="17">
        <f>VLOOKUP(A39,All!A:AM,30,0)</f>
        <v>67.169216921692168</v>
      </c>
      <c r="F39" s="17">
        <f>VLOOKUP(A39,All!A:AM,28,0)</f>
        <v>162.6825</v>
      </c>
      <c r="G39" s="17">
        <f>VLOOKUP(A39,All!A:AM,31,0)</f>
        <v>53.755942947702067</v>
      </c>
      <c r="H39" s="17">
        <f>VLOOKUP(A39,All!A:AM,29,0)</f>
        <v>92.432000000000002</v>
      </c>
      <c r="I39" s="6">
        <f>VLOOKUP(A39,All!A:AM,33,0)</f>
        <v>62.72505925325892</v>
      </c>
      <c r="J39" s="6">
        <f>VLOOKUP(A39,All!A:AM,32,0)</f>
        <v>133.80609999999999</v>
      </c>
      <c r="K39" s="335"/>
      <c r="L39" s="335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68.150000000000006</v>
      </c>
      <c r="S39" s="323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45600</v>
      </c>
      <c r="D40" s="19"/>
      <c r="E40" s="17">
        <f>VLOOKUP(A40,All!A:AM,30,0)</f>
        <v>76.91269126912691</v>
      </c>
      <c r="F40" s="17">
        <f>VLOOKUP(A40,All!A:AM,28,0)</f>
        <v>186.28100000000001</v>
      </c>
      <c r="G40" s="17">
        <f>VLOOKUP(A40,All!A:AM,31,0)</f>
        <v>67.480190174326466</v>
      </c>
      <c r="H40" s="17">
        <f>VLOOKUP(A40,All!A:AM,29,0)</f>
        <v>116.0305</v>
      </c>
      <c r="I40" s="6">
        <f>VLOOKUP(A40,All!A:AM,33,0)</f>
        <v>73.787464560550831</v>
      </c>
      <c r="J40" s="6">
        <f>VLOOKUP(A40,All!A:AM,32,0)</f>
        <v>157.40459999999999</v>
      </c>
      <c r="K40" s="20">
        <f>VLOOKUP(A40,All!A:AM,39,0)</f>
        <v>84.938181818181818</v>
      </c>
      <c r="L40" s="20">
        <f>VLOOKUP(A40,All!A:AM,38,0)</f>
        <v>315.33299999999997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66.55</v>
      </c>
      <c r="S40" s="323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4">
        <f>VLOOKUP(A41,All!A:AM,39,0)</f>
        <v>71.014074074074074</v>
      </c>
      <c r="L41" s="334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3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5"/>
      <c r="L42" s="335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3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32.553956834532372</v>
      </c>
      <c r="F43" s="17">
        <f>VLOOKUP(A43,All!A:AM,28,0)</f>
        <v>2.76206</v>
      </c>
      <c r="G43" s="17">
        <f>VLOOKUP(A43,All!A:AM,31,0)</f>
        <v>37.751955629024849</v>
      </c>
      <c r="H43" s="17">
        <f>VLOOKUP(A43,All!A:AM,29,0)</f>
        <v>3.4705598910000002</v>
      </c>
      <c r="I43" s="6">
        <f>VLOOKUP(A43,All!A:AM,33,0)</f>
        <v>-96.244855967078209</v>
      </c>
      <c r="J43" s="6">
        <f>VLOOKUP(A43,All!A:AM,32,0)</f>
        <v>-2.8065000000000002</v>
      </c>
      <c r="K43" s="20">
        <f>VLOOKUP(A43,All!A:AM,39,0)</f>
        <v>49.133333333333333</v>
      </c>
      <c r="L43" s="20">
        <f>VLOOKUP(A43,All!A:AM,38,0)</f>
        <v>5.5274999999999999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3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45600</v>
      </c>
      <c r="D44" s="5"/>
      <c r="E44" s="17">
        <f>VLOOKUP(A44,All!A:AM,30,0)</f>
        <v>67.213114754098356</v>
      </c>
      <c r="F44" s="17">
        <f>VLOOKUP(A44,All!A:AM,28,0)</f>
        <v>5.3628</v>
      </c>
      <c r="G44" s="17">
        <f>VLOOKUP(A44,All!A:AM,31,0)</f>
        <v>57.522123893805308</v>
      </c>
      <c r="H44" s="17">
        <f>VLOOKUP(A44,All!A:AM,29,0)</f>
        <v>3.5425</v>
      </c>
      <c r="I44" s="6">
        <f>VLOOKUP(A44,All!A:AM,33,0)</f>
        <v>58.309428188946121</v>
      </c>
      <c r="J44" s="6">
        <f>VLOOKUP(A44,All!A:AM,32,0)</f>
        <v>3.6587999999999798</v>
      </c>
      <c r="K44" s="20">
        <f>VLOOKUP(A44,All!A:AM,39,0)</f>
        <v>56.4</v>
      </c>
      <c r="L44" s="20">
        <f>VLOOKUP(A44,All!A:AM,38,0)</f>
        <v>3.3839999999999999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3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95.833333333333329</v>
      </c>
      <c r="F45" s="17">
        <f>VLOOKUP(A45,All!A:AM,28,0)</f>
        <v>2.5070000000000001</v>
      </c>
      <c r="G45" s="17">
        <f>VLOOKUP(A45,All!A:AM,31,0)</f>
        <v>95.454545454545453</v>
      </c>
      <c r="H45" s="17">
        <f>VLOOKUP(A45,All!A:AM,29,0)</f>
        <v>2.2890000000000001</v>
      </c>
      <c r="I45" s="6">
        <f>VLOOKUP(A45,All!A:AM,33,0)</f>
        <v>94.417813831530651</v>
      </c>
      <c r="J45" s="6">
        <f>VLOOKUP(A45,All!A:AM,32,0)</f>
        <v>1.8436399999999999</v>
      </c>
      <c r="K45" s="20">
        <f>VLOOKUP(A45,All!A:AM,39,0)</f>
        <v>97.830845771144283</v>
      </c>
      <c r="L45" s="20">
        <f>VLOOKUP(A45,All!A:AM,38,0)</f>
        <v>4.9160000000000004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3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45600</v>
      </c>
      <c r="D46" s="5"/>
      <c r="E46" s="17">
        <f>VLOOKUP(A46,All!A:AM,30,0)</f>
        <v>52.185792349726768</v>
      </c>
      <c r="F46" s="17">
        <f>VLOOKUP(A46,All!A:AM,28,0)</f>
        <v>0.83275999999999994</v>
      </c>
      <c r="G46" s="17">
        <f>VLOOKUP(A46,All!A:AM,31,0)</f>
        <v>766.66571428707493</v>
      </c>
      <c r="H46" s="17">
        <f>VLOOKUP(A46,All!A:AM,29,0)</f>
        <v>-0.87745016350000005</v>
      </c>
      <c r="I46" s="6">
        <f>VLOOKUP(A46,All!A:AM,33,0)</f>
        <v>81.885090218423557</v>
      </c>
      <c r="J46" s="6">
        <f>VLOOKUP(A46,All!A:AM,32,0)</f>
        <v>3.4489999999999998</v>
      </c>
      <c r="K46" s="20">
        <f>VLOOKUP(A46,All!A:AM,39,0)</f>
        <v>79.653333333333336</v>
      </c>
      <c r="L46" s="20">
        <f>VLOOKUP(A46,All!A:AM,38,0)</f>
        <v>2.9870000000000001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3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57.382988833452124</v>
      </c>
      <c r="F47" s="17">
        <f>VLOOKUP(A47,All!A:AM,28,0)</f>
        <v>21.060980000000001</v>
      </c>
      <c r="G47" s="17">
        <f>VLOOKUP(A47,All!A:AM,31,0)</f>
        <v>44.99808355691836</v>
      </c>
      <c r="H47" s="17">
        <f>VLOOKUP(A47,All!A:AM,29,0)</f>
        <v>12.7966</v>
      </c>
      <c r="I47" s="6">
        <f>VLOOKUP(A47,All!A:AM,33,0)</f>
        <v>44.382218239745121</v>
      </c>
      <c r="J47" s="6">
        <f>VLOOKUP(A47,All!A:AM,32,0)</f>
        <v>12.4817</v>
      </c>
      <c r="K47" s="20">
        <f>VLOOKUP(A47,All!A:AM,39,0)</f>
        <v>52.601515151515144</v>
      </c>
      <c r="L47" s="20">
        <f>VLOOKUP(A47,All!A:AM,38,0)</f>
        <v>17.358499999999999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8.1999999999999993</v>
      </c>
      <c r="S47" s="323"/>
    </row>
    <row r="48" spans="1:19">
      <c r="A48" s="37" t="s">
        <v>64</v>
      </c>
      <c r="B48" s="41" t="str">
        <f>VLOOKUP(A48,All!A:AM,2,0)</f>
        <v>MIDLANDS</v>
      </c>
      <c r="C48" s="42">
        <f>VLOOKUP(A48,All!A:AM,11,0)</f>
        <v>45575</v>
      </c>
      <c r="D48" s="5"/>
      <c r="E48" s="17">
        <f>VLOOKUP(A48,All!A:AM,30,0)</f>
        <v>70.976658476658486</v>
      </c>
      <c r="F48" s="17">
        <f>VLOOKUP(A48,All!A:AM,28,0)</f>
        <v>125.9495</v>
      </c>
      <c r="G48" s="17">
        <f>VLOOKUP(A48,All!A:AM,31,0)</f>
        <v>58.370044052863442</v>
      </c>
      <c r="H48" s="17">
        <f>VLOOKUP(A48,All!A:AM,29,0)</f>
        <v>72.212500000000006</v>
      </c>
      <c r="I48" s="6">
        <f>VLOOKUP(A48,All!A:AM,33,0)</f>
        <v>67.809167004185227</v>
      </c>
      <c r="J48" s="6">
        <f>VLOOKUP(A48,All!A:AM,32,0)</f>
        <v>108.48869999999999</v>
      </c>
      <c r="K48" s="334">
        <f>VLOOKUP(A48,All!A:AM,39,0)</f>
        <v>-1.5718518518518483</v>
      </c>
      <c r="L48" s="20">
        <f>VLOOKUP(A48,All!A:AM,38,0)</f>
        <v>-1.5914999999999964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22.699999999999996</v>
      </c>
      <c r="S48" s="323"/>
    </row>
    <row r="49" spans="1:19">
      <c r="A49" s="37" t="s">
        <v>65</v>
      </c>
      <c r="B49" s="41" t="str">
        <f>VLOOKUP(A49,All!A:AM,2,0)</f>
        <v>MIDLANDS</v>
      </c>
      <c r="C49" s="42">
        <f>VLOOKUP(A49,All!A:AM,11,0)</f>
        <v>45575</v>
      </c>
      <c r="D49" s="5"/>
      <c r="E49" s="17">
        <f>VLOOKUP(A49,All!A:AM,30,0)</f>
        <v>71.068796068796075</v>
      </c>
      <c r="F49" s="17">
        <f>VLOOKUP(A49,All!A:AM,28,0)</f>
        <v>126.113</v>
      </c>
      <c r="G49" s="17">
        <f>VLOOKUP(A49,All!A:AM,31,0)</f>
        <v>58.502202643171813</v>
      </c>
      <c r="H49" s="17">
        <f>VLOOKUP(A49,All!A:AM,29,0)</f>
        <v>72.376000000000005</v>
      </c>
      <c r="I49" s="6">
        <f>VLOOKUP(A49,All!A:AM,33,0)</f>
        <v>67.911360124806862</v>
      </c>
      <c r="J49" s="6">
        <f>VLOOKUP(A49,All!A:AM,32,0)</f>
        <v>108.65219999999999</v>
      </c>
      <c r="K49" s="335"/>
      <c r="L49" s="20">
        <f>VLOOKUP(A49,All!A:AM,38,0)</f>
        <v>0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21.999999999999996</v>
      </c>
      <c r="S49" s="323"/>
    </row>
    <row r="50" spans="1:19">
      <c r="A50" s="38" t="s">
        <v>66</v>
      </c>
      <c r="B50" s="41" t="str">
        <f>VLOOKUP(A50,All!A:AM,2,0)</f>
        <v>MIDLANDS</v>
      </c>
      <c r="C50" s="42">
        <f>VLOOKUP(A50,All!A:AM,11,0)</f>
        <v>45600</v>
      </c>
      <c r="D50" s="5"/>
      <c r="E50" s="17">
        <f>VLOOKUP(A50,All!A:AM,30,0)</f>
        <v>66.797283176593524</v>
      </c>
      <c r="F50" s="17">
        <f>VLOOKUP(A50,All!A:AM,28,0)</f>
        <v>139.35650000000001</v>
      </c>
      <c r="G50" s="17">
        <f>VLOOKUP(A50,All!A:AM,31,0)</f>
        <v>65.130315500685867</v>
      </c>
      <c r="H50" s="17">
        <f>VLOOKUP(A50,All!A:AM,29,0)</f>
        <v>129.38300000000001</v>
      </c>
      <c r="I50" s="6">
        <f>VLOOKUP(A50,All!A:AM,33,0)</f>
        <v>27.947306185488234</v>
      </c>
      <c r="J50" s="6">
        <f>VLOOKUP(A50,All!A:AM,32,0)</f>
        <v>26.867780000000199</v>
      </c>
      <c r="K50" s="334">
        <f>VLOOKUP(A50,All!A:AM,39,0)</f>
        <v>65.187283950617299</v>
      </c>
      <c r="L50" s="334">
        <f>VLOOKUP(A50,All!A:AM,38,0)</f>
        <v>264.00850000000003</v>
      </c>
      <c r="M50" s="96">
        <f>VLOOKUP(A50,'SYS Allocations'!A:G,2,0)</f>
        <v>0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7.8999999999999986</v>
      </c>
      <c r="S50" s="323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45600</v>
      </c>
      <c r="D51" s="5"/>
      <c r="E51" s="17">
        <f>VLOOKUP(A51,All!A:AM,30,0)</f>
        <v>65.621734587251822</v>
      </c>
      <c r="F51" s="17">
        <f>VLOOKUP(A51,All!A:AM,28,0)</f>
        <v>136.904</v>
      </c>
      <c r="G51" s="17">
        <f>VLOOKUP(A51,All!A:AM,31,0)</f>
        <v>63.895747599451298</v>
      </c>
      <c r="H51" s="17">
        <f>VLOOKUP(A51,All!A:AM,29,0)</f>
        <v>126.93049999999999</v>
      </c>
      <c r="I51" s="6">
        <f>VLOOKUP(A51,All!A:AM,33,0)</f>
        <v>25.396266671992542</v>
      </c>
      <c r="J51" s="6">
        <f>VLOOKUP(A51,All!A:AM,32,0)</f>
        <v>24.415280000000202</v>
      </c>
      <c r="K51" s="335"/>
      <c r="L51" s="335"/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5.9</v>
      </c>
      <c r="S51" s="323"/>
    </row>
    <row r="52" spans="1:19">
      <c r="A52" s="35" t="s">
        <v>68</v>
      </c>
      <c r="B52" s="41" t="str">
        <f>VLOOKUP(A52,All!A:AM,2,0)</f>
        <v>LONDON</v>
      </c>
      <c r="C52" s="42">
        <f>VLOOKUP(A52,All!A:AM,11,0)</f>
        <v>45600</v>
      </c>
      <c r="D52" s="5"/>
      <c r="E52" s="17">
        <f>VLOOKUP(A52,All!A:AM,30,0)</f>
        <v>34.227921734531996</v>
      </c>
      <c r="F52" s="17">
        <f>VLOOKUP(A52,All!A:AM,28,0)</f>
        <v>33.86412</v>
      </c>
      <c r="G52" s="17">
        <f>VLOOKUP(A52,All!A:AM,31,0)</f>
        <v>18.731282330520013</v>
      </c>
      <c r="H52" s="17">
        <f>VLOOKUP(A52,All!A:AM,29,0)</f>
        <v>14.9984</v>
      </c>
      <c r="I52" s="6">
        <f>VLOOKUP(A52,All!A:AM,33,0)</f>
        <v>7.4458098651647457</v>
      </c>
      <c r="J52" s="6">
        <f>VLOOKUP(A52,All!A:AM,32,0)</f>
        <v>5.2350000000000296</v>
      </c>
      <c r="K52" s="20">
        <f>VLOOKUP(A52,All!A:AM,39,0)</f>
        <v>53.352688172043017</v>
      </c>
      <c r="L52" s="20">
        <f>VLOOKUP(A52,All!A:AM,38,0)</f>
        <v>74.427000000000007</v>
      </c>
      <c r="M52" s="96" t="str">
        <f>VLOOKUP(A52,'SYS Allocations'!A:G,2,0)</f>
        <v>P-Core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0</v>
      </c>
      <c r="S52" s="323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45600</v>
      </c>
      <c r="D53" s="5"/>
      <c r="E53" s="17">
        <f>VLOOKUP(A53,All!A:AM,30,0)</f>
        <v>68.308019929283191</v>
      </c>
      <c r="F53" s="17">
        <f>VLOOKUP(A53,All!A:AM,28,0)</f>
        <v>74.12218</v>
      </c>
      <c r="G53" s="17">
        <f>VLOOKUP(A53,All!A:AM,31,0)</f>
        <v>57.616872649113382</v>
      </c>
      <c r="H53" s="17">
        <f>VLOOKUP(A53,All!A:AM,29,0)</f>
        <v>46.750100000000003</v>
      </c>
      <c r="I53" s="6">
        <f>VLOOKUP(A53,All!A:AM,33,0)</f>
        <v>61.309684532649385</v>
      </c>
      <c r="J53" s="6">
        <f>VLOOKUP(A53,All!A:AM,32,0)</f>
        <v>54.494500000000201</v>
      </c>
      <c r="K53" s="20">
        <f>VLOOKUP(A53,All!A:AM,39,0)</f>
        <v>75.348028673835131</v>
      </c>
      <c r="L53" s="20">
        <f>VLOOKUP(A53,All!A:AM,38,0)</f>
        <v>105.1105</v>
      </c>
      <c r="M53" s="96">
        <f>VLOOKUP(A53,'SYS Allocations'!A:G,2,0)</f>
        <v>0</v>
      </c>
      <c r="N53" s="96" t="str">
        <f>VLOOKUP(A53,'SYS Allocations'!A:G,3,0)</f>
        <v>RA</v>
      </c>
      <c r="O53" s="96" t="str">
        <f>VLOOKUP(A53,'SYS Allocations'!A:G,4,0)</f>
        <v>PX</v>
      </c>
      <c r="P53" s="96">
        <f>VLOOKUP(A53,'SYS Allocations'!A:G,5,0)</f>
        <v>0</v>
      </c>
      <c r="Q53" s="96" t="str">
        <f>VLOOKUP(A53,'SYS Allocations'!A:G,6,0)</f>
        <v>OPEX</v>
      </c>
      <c r="R53" s="12">
        <f>VLOOKUP(A53,'SYS Allocations'!A:G,7,0)</f>
        <v>30.599999999999998</v>
      </c>
      <c r="S53" s="323"/>
    </row>
    <row r="54" spans="1:19">
      <c r="A54" s="39" t="s">
        <v>70</v>
      </c>
      <c r="B54" s="41" t="str">
        <f>VLOOKUP(A54,All!A:AM,2,0)</f>
        <v>SOUTH WEST</v>
      </c>
      <c r="C54" s="42">
        <f>VLOOKUP(A54,All!A:AM,11,0)</f>
        <v>45600</v>
      </c>
      <c r="D54" s="5"/>
      <c r="E54" s="17">
        <f>VLOOKUP(A54,All!A:AM,30,0)</f>
        <v>47.88961038961039</v>
      </c>
      <c r="F54" s="17">
        <f>VLOOKUP(A54,All!A:AM,28,0)</f>
        <v>32.155000000000001</v>
      </c>
      <c r="G54" s="17">
        <f>VLOOKUP(A54,All!A:AM,31,0)</f>
        <v>28.666666666666668</v>
      </c>
      <c r="H54" s="17">
        <f>VLOOKUP(A54,All!A:AM,29,0)</f>
        <v>14.061</v>
      </c>
      <c r="I54" s="6">
        <f>VLOOKUP(A54,All!A:AM,33,0)</f>
        <v>37.793352107868351</v>
      </c>
      <c r="J54" s="6">
        <f>VLOOKUP(A54,All!A:AM,32,0)</f>
        <v>21.2574000000001</v>
      </c>
      <c r="K54" s="20">
        <f>VLOOKUP(A54,All!A:AM,39,0)</f>
        <v>60.126495726495733</v>
      </c>
      <c r="L54" s="20">
        <f>VLOOKUP(A54,All!A:AM,38,0)</f>
        <v>52.761000000000003</v>
      </c>
      <c r="M54" s="96">
        <f>VLOOKUP(A54,'SYS Allocations'!A:G,2,0)</f>
        <v>0</v>
      </c>
      <c r="N54" s="96">
        <f>VLOOKUP(A54,'SYS Allocations'!A:G,3,0)</f>
        <v>0</v>
      </c>
      <c r="O54" s="96">
        <f>VLOOKUP(A54,'SYS Allocations'!A:G,4,0)</f>
        <v>0</v>
      </c>
      <c r="P54" s="96">
        <f>VLOOKUP(A54,'SYS Allocations'!A:G,5,0)</f>
        <v>0</v>
      </c>
      <c r="Q54" s="96">
        <f>VLOOKUP(A54,'SYS Allocations'!A:G,6,0)</f>
        <v>0</v>
      </c>
      <c r="R54" s="12">
        <f>VLOOKUP(A54,'SYS Allocations'!A:G,7,0)</f>
        <v>2.25</v>
      </c>
      <c r="S54" s="323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45001</v>
      </c>
      <c r="D55" s="5"/>
      <c r="E55" s="17">
        <f>VLOOKUP(A55,All!A:AM,30,0)</f>
        <v>38.582476613874221</v>
      </c>
      <c r="F55" s="17">
        <f>VLOOKUP(A55,All!A:AM,28,0)</f>
        <v>36.325339999999997</v>
      </c>
      <c r="G55" s="17">
        <f>VLOOKUP(A55,All!A:AM,31,0)</f>
        <v>21.950860673826686</v>
      </c>
      <c r="H55" s="17">
        <f>VLOOKUP(A55,All!A:AM,29,0)</f>
        <v>16.262799999999999</v>
      </c>
      <c r="I55" s="6">
        <f>VLOOKUP(A55,All!A:AM,33,0)</f>
        <v>18.679824265334819</v>
      </c>
      <c r="J55" s="6">
        <f>VLOOKUP(A55,All!A:AM,32,0)</f>
        <v>13.282700000000199</v>
      </c>
      <c r="K55" s="20">
        <f>VLOOKUP(A55,All!A:AM,39,0)</f>
        <v>38.81005291005291</v>
      </c>
      <c r="L55" s="20">
        <f>VLOOKUP(A55,All!A:AM,38,0)</f>
        <v>36.6755</v>
      </c>
      <c r="M55" s="96" t="str">
        <f>VLOOKUP(A55,'SYS Allocations'!A:G,2,0)</f>
        <v>P-Core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5</v>
      </c>
      <c r="S55" s="323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45568</v>
      </c>
      <c r="D56" s="5"/>
      <c r="E56" s="17">
        <f>VLOOKUP(A56,All!A:AM,30,0)</f>
        <v>60.879284649776459</v>
      </c>
      <c r="F56" s="17">
        <f>VLOOKUP(A56,All!A:AM,28,0)</f>
        <v>53.431800000000003</v>
      </c>
      <c r="G56" s="17">
        <f>VLOOKUP(A56,All!A:AM,31,0)</f>
        <v>37.80848963474827</v>
      </c>
      <c r="H56" s="17">
        <f>VLOOKUP(A56,All!A:AM,29,0)</f>
        <v>20.8735</v>
      </c>
      <c r="I56" s="6">
        <f>VLOOKUP(A56,All!A:AM,33,0)</f>
        <v>61.371000405022365</v>
      </c>
      <c r="J56" s="6">
        <f>VLOOKUP(A56,All!A:AM,32,0)</f>
        <v>54.549000000000198</v>
      </c>
      <c r="K56" s="20">
        <f>VLOOKUP(A56,All!A:AM,39,0)</f>
        <v>67.760563380281681</v>
      </c>
      <c r="L56" s="20">
        <f>VLOOKUP(A56,All!A:AM,38,0)</f>
        <v>72.164999999999992</v>
      </c>
      <c r="M56" s="96">
        <f>VLOOKUP(A56,'SYS Allocations'!A:G,2,0)</f>
        <v>0</v>
      </c>
      <c r="N56" s="96" t="str">
        <f>VLOOKUP(A56,'SYS Allocations'!A:G,3,0)</f>
        <v>RA</v>
      </c>
      <c r="O56" s="96" t="str">
        <f>VLOOKUP(A56,'SYS Allocations'!A:G,4,0)</f>
        <v>PX</v>
      </c>
      <c r="P56" s="96" t="str">
        <f>VLOOKUP(A56,'SYS Allocations'!A:G,5,0)</f>
        <v>AM</v>
      </c>
      <c r="Q56" s="96" t="str">
        <f>VLOOKUP(A56,'SYS Allocations'!A:G,6,0)</f>
        <v>OPEX</v>
      </c>
      <c r="R56" s="12">
        <f>VLOOKUP(A56,'SYS Allocations'!A:G,7,0)</f>
        <v>41.030000000000008</v>
      </c>
      <c r="S56" s="323"/>
    </row>
    <row r="57" spans="1:19">
      <c r="A57" s="35" t="s">
        <v>73</v>
      </c>
      <c r="B57" s="41" t="str">
        <f>VLOOKUP(A57,All!A:AM,2,0)</f>
        <v>SOUTH</v>
      </c>
      <c r="C57" s="42">
        <f>VLOOKUP(A57,All!A:AM,11,0)</f>
        <v>44491.6875</v>
      </c>
      <c r="D57" s="5"/>
      <c r="E57" s="17">
        <f>VLOOKUP(A57,All!A:AM,30,0)</f>
        <v>62.858606557377044</v>
      </c>
      <c r="F57" s="17">
        <f>VLOOKUP(A57,All!A:AM,28,0)</f>
        <v>32.098320000000001</v>
      </c>
      <c r="G57" s="17">
        <f>VLOOKUP(A57,All!A:AM,31,0)</f>
        <v>44.515306122448976</v>
      </c>
      <c r="H57" s="17">
        <f>VLOOKUP(A57,All!A:AM,29,0)</f>
        <v>15.2164</v>
      </c>
      <c r="I57" s="6">
        <f>VLOOKUP(A57,All!A:AM,33,0)</f>
        <v>58.737990810359236</v>
      </c>
      <c r="J57" s="6">
        <f>VLOOKUP(A57,All!A:AM,32,0)</f>
        <v>26.998799999999999</v>
      </c>
      <c r="K57" s="20">
        <f>VLOOKUP(A57,All!A:AM,39,0)</f>
        <v>68.39</v>
      </c>
      <c r="L57" s="20">
        <f>VLOOKUP(A57,All!A:AM,38,0)</f>
        <v>41.033999999999999</v>
      </c>
      <c r="M57" s="96">
        <f>VLOOKUP(A57,'SYS Allocations'!A:G,2,0)</f>
        <v>0</v>
      </c>
      <c r="N57" s="96" t="str">
        <f>VLOOKUP(A57,'SYS Allocations'!A:G,3,0)</f>
        <v>RA</v>
      </c>
      <c r="O57" s="96">
        <f>VLOOKUP(A57,'SYS Allocations'!A:G,4,0)</f>
        <v>0</v>
      </c>
      <c r="P57" s="96">
        <f>VLOOKUP(A57,'SYS Allocations'!A:G,5,0)</f>
        <v>0</v>
      </c>
      <c r="Q57" s="96">
        <f>VLOOKUP(A57,'SYS Allocations'!A:G,6,0)</f>
        <v>0</v>
      </c>
      <c r="R57" s="12">
        <f>VLOOKUP(A57,'SYS Allocations'!A:G,7,0)</f>
        <v>6.9</v>
      </c>
      <c r="S57" s="323"/>
    </row>
    <row r="58" spans="1:19">
      <c r="A58" s="35" t="s">
        <v>74</v>
      </c>
      <c r="B58" s="41" t="str">
        <f>VLOOKUP(A58,All!A:AM,2,0)</f>
        <v>MIDLANDS</v>
      </c>
      <c r="C58" s="42">
        <f>VLOOKUP(A58,All!A:AM,11,0)</f>
        <v>45600</v>
      </c>
      <c r="D58" s="5"/>
      <c r="E58" s="17">
        <f>VLOOKUP(A58,All!A:AM,30,0)</f>
        <v>62.919594067135051</v>
      </c>
      <c r="F58" s="17">
        <f>VLOOKUP(A58,All!A:AM,28,0)</f>
        <v>7.0283199999999999</v>
      </c>
      <c r="G58" s="17">
        <f>VLOOKUP(A58,All!A:AM,31,0)</f>
        <v>51.344430217669654</v>
      </c>
      <c r="H58" s="17">
        <f>VLOOKUP(A58,All!A:AM,29,0)</f>
        <v>4.3708999999999998</v>
      </c>
      <c r="I58" s="6">
        <f>VLOOKUP(A58,All!A:AM,33,0)</f>
        <v>53.792949576081945</v>
      </c>
      <c r="J58" s="6">
        <f>VLOOKUP(A58,All!A:AM,32,0)</f>
        <v>4.8219999999999699</v>
      </c>
      <c r="K58" s="20">
        <f>VLOOKUP(A58,All!A:AM,39,0)</f>
        <v>39.971014492753618</v>
      </c>
      <c r="L58" s="20">
        <f>VLOOKUP(A58,All!A:AM,38,0)</f>
        <v>2.758</v>
      </c>
      <c r="M58" s="96">
        <f>VLOOKUP(A58,'SYS Allocations'!A:G,2,0)</f>
        <v>0</v>
      </c>
      <c r="N58" s="96">
        <f>VLOOKUP(A58,'SYS Allocations'!A:G,3,0)</f>
        <v>0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0</v>
      </c>
      <c r="S58" s="323"/>
    </row>
    <row r="59" spans="1:19">
      <c r="A59" s="35" t="s">
        <v>75</v>
      </c>
      <c r="B59" s="41" t="str">
        <f>VLOOKUP(A59,All!A:AM,2,0)</f>
        <v>SCOTLAND</v>
      </c>
      <c r="C59" s="42">
        <f>VLOOKUP(A59,All!A:AM,11,0)</f>
        <v>45600</v>
      </c>
      <c r="D59" s="5"/>
      <c r="E59" s="17">
        <f>VLOOKUP(A59,All!A:AM,30,0)</f>
        <v>72.48785670916817</v>
      </c>
      <c r="F59" s="17">
        <f>VLOOKUP(A59,All!A:AM,28,0)</f>
        <v>20.821179999999998</v>
      </c>
      <c r="G59" s="17">
        <f>VLOOKUP(A59,All!A:AM,31,0)</f>
        <v>57.20188902007083</v>
      </c>
      <c r="H59" s="17">
        <f>VLOOKUP(A59,All!A:AM,29,0)</f>
        <v>10.562099999999999</v>
      </c>
      <c r="I59" s="6">
        <f>VLOOKUP(A59,All!A:AM,33,0)</f>
        <v>71.900423849348584</v>
      </c>
      <c r="J59" s="6">
        <f>VLOOKUP(A59,All!A:AM,32,0)</f>
        <v>20.220700000000001</v>
      </c>
      <c r="K59" s="20">
        <f>VLOOKUP(A59,All!A:AM,39,0)</f>
        <v>88.292592592592584</v>
      </c>
      <c r="L59" s="20">
        <f>VLOOKUP(A59,All!A:AM,38,0)</f>
        <v>59.597499999999997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0.3</v>
      </c>
      <c r="S59" s="323"/>
    </row>
    <row r="60" spans="1:19">
      <c r="A60" s="35" t="s">
        <v>76</v>
      </c>
      <c r="B60" s="41" t="str">
        <f>VLOOKUP(A60,All!A:AM,2,0)</f>
        <v>NORTHERN IRELAND</v>
      </c>
      <c r="C60" s="42">
        <f>VLOOKUP(A60,All!A:AM,11,0)</f>
        <v>44873</v>
      </c>
      <c r="D60" s="5"/>
      <c r="E60" s="17">
        <f>VLOOKUP(A60,All!A:AM,30,0)</f>
        <v>91.666666666666671</v>
      </c>
      <c r="F60" s="17">
        <f>VLOOKUP(A60,All!A:AM,28,0)</f>
        <v>2.9975000000000001</v>
      </c>
      <c r="G60" s="17">
        <f>VLOOKUP(A60,All!A:AM,31,0)</f>
        <v>85.714285714285722</v>
      </c>
      <c r="H60" s="17">
        <f>VLOOKUP(A60,All!A:AM,29,0)</f>
        <v>1.635</v>
      </c>
      <c r="I60" s="6">
        <f>VLOOKUP(A60,All!A:AM,33,0)</f>
        <v>92.400156180276667</v>
      </c>
      <c r="J60" s="6">
        <f>VLOOKUP(A60,All!A:AM,32,0)</f>
        <v>3.3130999999999999</v>
      </c>
      <c r="K60" s="20">
        <f>VLOOKUP(A60,All!A:AM,39,0)</f>
        <v>97.577777777777769</v>
      </c>
      <c r="L60" s="20">
        <f>VLOOKUP(A60,All!A:AM,38,0)</f>
        <v>10.977499999999999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3"/>
    </row>
    <row r="61" spans="1:19">
      <c r="A61" s="35" t="s">
        <v>77</v>
      </c>
      <c r="B61" s="41" t="str">
        <f>VLOOKUP(A61,All!A:AM,2,0)</f>
        <v>ANGLIA</v>
      </c>
      <c r="C61" s="42">
        <f>VLOOKUP(A61,All!A:AM,11,0)</f>
        <v>44686.541666666701</v>
      </c>
      <c r="D61" s="5"/>
      <c r="E61" s="17">
        <f>VLOOKUP(A61,All!A:AM,30,0)</f>
        <v>53.333333333333336</v>
      </c>
      <c r="F61" s="17">
        <f>VLOOKUP(A61,All!A:AM,28,0)</f>
        <v>8.7200000000000006</v>
      </c>
      <c r="G61" s="17">
        <f>VLOOKUP(A61,All!A:AM,31,0)</f>
        <v>28.753180661577606</v>
      </c>
      <c r="H61" s="17">
        <f>VLOOKUP(A61,All!A:AM,29,0)</f>
        <v>3.07925</v>
      </c>
      <c r="I61" s="6">
        <f>VLOOKUP(A61,All!A:AM,33,0)</f>
        <v>49.680806162287581</v>
      </c>
      <c r="J61" s="6">
        <f>VLOOKUP(A61,All!A:AM,32,0)</f>
        <v>7.5331999999999901</v>
      </c>
      <c r="K61" s="20">
        <f>VLOOKUP(A61,All!A:AM,39,0)</f>
        <v>66.088888888888889</v>
      </c>
      <c r="L61" s="20">
        <f>VLOOKUP(A61,All!A:AM,38,0)</f>
        <v>14.870000000000001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1</v>
      </c>
      <c r="S61" s="323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44596.541666666701</v>
      </c>
      <c r="D62" s="5"/>
      <c r="E62" s="17">
        <f>VLOOKUP(A62,All!A:AM,30,0)</f>
        <v>70.543032786885234</v>
      </c>
      <c r="F62" s="17">
        <f>VLOOKUP(A62,All!A:AM,28,0)</f>
        <v>9.0055800000000001</v>
      </c>
      <c r="G62" s="17">
        <f>VLOOKUP(A62,All!A:AM,31,0)</f>
        <v>60.299194476409667</v>
      </c>
      <c r="H62" s="17">
        <f>VLOOKUP(A62,All!A:AM,29,0)</f>
        <v>5.7115999999999998</v>
      </c>
      <c r="I62" s="6">
        <f>VLOOKUP(A62,All!A:AM,33,0)</f>
        <v>62.799738841405301</v>
      </c>
      <c r="J62" s="6">
        <f>VLOOKUP(A62,All!A:AM,32,0)</f>
        <v>6.3482999999999796</v>
      </c>
      <c r="K62" s="20">
        <f>VLOOKUP(A62,All!A:AM,39,0)</f>
        <v>66.573333333333323</v>
      </c>
      <c r="L62" s="20">
        <f>VLOOKUP(A62,All!A:AM,38,0)</f>
        <v>7.4894999999999996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0</v>
      </c>
      <c r="S62" s="323"/>
    </row>
    <row r="63" spans="1:19">
      <c r="A63" s="35" t="s">
        <v>79</v>
      </c>
      <c r="B63" s="41" t="str">
        <f>VLOOKUP(A63,All!A:AM,2,0)</f>
        <v>SOUTH EAST</v>
      </c>
      <c r="C63" s="42">
        <f>VLOOKUP(A63,All!A:AM,11,0)</f>
        <v>44448.708333333299</v>
      </c>
      <c r="D63" s="5"/>
      <c r="E63" s="17">
        <f>VLOOKUP(A63,All!A:AM,30,0)</f>
        <v>67.798594847775178</v>
      </c>
      <c r="F63" s="17">
        <f>VLOOKUP(A63,All!A:AM,28,0)</f>
        <v>15.14664</v>
      </c>
      <c r="G63" s="17">
        <f>VLOOKUP(A63,All!A:AM,31,0)</f>
        <v>48.717948717948723</v>
      </c>
      <c r="H63" s="17">
        <f>VLOOKUP(A63,All!A:AM,29,0)</f>
        <v>6.8342999999999998</v>
      </c>
      <c r="I63" s="6">
        <f>VLOOKUP(A63,All!A:AM,33,0)</f>
        <v>67.02420242024202</v>
      </c>
      <c r="J63" s="6">
        <f>VLOOKUP(A63,All!A:AM,32,0)</f>
        <v>14.622</v>
      </c>
      <c r="K63" s="20">
        <f>VLOOKUP(A63,All!A:AM,39,0)</f>
        <v>57.36888888888889</v>
      </c>
      <c r="L63" s="20">
        <f>VLOOKUP(A63,All!A:AM,38,0)</f>
        <v>9.6810000000000009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1</v>
      </c>
      <c r="S63" s="323"/>
    </row>
    <row r="64" spans="1:19">
      <c r="A64" s="35" t="s">
        <v>80</v>
      </c>
      <c r="B64" s="41" t="str">
        <f>VLOOKUP(A64,All!A:AM,2,0)</f>
        <v>WALES</v>
      </c>
      <c r="C64" s="42">
        <f>VLOOKUP(A64,All!A:AM,11,0)</f>
        <v>45600</v>
      </c>
      <c r="D64" s="5"/>
      <c r="E64" s="17">
        <f>VLOOKUP(A64,All!A:AM,30,0)</f>
        <v>59.14775115594788</v>
      </c>
      <c r="F64" s="17">
        <f>VLOOKUP(A64,All!A:AM,28,0)</f>
        <v>24.54026</v>
      </c>
      <c r="G64" s="17">
        <f>VLOOKUP(A64,All!A:AM,31,0)</f>
        <v>43.618564176939813</v>
      </c>
      <c r="H64" s="17">
        <f>VLOOKUP(A64,All!A:AM,29,0)</f>
        <v>13.1127</v>
      </c>
      <c r="I64" s="6">
        <f>VLOOKUP(A64,All!A:AM,33,0)</f>
        <v>52.326909230007644</v>
      </c>
      <c r="J64" s="6">
        <f>VLOOKUP(A64,All!A:AM,32,0)</f>
        <v>18.604099999999999</v>
      </c>
      <c r="K64" s="20">
        <f>VLOOKUP(A64,All!A:AM,39,0)</f>
        <v>24.668888888888887</v>
      </c>
      <c r="L64" s="20">
        <f>VLOOKUP(A64,All!A:AM,38,0)</f>
        <v>5.5504999999999995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3</v>
      </c>
      <c r="S64" s="323"/>
    </row>
    <row r="65" spans="1:19">
      <c r="A65" s="35" t="s">
        <v>81</v>
      </c>
      <c r="B65" s="41" t="str">
        <f>VLOOKUP(A65,All!A:AM,2,0)</f>
        <v>MIDLANDS</v>
      </c>
      <c r="C65" s="42">
        <f>VLOOKUP(A65,All!A:AM,11,0)</f>
        <v>44501.458333333299</v>
      </c>
      <c r="D65" s="5"/>
      <c r="E65" s="17">
        <f>VLOOKUP(A65,All!A:AM,30,0)</f>
        <v>66.700819672131132</v>
      </c>
      <c r="F65" s="17">
        <f>VLOOKUP(A65,All!A:AM,28,0)</f>
        <v>4.2575399999999997</v>
      </c>
      <c r="G65" s="17">
        <f>VLOOKUP(A65,All!A:AM,31,0)</f>
        <v>52.669902912621353</v>
      </c>
      <c r="H65" s="17">
        <f>VLOOKUP(A65,All!A:AM,29,0)</f>
        <v>2.3653</v>
      </c>
      <c r="I65" s="6">
        <f>VLOOKUP(A65,All!A:AM,33,0)</f>
        <v>72.786842428711921</v>
      </c>
      <c r="J65" s="6">
        <f>VLOOKUP(A65,All!A:AM,32,0)</f>
        <v>5.6850600000000098</v>
      </c>
      <c r="K65" s="20">
        <f>VLOOKUP(A65,All!A:AM,39,0)</f>
        <v>64.575000000000003</v>
      </c>
      <c r="L65" s="20">
        <f>VLOOKUP(A65,All!A:AM,38,0)</f>
        <v>3.8744999999999998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0</v>
      </c>
      <c r="S65" s="323"/>
    </row>
    <row r="66" spans="1:19">
      <c r="A66" s="35" t="s">
        <v>82</v>
      </c>
      <c r="B66" s="41" t="str">
        <f>VLOOKUP(A66,All!A:AM,2,0)</f>
        <v>ANGLIA</v>
      </c>
      <c r="C66" s="42">
        <f>VLOOKUP(A66,All!A:AM,11,0)</f>
        <v>45058</v>
      </c>
      <c r="D66" s="5"/>
      <c r="E66" s="17">
        <f>VLOOKUP(A66,All!A:AM,30,0)</f>
        <v>49.908925318761391</v>
      </c>
      <c r="F66" s="17">
        <f>VLOOKUP(A66,All!A:AM,28,0)</f>
        <v>11.946400000000001</v>
      </c>
      <c r="G66" s="17">
        <f>VLOOKUP(A66,All!A:AM,31,0)</f>
        <v>-4300</v>
      </c>
      <c r="H66" s="17">
        <f>VLOOKUP(A66,All!A:AM,29,0)</f>
        <v>-11.717499999999999</v>
      </c>
      <c r="I66" s="6">
        <f>VLOOKUP(A66,All!A:AM,33,0)</f>
        <v>73.914821776663899</v>
      </c>
      <c r="J66" s="6">
        <f>VLOOKUP(A66,All!A:AM,32,0)</f>
        <v>33.974800000000002</v>
      </c>
      <c r="K66" s="20">
        <f>VLOOKUP(A66,All!A:AM,39,0)</f>
        <v>27.333333333333332</v>
      </c>
      <c r="L66" s="20">
        <f>VLOOKUP(A66,All!A:AM,38,0)</f>
        <v>4.51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1.5</v>
      </c>
      <c r="S66" s="323"/>
    </row>
    <row r="67" spans="1:19">
      <c r="A67" s="35" t="s">
        <v>83</v>
      </c>
      <c r="B67" s="41" t="str">
        <f>VLOOKUP(A67,All!A:AM,2,0)</f>
        <v>NORTH EAST</v>
      </c>
      <c r="C67" s="42">
        <f>VLOOKUP(A67,All!A:AM,11,0)</f>
        <v>45600</v>
      </c>
      <c r="D67" s="5"/>
      <c r="E67" s="17">
        <f>VLOOKUP(A67,All!A:AM,30,0)</f>
        <v>73.702185792349738</v>
      </c>
      <c r="F67" s="17">
        <f>VLOOKUP(A67,All!A:AM,28,0)</f>
        <v>11.761100000000001</v>
      </c>
      <c r="G67" s="17">
        <f>VLOOKUP(A67,All!A:AM,31,0)</f>
        <v>70.833333333333329</v>
      </c>
      <c r="H67" s="17">
        <f>VLOOKUP(A67,All!A:AM,29,0)</f>
        <v>10.1915</v>
      </c>
      <c r="I67" s="6">
        <f>VLOOKUP(A67,All!A:AM,33,0)</f>
        <v>51.91029519618634</v>
      </c>
      <c r="J67" s="6">
        <f>VLOOKUP(A67,All!A:AM,32,0)</f>
        <v>4.52990000000002</v>
      </c>
      <c r="K67" s="20">
        <f>VLOOKUP(A67,All!A:AM,39,0)</f>
        <v>30.05833333333333</v>
      </c>
      <c r="L67" s="20">
        <f>VLOOKUP(A67,All!A:AM,38,0)</f>
        <v>1.8034999999999997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0</v>
      </c>
      <c r="S67" s="323"/>
    </row>
    <row r="68" spans="1:19">
      <c r="A68" s="35" t="s">
        <v>84</v>
      </c>
      <c r="B68" s="41" t="str">
        <f>VLOOKUP(A68,All!A:AM,2,0)</f>
        <v>SOUTH WEST</v>
      </c>
      <c r="C68" s="42">
        <f>VLOOKUP(A68,All!A:AM,11,0)</f>
        <v>45600</v>
      </c>
      <c r="D68" s="5"/>
      <c r="E68" s="17">
        <f>VLOOKUP(A68,All!A:AM,30,0)</f>
        <v>76.092896174863384</v>
      </c>
      <c r="F68" s="17">
        <f>VLOOKUP(A68,All!A:AM,28,0)</f>
        <v>7.2855600000000003</v>
      </c>
      <c r="G68" s="17">
        <f>VLOOKUP(A68,All!A:AM,31,0)</f>
        <v>58.250497017892648</v>
      </c>
      <c r="H68" s="17">
        <f>VLOOKUP(A68,All!A:AM,29,0)</f>
        <v>3.1937000000000002</v>
      </c>
      <c r="I68" s="6">
        <f>VLOOKUP(A68,All!A:AM,33,0)</f>
        <v>77.356362773029232</v>
      </c>
      <c r="J68" s="6">
        <f>VLOOKUP(A68,All!A:AM,32,0)</f>
        <v>7.8197999999999803</v>
      </c>
      <c r="K68" s="20">
        <f>VLOOKUP(A68,All!A:AM,39,0)</f>
        <v>79.653333333333336</v>
      </c>
      <c r="L68" s="20">
        <f>VLOOKUP(A68,All!A:AM,38,0)</f>
        <v>8.9610000000000003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3"/>
    </row>
    <row r="69" spans="1:19">
      <c r="A69" s="39" t="s">
        <v>85</v>
      </c>
      <c r="B69" s="41" t="str">
        <f>VLOOKUP(A69,All!A:AM,2,0)</f>
        <v>LONDON</v>
      </c>
      <c r="C69" s="42">
        <f>VLOOKUP(A69,All!A:AM,11,0)</f>
        <v>45211</v>
      </c>
      <c r="D69" s="5"/>
      <c r="E69" s="17">
        <f>VLOOKUP(A69,All!A:AM,30,0)</f>
        <v>51.851851851851855</v>
      </c>
      <c r="F69" s="17">
        <f>VLOOKUP(A69,All!A:AM,28,0)</f>
        <v>45.78</v>
      </c>
      <c r="G69" s="17">
        <f>VLOOKUP(A69,All!A:AM,31,0)</f>
        <v>45.26315789473685</v>
      </c>
      <c r="H69" s="17">
        <f>VLOOKUP(A69,All!A:AM,29,0)</f>
        <v>35.152500000000003</v>
      </c>
      <c r="I69" s="6">
        <f>VLOOKUP(A69,All!A:AM,33,0)</f>
        <v>20.28936591512533</v>
      </c>
      <c r="J69" s="6">
        <f>VLOOKUP(A69,All!A:AM,32,0)</f>
        <v>10.820399999999999</v>
      </c>
      <c r="K69" s="334">
        <f>VLOOKUP(A69,All!A:AM,39,0)</f>
        <v>20.974999999999998</v>
      </c>
      <c r="L69" s="334">
        <f>VLOOKUP(A69,All!A:AM,38,0)</f>
        <v>37.754999999999995</v>
      </c>
      <c r="M69" s="96" t="str">
        <f>VLOOKUP(A69,'SYS Allocations'!A:G,2,0)</f>
        <v>P-Core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15.5</v>
      </c>
      <c r="S69" s="323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19"/>
      <c r="E70" s="17">
        <f>VLOOKUP(A70,All!A:AM,30,0)</f>
        <v>21.526586620926246</v>
      </c>
      <c r="F70" s="17">
        <f>VLOOKUP(A70,All!A:AM,28,0)</f>
        <v>27.359000000000002</v>
      </c>
      <c r="G70" s="17">
        <f>VLOOKUP(A70,All!A:AM,31,0)</f>
        <v>-6.7055393586005829</v>
      </c>
      <c r="H70" s="17">
        <f>VLOOKUP(A70,All!A:AM,29,0)</f>
        <v>-6.2675000000000001</v>
      </c>
      <c r="I70" s="6">
        <f>VLOOKUP(A70,All!A:AM,33,0)</f>
        <v>6.4932946312047912</v>
      </c>
      <c r="J70" s="6">
        <f>VLOOKUP(A70,All!A:AM,32,0)</f>
        <v>6.9258000000000797</v>
      </c>
      <c r="K70" s="335"/>
      <c r="L70" s="335"/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1.5</v>
      </c>
      <c r="S70" s="323"/>
    </row>
    <row r="71" spans="1:19">
      <c r="A71" s="35" t="s">
        <v>87</v>
      </c>
      <c r="B71" s="41" t="str">
        <f>VLOOKUP(A71,All!A:AM,2,0)</f>
        <v>LONDON</v>
      </c>
      <c r="C71" s="42">
        <f>VLOOKUP(A71,All!A:AM,11,0)</f>
        <v>45182</v>
      </c>
      <c r="D71" s="19"/>
      <c r="E71" s="17">
        <f>VLOOKUP(A71,All!A:AM,30,0)</f>
        <v>74.654874892148413</v>
      </c>
      <c r="F71" s="17">
        <f>VLOOKUP(A71,All!A:AM,28,0)</f>
        <v>45.269880000000001</v>
      </c>
      <c r="G71" s="17">
        <f>VLOOKUP(A71,All!A:AM,31,0)</f>
        <v>64.339908952959036</v>
      </c>
      <c r="H71" s="17">
        <f>VLOOKUP(A71,All!A:AM,29,0)</f>
        <v>27.729600000000001</v>
      </c>
      <c r="I71" s="6">
        <f>VLOOKUP(A71,All!A:AM,33,0)</f>
        <v>71.181539984699157</v>
      </c>
      <c r="J71" s="6">
        <f>VLOOKUP(A71,All!A:AM,32,0)</f>
        <v>37.961399999999998</v>
      </c>
      <c r="K71" s="334">
        <f>VLOOKUP(A71,All!A:AM,39,0)</f>
        <v>84.662340966921121</v>
      </c>
      <c r="L71" s="334">
        <f>VLOOKUP(A71,All!A:AM,38,0)</f>
        <v>166.36150000000001</v>
      </c>
      <c r="M71" s="96">
        <f>VLOOKUP(A71,'SYS Allocations'!A:G,2,0)</f>
        <v>0</v>
      </c>
      <c r="N71" s="96" t="str">
        <f>VLOOKUP(A71,'SYS Allocations'!A:G,3,0)</f>
        <v>RA</v>
      </c>
      <c r="O71" s="96" t="str">
        <f>VLOOKUP(A71,'SYS Allocations'!A:G,4,0)</f>
        <v>PX</v>
      </c>
      <c r="P71" s="96">
        <f>VLOOKUP(A71,'SYS Allocations'!A:G,5,0)</f>
        <v>0</v>
      </c>
      <c r="Q71" s="96" t="str">
        <f>VLOOKUP(A71,'SYS Allocations'!A:G,6,0)</f>
        <v>OPEX</v>
      </c>
      <c r="R71" s="12">
        <f>VLOOKUP(A71,'SYS Allocations'!A:G,7,0)</f>
        <v>7.35</v>
      </c>
      <c r="S71" s="323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75.643514524014961</v>
      </c>
      <c r="F72" s="17">
        <f>VLOOKUP(A72,All!A:AM,28,0)</f>
        <v>45.86938</v>
      </c>
      <c r="G72" s="17">
        <f>VLOOKUP(A72,All!A:AM,31,0)</f>
        <v>65.730905412240773</v>
      </c>
      <c r="H72" s="17">
        <f>VLOOKUP(A72,All!A:AM,29,0)</f>
        <v>28.3291</v>
      </c>
      <c r="I72" s="6">
        <f>VLOOKUP(A72,All!A:AM,33,0)</f>
        <v>72.305664311537129</v>
      </c>
      <c r="J72" s="6">
        <f>VLOOKUP(A72,All!A:AM,32,0)</f>
        <v>38.560899999999997</v>
      </c>
      <c r="K72" s="335"/>
      <c r="L72" s="335"/>
      <c r="M72" s="96">
        <f>VLOOKUP(A72,'SYS Allocations'!A:G,2,0)</f>
        <v>0</v>
      </c>
      <c r="N72" s="96">
        <f>VLOOKUP(A72,'SYS Allocations'!A:G,3,0)</f>
        <v>0</v>
      </c>
      <c r="O72" s="96">
        <f>VLOOKUP(A72,'SYS Allocations'!A:G,4,0)</f>
        <v>0</v>
      </c>
      <c r="P72" s="96">
        <f>VLOOKUP(A72,'SYS Allocations'!A:G,5,0)</f>
        <v>0</v>
      </c>
      <c r="Q72" s="96">
        <f>VLOOKUP(A72,'SYS Allocations'!A:G,6,0)</f>
        <v>0</v>
      </c>
      <c r="R72" s="12">
        <f>VLOOKUP(A72,'SYS Allocations'!A:G,7,0)</f>
        <v>7.35</v>
      </c>
      <c r="S72" s="323"/>
    </row>
    <row r="73" spans="1:19">
      <c r="A73" s="37" t="s">
        <v>89</v>
      </c>
      <c r="B73" s="41" t="str">
        <f>VLOOKUP(A73,All!A:AM,2,0)</f>
        <v>SOUTH WEST</v>
      </c>
      <c r="C73" s="42">
        <f>VLOOKUP(A73,All!A:AM,11,0)</f>
        <v>45600</v>
      </c>
      <c r="D73" s="19"/>
      <c r="E73" s="17">
        <f>VLOOKUP(A73,All!A:AM,30,0)</f>
        <v>93.972999035679848</v>
      </c>
      <c r="F73" s="17">
        <f>VLOOKUP(A73,All!A:AM,28,0)</f>
        <v>25.492920000000002</v>
      </c>
      <c r="G73" s="17">
        <f>VLOOKUP(A73,All!A:AM,31,0)</f>
        <v>92.826398852223818</v>
      </c>
      <c r="H73" s="17">
        <f>VLOOKUP(A73,All!A:AM,29,0)</f>
        <v>21.1569</v>
      </c>
      <c r="I73" s="6">
        <f>VLOOKUP(A73,All!A:AM,33,0)</f>
        <v>90.608629721532949</v>
      </c>
      <c r="J73" s="6">
        <f>VLOOKUP(A73,All!A:AM,32,0)</f>
        <v>15.7746</v>
      </c>
      <c r="K73" s="20">
        <f>VLOOKUP(A73,All!A:AM,39,0)</f>
        <v>98.546666666666667</v>
      </c>
      <c r="L73" s="20">
        <f>VLOOKUP(A73,All!A:AM,38,0)</f>
        <v>110.86499999999999</v>
      </c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 t="str">
        <f>VLOOKUP(A73,'SYS Allocations'!A:G,5,0)</f>
        <v>AM</v>
      </c>
      <c r="Q73" s="96">
        <f>VLOOKUP(A73,'SYS Allocations'!A:G,6,0)</f>
        <v>0</v>
      </c>
      <c r="R73" s="12">
        <f>VLOOKUP(A73,'SYS Allocations'!A:G,7,0)</f>
        <v>6.85</v>
      </c>
      <c r="S73" s="323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45600</v>
      </c>
      <c r="D74" s="19"/>
      <c r="E74" s="17">
        <f>VLOOKUP(A74,All!A:AM,30,0)</f>
        <v>87.945998071359696</v>
      </c>
      <c r="F74" s="17">
        <f>VLOOKUP(A74,All!A:AM,28,0)</f>
        <v>23.85792</v>
      </c>
      <c r="G74" s="17">
        <f>VLOOKUP(A74,All!A:AM,31,0)</f>
        <v>85.652797704447636</v>
      </c>
      <c r="H74" s="17">
        <f>VLOOKUP(A74,All!A:AM,29,0)</f>
        <v>19.521899999999999</v>
      </c>
      <c r="I74" s="6">
        <f>VLOOKUP(A74,All!A:AM,33,0)</f>
        <v>81.217259443065899</v>
      </c>
      <c r="J74" s="6">
        <f>VLOOKUP(A74,All!A:AM,32,0)</f>
        <v>14.1396</v>
      </c>
      <c r="K74" s="20">
        <f>VLOOKUP(A74,All!A:AM,39,0)</f>
        <v>97.093333333333334</v>
      </c>
      <c r="L74" s="20">
        <f>VLOOKUP(A74,All!A:AM,38,0)</f>
        <v>109.23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>
        <f>VLOOKUP(A74,'SYS Allocations'!A:G,5,0)</f>
        <v>0</v>
      </c>
      <c r="Q74" s="96">
        <f>VLOOKUP(A74,'SYS Allocations'!A:G,6,0)</f>
        <v>0</v>
      </c>
      <c r="R74" s="12">
        <f>VLOOKUP(A74,'SYS Allocations'!A:G,7,0)</f>
        <v>6.85</v>
      </c>
      <c r="S74" s="323"/>
    </row>
    <row r="75" spans="1:19">
      <c r="A75" s="38" t="s">
        <v>91</v>
      </c>
      <c r="B75" s="41" t="str">
        <f>VLOOKUP(A75,All!A:AM,2,0)</f>
        <v>MIDLANDS</v>
      </c>
      <c r="C75" s="42">
        <f>VLOOKUP(A75,All!A:AM,11,0)</f>
        <v>45600</v>
      </c>
      <c r="D75" s="5"/>
      <c r="E75" s="17">
        <f>VLOOKUP(A75,All!A:AM,30,0)</f>
        <v>63.016528925619824</v>
      </c>
      <c r="F75" s="17">
        <f>VLOOKUP(A75,All!A:AM,28,0)</f>
        <v>33.244999999999997</v>
      </c>
      <c r="G75" s="17">
        <f>VLOOKUP(A75,All!A:AM,31,0)</f>
        <v>41.311475409836071</v>
      </c>
      <c r="H75" s="17">
        <f>VLOOKUP(A75,All!A:AM,29,0)</f>
        <v>13.734</v>
      </c>
      <c r="I75" s="6">
        <f>VLOOKUP(A75,All!A:AM,33,0)</f>
        <v>63.41486281745496</v>
      </c>
      <c r="J75" s="6">
        <f>VLOOKUP(A75,All!A:AM,32,0)</f>
        <v>33.819400000000002</v>
      </c>
      <c r="K75" s="334">
        <f>VLOOKUP(A75,All!A:AM,39,0)</f>
        <v>63.908888888888889</v>
      </c>
      <c r="L75" s="334">
        <f>VLOOKUP(A75,All!A:AM,38,0)</f>
        <v>57.518000000000001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 t="str">
        <f>VLOOKUP(A75,'SYS Allocations'!A:G,6,0)</f>
        <v>OPEX</v>
      </c>
      <c r="R75" s="12">
        <f>VLOOKUP(A75,'SYS Allocations'!A:G,7,0)</f>
        <v>10.35</v>
      </c>
      <c r="S75" s="323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45600</v>
      </c>
      <c r="D76" s="5"/>
      <c r="E76" s="17">
        <f>VLOOKUP(A76,All!A:AM,30,0)</f>
        <v>75.413223140495859</v>
      </c>
      <c r="F76" s="17">
        <f>VLOOKUP(A76,All!A:AM,28,0)</f>
        <v>39.784999999999997</v>
      </c>
      <c r="G76" s="17">
        <f>VLOOKUP(A76,All!A:AM,31,0)</f>
        <v>60.983606557377058</v>
      </c>
      <c r="H76" s="17">
        <f>VLOOKUP(A76,All!A:AM,29,0)</f>
        <v>20.274000000000001</v>
      </c>
      <c r="I76" s="6">
        <f>VLOOKUP(A76,All!A:AM,33,0)</f>
        <v>75.678037292051059</v>
      </c>
      <c r="J76" s="6">
        <f>VLOOKUP(A76,All!A:AM,32,0)</f>
        <v>40.359400000000001</v>
      </c>
      <c r="K76" s="335"/>
      <c r="L76" s="335"/>
      <c r="M76" s="96"/>
      <c r="N76" s="96"/>
      <c r="O76" s="96"/>
      <c r="P76" s="96"/>
      <c r="Q76" s="96"/>
      <c r="R76" s="12">
        <f>VLOOKUP(A76,'SYS Allocations'!A:G,7,0)</f>
        <v>10.35</v>
      </c>
      <c r="S76" s="323"/>
    </row>
    <row r="77" spans="1:19">
      <c r="A77" s="35" t="s">
        <v>93</v>
      </c>
      <c r="B77" s="41" t="str">
        <f>VLOOKUP(A77,All!A:AM,2,0)</f>
        <v>THAMES VALLEY</v>
      </c>
      <c r="C77" s="42">
        <f>VLOOKUP(A77,All!A:AM,11,0)</f>
        <v>45600</v>
      </c>
      <c r="D77" s="5"/>
      <c r="E77" s="17">
        <f>VLOOKUP(A77,All!A:AM,30,0)</f>
        <v>69.047619047619051</v>
      </c>
      <c r="F77" s="17">
        <f>VLOOKUP(A77,All!A:AM,28,0)</f>
        <v>7.9024999999999999</v>
      </c>
      <c r="G77" s="17">
        <f>VLOOKUP(A77,All!A:AM,31,0)</f>
        <v>62.962962962962962</v>
      </c>
      <c r="H77" s="17">
        <f>VLOOKUP(A77,All!A:AM,29,0)</f>
        <v>6.0222499999999997</v>
      </c>
      <c r="I77" s="6">
        <f>VLOOKUP(A77,All!A:AM,33,0)</f>
        <v>60.480812137438505</v>
      </c>
      <c r="J77" s="6">
        <f>VLOOKUP(A77,All!A:AM,32,0)</f>
        <v>5.4214999999999698</v>
      </c>
      <c r="K77" s="20">
        <f>VLOOKUP(A77,All!A:AM,39,0)</f>
        <v>66.261904761904759</v>
      </c>
      <c r="L77" s="20">
        <f>VLOOKUP(A77,All!A:AM,38,0)</f>
        <v>6.9574999999999996</v>
      </c>
      <c r="M77" s="96">
        <f>VLOOKUP(A77,'SYS Allocations'!A:G,2,0)</f>
        <v>0</v>
      </c>
      <c r="N77" s="96">
        <f>VLOOKUP(A77,'SYS Allocations'!A:G,3,0)</f>
        <v>0</v>
      </c>
      <c r="O77" s="96">
        <f>VLOOKUP(A77,'SYS Allocations'!A:G,4,0)</f>
        <v>0</v>
      </c>
      <c r="P77" s="96">
        <f>VLOOKUP(A77,'SYS Allocations'!A:G,5,0)</f>
        <v>0</v>
      </c>
      <c r="Q77" s="96">
        <f>VLOOKUP(A77,'SYS Allocations'!A:G,6,0)</f>
        <v>0</v>
      </c>
      <c r="R77" s="12">
        <f>VLOOKUP(A77,'SYS Allocations'!A:G,7,0)</f>
        <v>0</v>
      </c>
      <c r="S77" s="323"/>
    </row>
    <row r="78" spans="1:19">
      <c r="A78" s="35" t="s">
        <v>94</v>
      </c>
      <c r="B78" s="41" t="str">
        <f>VLOOKUP(A78,All!A:AM,2,0)</f>
        <v>NORTH WEST</v>
      </c>
      <c r="C78" s="42">
        <f>VLOOKUP(A78,All!A:AM,11,0)</f>
        <v>45600</v>
      </c>
      <c r="D78" s="5"/>
      <c r="E78" s="17">
        <f>VLOOKUP(A78,All!A:AM,30,0)</f>
        <v>47.489754098360649</v>
      </c>
      <c r="F78" s="17">
        <f>VLOOKUP(A78,All!A:AM,28,0)</f>
        <v>6.0625799999999996</v>
      </c>
      <c r="G78" s="17">
        <f>VLOOKUP(A78,All!A:AM,31,0)</f>
        <v>29.228998849252015</v>
      </c>
      <c r="H78" s="17">
        <f>VLOOKUP(A78,All!A:AM,29,0)</f>
        <v>2.7686000000000002</v>
      </c>
      <c r="I78" s="6">
        <f>VLOOKUP(A78,All!A:AM,33,0)</f>
        <v>33.686490978157444</v>
      </c>
      <c r="J78" s="6">
        <f>VLOOKUP(A78,All!A:AM,32,0)</f>
        <v>3.40529999999998</v>
      </c>
      <c r="K78" s="20">
        <f>VLOOKUP(A78,All!A:AM,39,0)</f>
        <v>77.655000000000015</v>
      </c>
      <c r="L78" s="20">
        <f>VLOOKUP(A78,All!A:AM,38,0)</f>
        <v>23.296500000000002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1</v>
      </c>
      <c r="S78" s="323"/>
    </row>
    <row r="79" spans="1:19">
      <c r="A79" s="37" t="s">
        <v>95</v>
      </c>
      <c r="B79" s="41" t="str">
        <f>VLOOKUP(A79,All!A:AM,2,0)</f>
        <v>SOUTH WEST</v>
      </c>
      <c r="C79" s="42">
        <f>VLOOKUP(A79,All!A:AM,11,0)</f>
        <v>45600</v>
      </c>
      <c r="D79" s="5"/>
      <c r="E79" s="17">
        <f>VLOOKUP(A79,All!A:AM,30,0)</f>
        <v>87.192622950819668</v>
      </c>
      <c r="F79" s="17">
        <f>VLOOKUP(A79,All!A:AM,28,0)</f>
        <v>22.262160000000002</v>
      </c>
      <c r="G79" s="17">
        <f>VLOOKUP(A79,All!A:AM,31,0)</f>
        <v>84.276729559748432</v>
      </c>
      <c r="H79" s="17">
        <f>VLOOKUP(A79,All!A:AM,29,0)</f>
        <v>17.527200000000001</v>
      </c>
      <c r="I79" s="6">
        <f>VLOOKUP(A79,All!A:AM,33,0)</f>
        <v>81.217259443065899</v>
      </c>
      <c r="J79" s="6">
        <f>VLOOKUP(A79,All!A:AM,32,0)</f>
        <v>14.1396</v>
      </c>
      <c r="K79" s="20">
        <f>VLOOKUP(A79,All!A:AM,39,0)</f>
        <v>90.201010101010112</v>
      </c>
      <c r="L79" s="20">
        <f>VLOOKUP(A79,All!A:AM,38,0)</f>
        <v>44.649500000000003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 t="str">
        <f>VLOOKUP(A79,'SYS Allocations'!A:G,5,0)</f>
        <v>AM</v>
      </c>
      <c r="Q79" s="96">
        <f>VLOOKUP(A79,'SYS Allocations'!A:G,6,0)</f>
        <v>0</v>
      </c>
      <c r="R79" s="12">
        <f>VLOOKUP(A79,'SYS Allocations'!A:G,7,0)</f>
        <v>6.85</v>
      </c>
      <c r="S79" s="323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45600</v>
      </c>
      <c r="D80" s="5"/>
      <c r="E80" s="17">
        <f>VLOOKUP(A80,All!A:AM,30,0)</f>
        <v>93.809767759562831</v>
      </c>
      <c r="F80" s="17">
        <f>VLOOKUP(A80,All!A:AM,28,0)</f>
        <v>23.95166</v>
      </c>
      <c r="G80" s="17">
        <f>VLOOKUP(A80,All!A:AM,31,0)</f>
        <v>92.400419287211747</v>
      </c>
      <c r="H80" s="17">
        <f>VLOOKUP(A80,All!A:AM,29,0)</f>
        <v>19.216699999999999</v>
      </c>
      <c r="I80" s="6">
        <f>VLOOKUP(A80,All!A:AM,33,0)</f>
        <v>90.921675397481849</v>
      </c>
      <c r="J80" s="6">
        <f>VLOOKUP(A80,All!A:AM,32,0)</f>
        <v>15.8291</v>
      </c>
      <c r="K80" s="20">
        <f>VLOOKUP(A80,All!A:AM,39,0)</f>
        <v>0</v>
      </c>
      <c r="L80" s="20">
        <f>VLOOKUP(A80,All!A:AM,38,0)</f>
        <v>0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>
        <f>VLOOKUP(A80,'SYS Allocations'!A:G,5,0)</f>
        <v>0</v>
      </c>
      <c r="Q80" s="96">
        <f>VLOOKUP(A80,'SYS Allocations'!A:G,6,0)</f>
        <v>0</v>
      </c>
      <c r="R80" s="12">
        <f>VLOOKUP(A80,'SYS Allocations'!A:G,7,0)</f>
        <v>6.85</v>
      </c>
      <c r="S80" s="323"/>
    </row>
    <row r="81" spans="1:19">
      <c r="A81" s="35" t="s">
        <v>97</v>
      </c>
      <c r="B81" s="41" t="str">
        <f>VLOOKUP(A81,All!A:AM,2,0)</f>
        <v>NORTH WEST</v>
      </c>
      <c r="C81" s="42">
        <f>VLOOKUP(A81,All!A:AM,11,0)</f>
        <v>44594.708333333299</v>
      </c>
      <c r="D81" s="5"/>
      <c r="E81" s="17">
        <f>VLOOKUP(A81,All!A:AM,30,0)</f>
        <v>87.568181818181813</v>
      </c>
      <c r="F81" s="17">
        <f>VLOOKUP(A81,All!A:AM,28,0)</f>
        <v>20.998850000000001</v>
      </c>
      <c r="G81" s="17">
        <f>VLOOKUP(A81,All!A:AM,31,0)</f>
        <v>87.30858468677495</v>
      </c>
      <c r="H81" s="17">
        <f>VLOOKUP(A81,All!A:AM,29,0)</f>
        <v>20.50835</v>
      </c>
      <c r="I81" s="6">
        <f>VLOOKUP(A81,All!A:AM,33,0)</f>
        <v>70.509358182969081</v>
      </c>
      <c r="J81" s="6">
        <f>VLOOKUP(A81,All!A:AM,32,0)</f>
        <v>7.1276499999999796</v>
      </c>
      <c r="K81" s="20">
        <f>VLOOKUP(A81,All!A:AM,39,0)</f>
        <v>82.333925925925925</v>
      </c>
      <c r="L81" s="20">
        <f>VLOOKUP(A81,All!A:AM,38,0)</f>
        <v>13.89385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0</v>
      </c>
      <c r="S81" s="323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45600</v>
      </c>
      <c r="D82" s="5"/>
      <c r="E82" s="17">
        <f>VLOOKUP(A82,All!A:AM,30,0)</f>
        <v>32.547814207650269</v>
      </c>
      <c r="F82" s="17">
        <f>VLOOKUP(A82,All!A:AM,28,0)</f>
        <v>4.1550799999999999</v>
      </c>
      <c r="G82" s="17">
        <f>VLOOKUP(A82,All!A:AM,31,0)</f>
        <v>9.0909090909091006</v>
      </c>
      <c r="H82" s="17">
        <f>VLOOKUP(A82,All!A:AM,29,0)</f>
        <v>0.86110000000000098</v>
      </c>
      <c r="I82" s="6">
        <f>VLOOKUP(A82,All!A:AM,33,0)</f>
        <v>14.816793289015312</v>
      </c>
      <c r="J82" s="6">
        <f>VLOOKUP(A82,All!A:AM,32,0)</f>
        <v>1.49779999999998</v>
      </c>
      <c r="K82" s="20">
        <f>VLOOKUP(A82,All!A:AM,39,0)</f>
        <v>54.074666666666666</v>
      </c>
      <c r="L82" s="20">
        <f>VLOOKUP(A82,All!A:AM,38,0)</f>
        <v>10.138999999999999</v>
      </c>
      <c r="M82" s="96">
        <f>VLOOKUP(A82,'SYS Allocations'!A:G,2,0)</f>
        <v>0</v>
      </c>
      <c r="N82" s="96" t="str">
        <f>VLOOKUP(A82,'SYS Allocations'!A:G,3,0)</f>
        <v>RA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4</v>
      </c>
      <c r="S82" s="323"/>
    </row>
    <row r="83" spans="1:19">
      <c r="A83" s="35" t="s">
        <v>99</v>
      </c>
      <c r="B83" s="41" t="str">
        <f>VLOOKUP(A83,All!A:AM,2,0)</f>
        <v>LONDON</v>
      </c>
      <c r="C83" s="42">
        <f>VLOOKUP(A83,All!A:AM,11,0)</f>
        <v>45127</v>
      </c>
      <c r="D83" s="5"/>
      <c r="E83" s="17">
        <f>VLOOKUP(A83,All!A:AM,30,0)</f>
        <v>44.444444444444443</v>
      </c>
      <c r="F83" s="17">
        <f>VLOOKUP(A83,All!A:AM,28,0)</f>
        <v>39.24</v>
      </c>
      <c r="G83" s="17">
        <f>VLOOKUP(A83,All!A:AM,31,0)</f>
        <v>26.530612244897956</v>
      </c>
      <c r="H83" s="17">
        <f>VLOOKUP(A83,All!A:AM,29,0)</f>
        <v>17.712499999999999</v>
      </c>
      <c r="I83" s="6">
        <f>VLOOKUP(A83,All!A:AM,33,0)</f>
        <v>30.235535074244748</v>
      </c>
      <c r="J83" s="6">
        <f>VLOOKUP(A83,All!A:AM,32,0)</f>
        <v>21.257999999999999</v>
      </c>
      <c r="K83" s="20">
        <f>VLOOKUP(A83,All!A:AM,39,0)</f>
        <v>31.875000000000004</v>
      </c>
      <c r="L83" s="20">
        <f>VLOOKUP(A83,All!A:AM,38,0)</f>
        <v>22.950000000000003</v>
      </c>
      <c r="M83" s="96">
        <f>VLOOKUP(A83,'SYS Allocations'!A:G,2,0)</f>
        <v>0</v>
      </c>
      <c r="N83" s="96">
        <f>VLOOKUP(A83,'SYS Allocations'!A:G,3,0)</f>
        <v>0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3</v>
      </c>
      <c r="S83" s="323"/>
    </row>
    <row r="84" spans="1:19">
      <c r="A84" s="35" t="s">
        <v>100</v>
      </c>
      <c r="B84" s="41" t="str">
        <f>VLOOKUP(A84,All!A:AM,2,0)</f>
        <v>MIDLANDS</v>
      </c>
      <c r="C84" s="42">
        <f>VLOOKUP(A84,All!A:AM,11,0)</f>
        <v>44530.708333333299</v>
      </c>
      <c r="D84" s="5"/>
      <c r="E84" s="17">
        <f>VLOOKUP(A84,All!A:AM,30,0)</f>
        <v>57.308743169398902</v>
      </c>
      <c r="F84" s="17">
        <f>VLOOKUP(A84,All!A:AM,28,0)</f>
        <v>16.461179999999999</v>
      </c>
      <c r="G84" s="17">
        <f>VLOOKUP(A84,All!A:AM,31,0)</f>
        <v>48.347107438016529</v>
      </c>
      <c r="H84" s="17">
        <f>VLOOKUP(A84,All!A:AM,29,0)</f>
        <v>11.4777</v>
      </c>
      <c r="I84" s="6">
        <f>VLOOKUP(A84,All!A:AM,33,0)</f>
        <v>50.975100748416814</v>
      </c>
      <c r="J84" s="6">
        <f>VLOOKUP(A84,All!A:AM,32,0)</f>
        <v>12.750299999999999</v>
      </c>
      <c r="K84" s="20">
        <f>VLOOKUP(A84,All!A:AM,39,0)</f>
        <v>61.97674418604651</v>
      </c>
      <c r="L84" s="20">
        <f>VLOOKUP(A84,All!A:AM,38,0)</f>
        <v>19.987500000000001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1</v>
      </c>
      <c r="S84" s="323"/>
    </row>
    <row r="85" spans="1:19">
      <c r="A85" s="35" t="s">
        <v>101</v>
      </c>
      <c r="B85" s="41" t="str">
        <f>VLOOKUP(A85,All!A:AM,2,0)</f>
        <v>THAMES VALLEY</v>
      </c>
      <c r="C85" s="42">
        <f>VLOOKUP(A85,All!A:AM,11,0)</f>
        <v>45600</v>
      </c>
      <c r="D85" s="5"/>
      <c r="E85" s="17">
        <f>VLOOKUP(A85,All!A:AM,30,0)</f>
        <v>77.597402597402592</v>
      </c>
      <c r="F85" s="17">
        <f>VLOOKUP(A85,All!A:AM,28,0)</f>
        <v>13.025499999999999</v>
      </c>
      <c r="G85" s="17">
        <f>VLOOKUP(A85,All!A:AM,31,0)</f>
        <v>74.288269488746451</v>
      </c>
      <c r="H85" s="17">
        <f>VLOOKUP(A85,All!A:AM,29,0)</f>
        <v>10.865119999999999</v>
      </c>
      <c r="I85" s="6">
        <f>VLOOKUP(A85,All!A:AM,33,0)</f>
        <v>71.412607188469337</v>
      </c>
      <c r="J85" s="6">
        <f>VLOOKUP(A85,All!A:AM,32,0)</f>
        <v>9.3939000000000092</v>
      </c>
      <c r="K85" s="20">
        <f>VLOOKUP(A85,All!A:AM,39,0)</f>
        <v>91.643333333333331</v>
      </c>
      <c r="L85" s="20">
        <f>VLOOKUP(A85,All!A:AM,38,0)</f>
        <v>41.2395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4.9000000000000004</v>
      </c>
      <c r="S85" s="323"/>
    </row>
    <row r="86" spans="1:19">
      <c r="A86" s="39" t="s">
        <v>102</v>
      </c>
      <c r="B86" s="41" t="str">
        <f>VLOOKUP(A86,All!A:AM,2,0)</f>
        <v>SCOTLAND</v>
      </c>
      <c r="C86" s="42">
        <f>VLOOKUP(A86,All!A:AM,11,0)</f>
        <v>45600</v>
      </c>
      <c r="D86" s="5"/>
      <c r="E86" s="17">
        <f>VLOOKUP(A86,All!A:AM,30,0)</f>
        <v>45.355191256830601</v>
      </c>
      <c r="F86" s="17">
        <f>VLOOKUP(A86,All!A:AM,28,0)</f>
        <v>5.0663200000000002</v>
      </c>
      <c r="G86" s="17">
        <f>VLOOKUP(A86,All!A:AM,31,0)</f>
        <v>46.969696969696962</v>
      </c>
      <c r="H86" s="17">
        <f>VLOOKUP(A86,All!A:AM,29,0)</f>
        <v>5.4063999999999997</v>
      </c>
      <c r="I86" s="6">
        <f>VLOOKUP(A86,All!A:AM,33,0)</f>
        <v>47.784073800333701</v>
      </c>
      <c r="J86" s="6">
        <f>VLOOKUP(A86,All!A:AM,32,0)</f>
        <v>5.5859199999999696</v>
      </c>
      <c r="K86" s="20">
        <f>VLOOKUP(A86,All!A:AM,39,0)</f>
        <v>41.866666666666667</v>
      </c>
      <c r="L86" s="20">
        <f>VLOOKUP(A86,All!A:AM,38,0)</f>
        <v>4.3959999999999999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1</v>
      </c>
      <c r="S86" s="323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44445.381944444402</v>
      </c>
      <c r="D87" s="19"/>
      <c r="E87" s="17">
        <f>VLOOKUP(A87,All!A:AM,30,0)</f>
        <v>62.5</v>
      </c>
      <c r="F87" s="17">
        <f>VLOOKUP(A87,All!A:AM,28,0)</f>
        <v>2.9975000000000001</v>
      </c>
      <c r="G87" s="17">
        <f>VLOOKUP(A87,All!A:AM,31,0)</f>
        <v>69.158878504672899</v>
      </c>
      <c r="H87" s="17">
        <f>VLOOKUP(A87,All!A:AM,29,0)</f>
        <v>4.0330000000000004</v>
      </c>
      <c r="I87" s="6">
        <f>VLOOKUP(A87,All!A:AM,33,0)</f>
        <v>36.342592592592595</v>
      </c>
      <c r="J87" s="6">
        <f>VLOOKUP(A87,All!A:AM,32,0)</f>
        <v>1.02678</v>
      </c>
      <c r="K87" s="20">
        <f>VLOOKUP(A87,All!A:AM,39,0)</f>
        <v>76.02000000000001</v>
      </c>
      <c r="L87" s="20">
        <f>VLOOKUP(A87,All!A:AM,38,0)</f>
        <v>5.7015000000000002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0</v>
      </c>
      <c r="S87" s="323"/>
    </row>
    <row r="88" spans="1:19">
      <c r="A88" s="35" t="s">
        <v>104</v>
      </c>
      <c r="B88" s="41" t="str">
        <f>VLOOKUP(A88,All!A:AM,2,0)</f>
        <v>NORTH WEST</v>
      </c>
      <c r="C88" s="42">
        <f>VLOOKUP(A88,All!A:AM,11,0)</f>
        <v>45600</v>
      </c>
      <c r="D88" s="5"/>
      <c r="E88" s="17">
        <f>VLOOKUP(A88,All!A:AM,30,0)</f>
        <v>76.333333333333329</v>
      </c>
      <c r="F88" s="17">
        <f>VLOOKUP(A88,All!A:AM,28,0)</f>
        <v>12.480499999999999</v>
      </c>
      <c r="G88" s="17">
        <f>VLOOKUP(A88,All!A:AM,31,0)</f>
        <v>76.872964169381106</v>
      </c>
      <c r="H88" s="17">
        <f>VLOOKUP(A88,All!A:AM,29,0)</f>
        <v>12.862</v>
      </c>
      <c r="I88" s="6">
        <f>VLOOKUP(A88,All!A:AM,33,0)</f>
        <v>41.379738704673287</v>
      </c>
      <c r="J88" s="6">
        <f>VLOOKUP(A88,All!A:AM,32,0)</f>
        <v>2.73146000000001</v>
      </c>
      <c r="K88" s="20">
        <f>VLOOKUP(A88,All!A:AM,39,0)</f>
        <v>48.406666666666666</v>
      </c>
      <c r="L88" s="20">
        <f>VLOOKUP(A88,All!A:AM,38,0)</f>
        <v>3.6305000000000001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3"/>
    </row>
    <row r="89" spans="1:19">
      <c r="A89" s="35" t="s">
        <v>105</v>
      </c>
      <c r="B89" s="41" t="str">
        <f>VLOOKUP(A89,All!A:AM,2,0)</f>
        <v>NORTH EAST</v>
      </c>
      <c r="C89" s="42">
        <f>VLOOKUP(A89,All!A:AM,11,0)</f>
        <v>44574.541666666701</v>
      </c>
      <c r="D89" s="5"/>
      <c r="E89" s="17">
        <f>VLOOKUP(A89,All!A:AM,30,0)</f>
        <v>75</v>
      </c>
      <c r="F89" s="17">
        <f>VLOOKUP(A89,All!A:AM,28,0)</f>
        <v>6.54</v>
      </c>
      <c r="G89" s="17">
        <f>VLOOKUP(A89,All!A:AM,31,0)</f>
        <v>79.381443298969074</v>
      </c>
      <c r="H89" s="17">
        <f>VLOOKUP(A89,All!A:AM,29,0)</f>
        <v>8.3930000000000007</v>
      </c>
      <c r="I89" s="6">
        <f>VLOOKUP(A89,All!A:AM,33,0)</f>
        <v>57.947530864197525</v>
      </c>
      <c r="J89" s="6">
        <f>VLOOKUP(A89,All!A:AM,32,0)</f>
        <v>3.004</v>
      </c>
      <c r="K89" s="20">
        <f>VLOOKUP(A89,All!A:AM,39,0)</f>
        <v>80.62222222222222</v>
      </c>
      <c r="L89" s="20">
        <f>VLOOKUP(A89,All!A:AM,38,0)</f>
        <v>9.07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3"/>
    </row>
    <row r="90" spans="1:19">
      <c r="A90" s="35" t="s">
        <v>106</v>
      </c>
      <c r="B90" s="41" t="str">
        <f>VLOOKUP(A90,All!A:AM,2,0)</f>
        <v>LONDON</v>
      </c>
      <c r="C90" s="42">
        <f>VLOOKUP(A90,All!A:AM,11,0)</f>
        <v>45398</v>
      </c>
      <c r="D90" s="5"/>
      <c r="E90" s="17">
        <f>VLOOKUP(A90,All!A:AM,30,0)</f>
        <v>42.793715846994537</v>
      </c>
      <c r="F90" s="17">
        <f>VLOOKUP(A90,All!A:AM,28,0)</f>
        <v>38.24156</v>
      </c>
      <c r="G90" s="17">
        <f>VLOOKUP(A90,All!A:AM,31,0)</f>
        <v>24.935979513444302</v>
      </c>
      <c r="H90" s="17">
        <f>VLOOKUP(A90,All!A:AM,29,0)</f>
        <v>16.982199999999999</v>
      </c>
      <c r="I90" s="6">
        <f>VLOOKUP(A90,All!A:AM,33,0)</f>
        <v>28.107139642680547</v>
      </c>
      <c r="J90" s="6">
        <f>VLOOKUP(A90,All!A:AM,32,0)</f>
        <v>19.986200000000199</v>
      </c>
      <c r="K90" s="20">
        <f>VLOOKUP(A90,All!A:AM,39,0)</f>
        <v>65.919333333333327</v>
      </c>
      <c r="L90" s="20">
        <f>VLOOKUP(A90,All!A:AM,38,0)</f>
        <v>98.878999999999991</v>
      </c>
      <c r="M90" s="96">
        <f>VLOOKUP(A90,'SYS Allocations'!A:G,2,0)</f>
        <v>0</v>
      </c>
      <c r="N90" s="96" t="str">
        <f>VLOOKUP(A90,'SYS Allocations'!A:G,3,0)</f>
        <v>RA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7.4</v>
      </c>
      <c r="S90" s="323"/>
    </row>
    <row r="91" spans="1:19">
      <c r="A91" s="35" t="s">
        <v>107</v>
      </c>
      <c r="B91" s="41" t="str">
        <f>VLOOKUP(A91,All!A:AM,2,0)</f>
        <v>SCOTLAND</v>
      </c>
      <c r="C91" s="42">
        <f>VLOOKUP(A91,All!A:AM,11,0)</f>
        <v>45600</v>
      </c>
      <c r="D91" s="5"/>
      <c r="E91" s="17">
        <f>VLOOKUP(A91,All!A:AM,30,0)</f>
        <v>67.896174863387984</v>
      </c>
      <c r="F91" s="17">
        <f>VLOOKUP(A91,All!A:AM,28,0)</f>
        <v>5.4173</v>
      </c>
      <c r="G91" s="17">
        <f>VLOOKUP(A91,All!A:AM,31,0)</f>
        <v>61.788617886178869</v>
      </c>
      <c r="H91" s="17">
        <f>VLOOKUP(A91,All!A:AM,29,0)</f>
        <v>4.1420000000000003</v>
      </c>
      <c r="I91" s="6">
        <f>VLOOKUP(A91,All!A:AM,33,0)</f>
        <v>52.374312063067087</v>
      </c>
      <c r="J91" s="6">
        <f>VLOOKUP(A91,All!A:AM,32,0)</f>
        <v>2.8169</v>
      </c>
      <c r="K91" s="20">
        <f>VLOOKUP(A91,All!A:AM,39,0)</f>
        <v>65.846666666666664</v>
      </c>
      <c r="L91" s="20">
        <f>VLOOKUP(A91,All!A:AM,38,0)</f>
        <v>4.9384999999999994</v>
      </c>
      <c r="M91" s="96">
        <f>VLOOKUP(A91,'SYS Allocations'!A:G,2,0)</f>
        <v>0</v>
      </c>
      <c r="N91" s="96">
        <f>VLOOKUP(A91,'SYS Allocations'!A:G,3,0)</f>
        <v>0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0</v>
      </c>
      <c r="S91" s="323"/>
    </row>
    <row r="92" spans="1:19">
      <c r="A92" s="35" t="s">
        <v>108</v>
      </c>
      <c r="B92" s="41" t="str">
        <f>VLOOKUP(A92,All!A:AM,2,0)</f>
        <v>NORTH EAST</v>
      </c>
      <c r="C92" s="42">
        <f>VLOOKUP(A92,All!A:AM,11,0)</f>
        <v>44615.489583333299</v>
      </c>
      <c r="D92" s="5"/>
      <c r="E92" s="17">
        <f>VLOOKUP(A92,All!A:AM,30,0)</f>
        <v>72.62</v>
      </c>
      <c r="F92" s="17">
        <f>VLOOKUP(A92,All!A:AM,28,0)</f>
        <v>7.9155800000000003</v>
      </c>
      <c r="G92" s="17">
        <f>VLOOKUP(A92,All!A:AM,31,0)</f>
        <v>71.178947368421049</v>
      </c>
      <c r="H92" s="17">
        <f>VLOOKUP(A92,All!A:AM,29,0)</f>
        <v>7.3705800000000004</v>
      </c>
      <c r="I92" s="6">
        <f>VLOOKUP(A92,All!A:AM,33,0)</f>
        <v>42.905953474135295</v>
      </c>
      <c r="J92" s="6">
        <f>VLOOKUP(A92,All!A:AM,32,0)</f>
        <v>2.2427800000000002</v>
      </c>
      <c r="K92" s="20">
        <f>VLOOKUP(A92,All!A:AM,39,0)</f>
        <v>90.051933333333338</v>
      </c>
      <c r="L92" s="20">
        <f>VLOOKUP(A92,All!A:AM,38,0)</f>
        <v>27.01558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3"/>
    </row>
    <row r="93" spans="1:19">
      <c r="A93" s="35" t="s">
        <v>109</v>
      </c>
      <c r="B93" s="41" t="str">
        <f>VLOOKUP(A93,All!A:AM,2,0)</f>
        <v>SCOTLAND</v>
      </c>
      <c r="C93" s="42">
        <f>VLOOKUP(A93,All!A:AM,11,0)</f>
        <v>45600</v>
      </c>
      <c r="D93" s="5"/>
      <c r="E93" s="17">
        <f>VLOOKUP(A93,All!A:AM,30,0)</f>
        <v>65.206625683060096</v>
      </c>
      <c r="F93" s="17">
        <f>VLOOKUP(A93,All!A:AM,28,0)</f>
        <v>16.64866</v>
      </c>
      <c r="G93" s="17">
        <f>VLOOKUP(A93,All!A:AM,31,0)</f>
        <v>53.10701956271577</v>
      </c>
      <c r="H93" s="17">
        <f>VLOOKUP(A93,All!A:AM,29,0)</f>
        <v>10.060700000000001</v>
      </c>
      <c r="I93" s="6">
        <f>VLOOKUP(A93,All!A:AM,33,0)</f>
        <v>56.060561095283312</v>
      </c>
      <c r="J93" s="6">
        <f>VLOOKUP(A93,All!A:AM,32,0)</f>
        <v>11.334099999999999</v>
      </c>
      <c r="K93" s="20">
        <f>VLOOKUP(A93,All!A:AM,39,0)</f>
        <v>60.517777777777781</v>
      </c>
      <c r="L93" s="20">
        <f>VLOOKUP(A93,All!A:AM,38,0)</f>
        <v>13.6165</v>
      </c>
      <c r="M93" s="96">
        <f>VLOOKUP(A93,'SYS Allocations'!A:G,2,0)</f>
        <v>0</v>
      </c>
      <c r="N93" s="96" t="str">
        <f>VLOOKUP(A93,'SYS Allocations'!A:G,3,0)</f>
        <v>RA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2.7</v>
      </c>
      <c r="S93" s="323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45600</v>
      </c>
      <c r="D94" s="5"/>
      <c r="E94" s="17">
        <f>VLOOKUP(A94,All!A:AM,30,0)</f>
        <v>48.087431693989075</v>
      </c>
      <c r="F94" s="17">
        <f>VLOOKUP(A94,All!A:AM,28,0)</f>
        <v>3.8368000000000002</v>
      </c>
      <c r="G94" s="17">
        <f>VLOOKUP(A94,All!A:AM,31,0)</f>
        <v>28.030298941115472</v>
      </c>
      <c r="H94" s="17">
        <f>VLOOKUP(A94,All!A:AM,29,0)</f>
        <v>1.613199673</v>
      </c>
      <c r="I94" s="6">
        <f>VLOOKUP(A94,All!A:AM,33,0)</f>
        <v>50.830959164292672</v>
      </c>
      <c r="J94" s="6">
        <f>VLOOKUP(A94,All!A:AM,32,0)</f>
        <v>4.2820000000000302</v>
      </c>
      <c r="K94" s="20">
        <f>VLOOKUP(A94,All!A:AM,39,0)</f>
        <v>44.773333333333333</v>
      </c>
      <c r="L94" s="20">
        <f>VLOOKUP(A94,All!A:AM,38,0)</f>
        <v>3.3579999999999997</v>
      </c>
      <c r="M94" s="96">
        <f>VLOOKUP(A94,'SYS Allocations'!A:G,2,0)</f>
        <v>0</v>
      </c>
      <c r="N94" s="96">
        <f>VLOOKUP(A94,'SYS Allocations'!A:G,3,0)</f>
        <v>0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0</v>
      </c>
      <c r="S94" s="323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45600</v>
      </c>
      <c r="D95" s="5"/>
      <c r="E95" s="17">
        <f>VLOOKUP(A95,All!A:AM,30,0)</f>
        <v>69.945355191256837</v>
      </c>
      <c r="F95" s="17">
        <f>VLOOKUP(A95,All!A:AM,28,0)</f>
        <v>5.5808</v>
      </c>
      <c r="G95" s="17">
        <f>VLOOKUP(A95,All!A:AM,31,0)</f>
        <v>64.22764227642277</v>
      </c>
      <c r="H95" s="17">
        <f>VLOOKUP(A95,All!A:AM,29,0)</f>
        <v>4.3055000000000003</v>
      </c>
      <c r="I95" s="6">
        <f>VLOOKUP(A95,All!A:AM,33,0)</f>
        <v>55.414249590956416</v>
      </c>
      <c r="J95" s="6">
        <f>VLOOKUP(A95,All!A:AM,32,0)</f>
        <v>2.9803999999999999</v>
      </c>
      <c r="K95" s="20">
        <f>VLOOKUP(A95,All!A:AM,39,0)</f>
        <v>52.278606965174127</v>
      </c>
      <c r="L95" s="20">
        <f>VLOOKUP(A95,All!A:AM,38,0)</f>
        <v>2.6270000000000002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0.5</v>
      </c>
      <c r="S95" s="323"/>
    </row>
    <row r="96" spans="1:19">
      <c r="A96" s="35" t="s">
        <v>112</v>
      </c>
      <c r="B96" s="41" t="str">
        <f>VLOOKUP(A96,All!A:AM,2,0)</f>
        <v>NORTH EAST</v>
      </c>
      <c r="C96" s="42">
        <f>VLOOKUP(A96,All!A:AM,11,0)</f>
        <v>44602.395833333299</v>
      </c>
      <c r="D96" s="5"/>
      <c r="E96" s="17">
        <f>VLOOKUP(A96,All!A:AM,30,0)</f>
        <v>50</v>
      </c>
      <c r="F96" s="17">
        <f>VLOOKUP(A96,All!A:AM,28,0)</f>
        <v>9.81</v>
      </c>
      <c r="G96" s="17">
        <f>VLOOKUP(A96,All!A:AM,31,0)</f>
        <v>14.285714285714286</v>
      </c>
      <c r="H96" s="17">
        <f>VLOOKUP(A96,All!A:AM,29,0)</f>
        <v>1.635</v>
      </c>
      <c r="I96" s="6">
        <f>VLOOKUP(A96,All!A:AM,33,0)</f>
        <v>53.56169052488071</v>
      </c>
      <c r="J96" s="6">
        <f>VLOOKUP(A96,All!A:AM,32,0)</f>
        <v>11.3148</v>
      </c>
      <c r="K96" s="20">
        <f>VLOOKUP(A96,All!A:AM,39,0)</f>
        <v>49.692307692307686</v>
      </c>
      <c r="L96" s="20">
        <f>VLOOKUP(A96,All!A:AM,38,0)</f>
        <v>9.69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</v>
      </c>
      <c r="S96" s="323"/>
    </row>
    <row r="97" spans="1:19">
      <c r="A97" s="35" t="s">
        <v>113</v>
      </c>
      <c r="B97" s="41" t="str">
        <f>VLOOKUP(A97,All!A:AM,2,0)</f>
        <v>SOUTH WEST</v>
      </c>
      <c r="C97" s="42">
        <f>VLOOKUP(A97,All!A:AM,11,0)</f>
        <v>44553.5</v>
      </c>
      <c r="D97" s="5"/>
      <c r="E97" s="17">
        <f>VLOOKUP(A97,All!A:AM,30,0)</f>
        <v>93.169398907103826</v>
      </c>
      <c r="F97" s="17">
        <f>VLOOKUP(A97,All!A:AM,28,0)</f>
        <v>7.4337999999999997</v>
      </c>
      <c r="G97" s="17">
        <f>VLOOKUP(A97,All!A:AM,31,0)</f>
        <v>85.507246376811594</v>
      </c>
      <c r="H97" s="17">
        <f>VLOOKUP(A97,All!A:AM,29,0)</f>
        <v>3.2155</v>
      </c>
      <c r="I97" s="6">
        <f>VLOOKUP(A97,All!A:AM,33,0)</f>
        <v>95.127176229918604</v>
      </c>
      <c r="J97" s="6">
        <f>VLOOKUP(A97,All!A:AM,32,0)</f>
        <v>10.639480000000001</v>
      </c>
      <c r="K97" s="20">
        <f>VLOOKUP(A97,All!A:AM,39,0)</f>
        <v>92.733333333333334</v>
      </c>
      <c r="L97" s="20">
        <f>VLOOKUP(A97,All!A:AM,38,0)</f>
        <v>6.9550000000000001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3"/>
    </row>
    <row r="98" spans="1:19">
      <c r="A98" s="35" t="s">
        <v>114</v>
      </c>
      <c r="B98" s="41" t="str">
        <f>VLOOKUP(A98,All!A:AM,2,0)</f>
        <v xml:space="preserve">SCOTTISH HIGHLANDS &amp; ISLANDS </v>
      </c>
      <c r="C98" s="42">
        <f>VLOOKUP(A98,All!A:AM,11,0)</f>
        <v>44480.504861111098</v>
      </c>
      <c r="D98" s="5"/>
      <c r="E98" s="17">
        <f>VLOOKUP(A98,All!A:AM,30,0)</f>
        <v>60</v>
      </c>
      <c r="F98" s="17">
        <f>VLOOKUP(A98,All!A:AM,28,0)</f>
        <v>2.9430000000000001</v>
      </c>
      <c r="G98" s="17">
        <f>VLOOKUP(A98,All!A:AM,31,0)</f>
        <v>66.197183098591552</v>
      </c>
      <c r="H98" s="17">
        <f>VLOOKUP(A98,All!A:AM,29,0)</f>
        <v>3.8422499999999999</v>
      </c>
      <c r="I98" s="6">
        <f>VLOOKUP(A98,All!A:AM,33,0)</f>
        <v>62.152777777777771</v>
      </c>
      <c r="J98" s="6">
        <f>VLOOKUP(A98,All!A:AM,32,0)</f>
        <v>3.222</v>
      </c>
      <c r="K98" s="20" t="e">
        <f>VLOOKUP(A98,All!A:AM,39,0)</f>
        <v>#DIV/0!</v>
      </c>
      <c r="L98" s="20">
        <f>VLOOKUP(A98,All!A:AM,38,0)</f>
        <v>-1.962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4</v>
      </c>
      <c r="S98" s="323"/>
    </row>
    <row r="99" spans="1:19">
      <c r="A99" s="35" t="s">
        <v>115</v>
      </c>
      <c r="B99" s="41" t="str">
        <f>VLOOKUP(A99,All!A:AM,2,0)</f>
        <v>NORTH EAST</v>
      </c>
      <c r="C99" s="42">
        <f>VLOOKUP(A99,All!A:AM,11,0)</f>
        <v>44879</v>
      </c>
      <c r="D99" s="5"/>
      <c r="E99" s="17">
        <f>VLOOKUP(A99,All!A:AM,30,0)</f>
        <v>62.121212121212118</v>
      </c>
      <c r="F99" s="17">
        <f>VLOOKUP(A99,All!A:AM,28,0)</f>
        <v>1.7876000000000001</v>
      </c>
      <c r="G99" s="17">
        <f>VLOOKUP(A99,All!A:AM,31,0)</f>
        <v>52.38095238095238</v>
      </c>
      <c r="H99" s="17">
        <f>VLOOKUP(A99,All!A:AM,29,0)</f>
        <v>1.1990000000000001</v>
      </c>
      <c r="I99" s="6">
        <f>VLOOKUP(A99,All!A:AM,33,0)</f>
        <v>62.785425543537634</v>
      </c>
      <c r="J99" s="6">
        <f>VLOOKUP(A99,All!A:AM,32,0)</f>
        <v>1.8389599999999999</v>
      </c>
      <c r="K99" s="20">
        <f>VLOOKUP(A99,All!A:AM,39,0)</f>
        <v>67.703703703703709</v>
      </c>
      <c r="L99" s="20">
        <f>VLOOKUP(A99,All!A:AM,38,0)</f>
        <v>2.2850000000000001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1</v>
      </c>
      <c r="S99" s="323"/>
    </row>
    <row r="100" spans="1:19">
      <c r="A100" s="35" t="s">
        <v>116</v>
      </c>
      <c r="B100" s="41" t="str">
        <f>VLOOKUP(A100,All!A:AM,2,0)</f>
        <v>SCOTLAND</v>
      </c>
      <c r="C100" s="42">
        <f>VLOOKUP(A100,All!A:AM,11,0)</f>
        <v>44431.5</v>
      </c>
      <c r="D100" s="5"/>
      <c r="E100" s="17">
        <f>VLOOKUP(A100,All!A:AM,30,0)</f>
        <v>18.666666666666668</v>
      </c>
      <c r="F100" s="17">
        <f>VLOOKUP(A100,All!A:AM,28,0)</f>
        <v>3.052</v>
      </c>
      <c r="G100" s="17">
        <f>VLOOKUP(A100,All!A:AM,31,0)</f>
        <v>-19.024390243902442</v>
      </c>
      <c r="H100" s="17">
        <f>VLOOKUP(A100,All!A:AM,29,0)</f>
        <v>-2.1255000000000002</v>
      </c>
      <c r="I100" s="6">
        <f>VLOOKUP(A100,All!A:AM,33,0)</f>
        <v>7.8371035706365051</v>
      </c>
      <c r="J100" s="6">
        <f>VLOOKUP(A100,All!A:AM,32,0)</f>
        <v>1.1308</v>
      </c>
      <c r="K100" s="20">
        <f>VLOOKUP(A100,All!A:AM,39,0)</f>
        <v>-77.306666666666672</v>
      </c>
      <c r="L100" s="20">
        <f>VLOOKUP(A100,All!A:AM,38,0)</f>
        <v>-5.798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0</v>
      </c>
      <c r="S100" s="323"/>
    </row>
    <row r="101" spans="1:19">
      <c r="A101" s="38" t="s">
        <v>117</v>
      </c>
      <c r="B101" s="41" t="str">
        <f>VLOOKUP(A101,All!A:AM,2,0)</f>
        <v>SCOTLAND</v>
      </c>
      <c r="C101" s="42">
        <f>VLOOKUP(A101,All!A:AM,11,0)</f>
        <v>45600</v>
      </c>
      <c r="D101" s="5"/>
      <c r="E101" s="17">
        <f>VLOOKUP(A101,All!A:AM,30,0)</f>
        <v>69.750195160031225</v>
      </c>
      <c r="F101" s="17">
        <f>VLOOKUP(A101,All!A:AM,28,0)</f>
        <v>54.539239999999999</v>
      </c>
      <c r="G101" s="17">
        <f>VLOOKUP(A101,All!A:AM,31,0)</f>
        <v>56.311656935776114</v>
      </c>
      <c r="H101" s="17">
        <f>VLOOKUP(A101,All!A:AM,29,0)</f>
        <v>30.487300000000001</v>
      </c>
      <c r="I101" s="6">
        <f>VLOOKUP(A101,All!A:AM,33,0)</f>
        <v>66.736139237658165</v>
      </c>
      <c r="J101" s="6">
        <f>VLOOKUP(A101,All!A:AM,32,0)</f>
        <v>47.454200000000199</v>
      </c>
      <c r="K101" s="20">
        <f>VLOOKUP(A101,All!A:AM,39,0)</f>
        <v>77.473333333333343</v>
      </c>
      <c r="L101" s="20">
        <f>VLOOKUP(A101,All!A:AM,38,0)</f>
        <v>81.347000000000008</v>
      </c>
      <c r="M101" s="96">
        <f>VLOOKUP(A101,'SYS Allocations'!A:G,2,0)</f>
        <v>0</v>
      </c>
      <c r="N101" s="96" t="str">
        <f>VLOOKUP(A101,'SYS Allocations'!A:G,3,0)</f>
        <v>RA</v>
      </c>
      <c r="O101" s="96" t="str">
        <f>VLOOKUP(A101,'SYS Allocations'!A:G,4,0)</f>
        <v>PX</v>
      </c>
      <c r="P101" s="96">
        <f>VLOOKUP(A101,'SYS Allocations'!A:G,5,0)</f>
        <v>0</v>
      </c>
      <c r="Q101" s="96" t="str">
        <f>VLOOKUP(A101,'SYS Allocations'!A:G,6,0)</f>
        <v>OPEX</v>
      </c>
      <c r="R101" s="12">
        <f>VLOOKUP(A101,'SYS Allocations'!A:G,7,0)</f>
        <v>22.45</v>
      </c>
      <c r="S101" s="323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45600</v>
      </c>
      <c r="D102" s="5"/>
      <c r="E102" s="17">
        <f>VLOOKUP(A102,All!A:AM,30,0)</f>
        <v>67.659194825471175</v>
      </c>
      <c r="F102" s="17">
        <f>VLOOKUP(A102,All!A:AM,28,0)</f>
        <v>52.904240000000001</v>
      </c>
      <c r="G102" s="17">
        <f>VLOOKUP(A102,All!A:AM,31,0)</f>
        <v>53.291725387557875</v>
      </c>
      <c r="H102" s="17">
        <f>VLOOKUP(A102,All!A:AM,29,0)</f>
        <v>28.8523</v>
      </c>
      <c r="I102" s="6">
        <f>VLOOKUP(A102,All!A:AM,33,0)</f>
        <v>64.436794023671396</v>
      </c>
      <c r="J102" s="6">
        <f>VLOOKUP(A102,All!A:AM,32,0)</f>
        <v>45.819200000000201</v>
      </c>
      <c r="K102" s="20">
        <f>VLOOKUP(A102,All!A:AM,39,0)</f>
        <v>75.916190476190479</v>
      </c>
      <c r="L102" s="20">
        <f>VLOOKUP(A102,All!A:AM,38,0)</f>
        <v>79.712000000000003</v>
      </c>
      <c r="M102" s="96">
        <f>VLOOKUP(A102,'SYS Allocations'!A:G,2,0)</f>
        <v>0</v>
      </c>
      <c r="N102" s="96">
        <f>VLOOKUP(A102,'SYS Allocations'!A:G,3,0)</f>
        <v>0</v>
      </c>
      <c r="O102" s="96">
        <f>VLOOKUP(A102,'SYS Allocations'!A:G,4,0)</f>
        <v>0</v>
      </c>
      <c r="P102" s="96">
        <f>VLOOKUP(A102,'SYS Allocations'!A:G,5,0)</f>
        <v>0</v>
      </c>
      <c r="Q102" s="96">
        <f>VLOOKUP(A102,'SYS Allocations'!A:G,6,0)</f>
        <v>0</v>
      </c>
      <c r="R102" s="12">
        <f>VLOOKUP(A102,'SYS Allocations'!A:G,7,0)</f>
        <v>23.05</v>
      </c>
      <c r="S102" s="323"/>
    </row>
    <row r="103" spans="1:19">
      <c r="A103" s="37" t="s">
        <v>119</v>
      </c>
      <c r="B103" s="41" t="str">
        <f>VLOOKUP(A103,All!A:AM,2,0)</f>
        <v>SCOTLAND</v>
      </c>
      <c r="C103" s="42">
        <f>VLOOKUP(A103,All!A:AM,11,0)</f>
        <v>45600</v>
      </c>
      <c r="D103" s="19"/>
      <c r="E103" s="17">
        <f>VLOOKUP(A103,All!A:AM,30,0)</f>
        <v>66.51339464214314</v>
      </c>
      <c r="F103" s="17">
        <f>VLOOKUP(A103,All!A:AM,28,0)</f>
        <v>43.517159999999997</v>
      </c>
      <c r="G103" s="17">
        <f>VLOOKUP(A103,All!A:AM,31,0)</f>
        <v>60.319810482676928</v>
      </c>
      <c r="H103" s="17">
        <f>VLOOKUP(A103,All!A:AM,29,0)</f>
        <v>33.304949999999998</v>
      </c>
      <c r="I103" s="6">
        <f>VLOOKUP(A103,All!A:AM,33,0)</f>
        <v>49.385950321579067</v>
      </c>
      <c r="J103" s="6">
        <f>VLOOKUP(A103,All!A:AM,32,0)</f>
        <v>21.377400000000002</v>
      </c>
      <c r="K103" s="334">
        <f>VLOOKUP(A103,All!A:AM,39,0)</f>
        <v>7.7133333333333303</v>
      </c>
      <c r="L103" s="334">
        <f>VLOOKUP(A103,All!A:AM,38,0)</f>
        <v>5.2064999999999984</v>
      </c>
      <c r="M103" s="96" t="str">
        <f>VLOOKUP(A103,'SYS Allocations'!A:G,2,0)</f>
        <v>P-Core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7.7515000000000001</v>
      </c>
      <c r="S103" s="323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45600</v>
      </c>
      <c r="D104" s="19"/>
      <c r="E104" s="17">
        <f>VLOOKUP(A104,All!A:AM,30,0)</f>
        <v>38.274690123950421</v>
      </c>
      <c r="F104" s="17">
        <f>VLOOKUP(A104,All!A:AM,28,0)</f>
        <v>25.04166</v>
      </c>
      <c r="G104" s="17">
        <f>VLOOKUP(A104,All!A:AM,31,0)</f>
        <v>26.858158128516433</v>
      </c>
      <c r="H104" s="17">
        <f>VLOOKUP(A104,All!A:AM,29,0)</f>
        <v>14.82945</v>
      </c>
      <c r="I104" s="6">
        <f>VLOOKUP(A104,All!A:AM,33,0)</f>
        <v>6.7039532047017074</v>
      </c>
      <c r="J104" s="6">
        <f>VLOOKUP(A104,All!A:AM,32,0)</f>
        <v>2.9018999999999999</v>
      </c>
      <c r="K104" s="335"/>
      <c r="L104" s="335"/>
      <c r="M104" s="96">
        <f>VLOOKUP(A104,'SYS Allocations'!A:G,2,0)</f>
        <v>0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3"/>
    </row>
    <row r="105" spans="1:19">
      <c r="A105" s="35" t="s">
        <v>121</v>
      </c>
      <c r="B105" s="41" t="str">
        <f>VLOOKUP(A105,All!A:AM,2,0)</f>
        <v>SCOTLAND</v>
      </c>
      <c r="C105" s="42">
        <f>VLOOKUP(A105,All!A:AM,11,0)</f>
        <v>44564.340277777803</v>
      </c>
      <c r="D105" s="5"/>
      <c r="E105" s="17">
        <f>VLOOKUP(A105,All!A:AM,30,0)</f>
        <v>46.666666666666664</v>
      </c>
      <c r="F105" s="17">
        <f>VLOOKUP(A105,All!A:AM,28,0)</f>
        <v>2.2890000000000001</v>
      </c>
      <c r="G105" s="17">
        <f>VLOOKUP(A105,All!A:AM,31,0)</f>
        <v>54.929577464788736</v>
      </c>
      <c r="H105" s="17">
        <f>VLOOKUP(A105,All!A:AM,29,0)</f>
        <v>3.18825</v>
      </c>
      <c r="I105" s="6">
        <f>VLOOKUP(A105,All!A:AM,33,0)</f>
        <v>49.537037037037031</v>
      </c>
      <c r="J105" s="6">
        <f>VLOOKUP(A105,All!A:AM,32,0)</f>
        <v>2.5680000000000001</v>
      </c>
      <c r="K105" s="20">
        <f>VLOOKUP(A105,All!A:AM,39,0)</f>
        <v>47.940298507462686</v>
      </c>
      <c r="L105" s="20">
        <f>VLOOKUP(A105,All!A:AM,38,0)</f>
        <v>2.4090000000000003</v>
      </c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1</v>
      </c>
      <c r="S105" s="323"/>
    </row>
    <row r="106" spans="1:19">
      <c r="A106" s="35" t="s">
        <v>122</v>
      </c>
      <c r="B106" s="41" t="str">
        <f>VLOOKUP(A106,All!A:AM,2,0)</f>
        <v>MIDLANDS</v>
      </c>
      <c r="C106" s="42">
        <f>VLOOKUP(A106,All!A:AM,11,0)</f>
        <v>45600</v>
      </c>
      <c r="D106" s="5"/>
      <c r="E106" s="17">
        <f>VLOOKUP(A106,All!A:AM,30,0)</f>
        <v>79.508196721311464</v>
      </c>
      <c r="F106" s="17">
        <f>VLOOKUP(A106,All!A:AM,28,0)</f>
        <v>10.150080000000001</v>
      </c>
      <c r="G106" s="17">
        <f>VLOOKUP(A106,All!A:AM,31,0)</f>
        <v>72.382048331415419</v>
      </c>
      <c r="H106" s="17">
        <f>VLOOKUP(A106,All!A:AM,29,0)</f>
        <v>6.8560999999999996</v>
      </c>
      <c r="I106" s="6">
        <f>VLOOKUP(A106,All!A:AM,33,0)</f>
        <v>74.121557454890592</v>
      </c>
      <c r="J106" s="6">
        <f>VLOOKUP(A106,All!A:AM,32,0)</f>
        <v>7.4927999999999804</v>
      </c>
      <c r="K106" s="20">
        <f>VLOOKUP(A106,All!A:AM,39,0)</f>
        <v>76.74666666666667</v>
      </c>
      <c r="L106" s="20">
        <f>VLOOKUP(A106,All!A:AM,38,0)</f>
        <v>8.6340000000000003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3"/>
    </row>
    <row r="107" spans="1:19">
      <c r="A107" s="35" t="s">
        <v>123</v>
      </c>
      <c r="B107" s="41" t="str">
        <f>VLOOKUP(A107,All!A:AM,2,0)</f>
        <v>SOUTH WEST</v>
      </c>
      <c r="C107" s="42">
        <f>VLOOKUP(A107,All!A:AM,11,0)</f>
        <v>44419.5</v>
      </c>
      <c r="D107" s="5"/>
      <c r="E107" s="17">
        <f>VLOOKUP(A107,All!A:AM,30,0)</f>
        <v>59.819993571198978</v>
      </c>
      <c r="F107" s="17">
        <f>VLOOKUP(A107,All!A:AM,28,0)</f>
        <v>16.227920000000001</v>
      </c>
      <c r="G107" s="17">
        <f>VLOOKUP(A107,All!A:AM,31,0)</f>
        <v>42.889777270131354</v>
      </c>
      <c r="H107" s="17">
        <f>VLOOKUP(A107,All!A:AM,29,0)</f>
        <v>8.1859000000000002</v>
      </c>
      <c r="I107" s="6">
        <f>VLOOKUP(A107,All!A:AM,33,0)</f>
        <v>52.572403230297972</v>
      </c>
      <c r="J107" s="6">
        <f>VLOOKUP(A107,All!A:AM,32,0)</f>
        <v>12.0824</v>
      </c>
      <c r="K107" s="20">
        <f>VLOOKUP(A107,All!A:AM,39,0)</f>
        <v>78.308457711442799</v>
      </c>
      <c r="L107" s="20">
        <f>VLOOKUP(A107,All!A:AM,38,0)</f>
        <v>39.35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3</v>
      </c>
      <c r="S107" s="323"/>
    </row>
    <row r="108" spans="1:19">
      <c r="A108" s="38" t="s">
        <v>124</v>
      </c>
      <c r="B108" s="41" t="str">
        <f>VLOOKUP(A108,All!A:AM,2,0)</f>
        <v>SOUTH WEST</v>
      </c>
      <c r="C108" s="42">
        <f>VLOOKUP(A108,All!A:AM,11,0)</f>
        <v>45048</v>
      </c>
      <c r="D108" s="5"/>
      <c r="E108" s="17">
        <f>VLOOKUP(A108,All!A:AM,30,0)</f>
        <v>97.040072859744996</v>
      </c>
      <c r="F108" s="17">
        <f>VLOOKUP(A108,All!A:AM,28,0)</f>
        <v>23.227900000000002</v>
      </c>
      <c r="G108" s="17">
        <f>VLOOKUP(A108,All!A:AM,31,0)</f>
        <v>96.231884057971016</v>
      </c>
      <c r="H108" s="17">
        <f>VLOOKUP(A108,All!A:AM,29,0)</f>
        <v>18.094000000000001</v>
      </c>
      <c r="I108" s="6">
        <f>VLOOKUP(A108,All!A:AM,33,0)</f>
        <v>95.93040621266428</v>
      </c>
      <c r="J108" s="6">
        <f>VLOOKUP(A108,All!A:AM,32,0)</f>
        <v>16.7011</v>
      </c>
      <c r="K108" s="334">
        <f>VLOOKUP(A108,All!A:AM,39,0)</f>
        <v>97.397014925373142</v>
      </c>
      <c r="L108" s="334">
        <f>VLOOKUP(A108,All!A:AM,38,0)</f>
        <v>48.942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 t="str">
        <f>VLOOKUP(A108,'SYS Allocations'!A:G,5,0)</f>
        <v>AM</v>
      </c>
      <c r="Q108" s="96">
        <f>VLOOKUP(A108,'SYS Allocations'!A:G,6,0)</f>
        <v>0</v>
      </c>
      <c r="R108" s="12">
        <f>VLOOKUP(A108,'SYS Allocations'!A:G,7,0)</f>
        <v>5.8</v>
      </c>
      <c r="S108" s="323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97.495446265938071</v>
      </c>
      <c r="F109" s="17">
        <f>VLOOKUP(A109,All!A:AM,28,0)</f>
        <v>23.3369</v>
      </c>
      <c r="G109" s="17">
        <f>VLOOKUP(A109,All!A:AM,31,0)</f>
        <v>96.811594202898547</v>
      </c>
      <c r="H109" s="17">
        <f>VLOOKUP(A109,All!A:AM,29,0)</f>
        <v>18.202999999999999</v>
      </c>
      <c r="I109" s="6">
        <f>VLOOKUP(A109,All!A:AM,33,0)</f>
        <v>96.556497564562065</v>
      </c>
      <c r="J109" s="6">
        <f>VLOOKUP(A109,All!A:AM,32,0)</f>
        <v>16.810099999999998</v>
      </c>
      <c r="K109" s="335"/>
      <c r="L109" s="335"/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>
        <f>VLOOKUP(A109,'SYS Allocations'!A:G,5,0)</f>
        <v>0</v>
      </c>
      <c r="Q109" s="96">
        <f>VLOOKUP(A109,'SYS Allocations'!A:G,6,0)</f>
        <v>0</v>
      </c>
      <c r="R109" s="12">
        <f>VLOOKUP(A109,'SYS Allocations'!A:G,7,0)</f>
        <v>5.8</v>
      </c>
      <c r="S109" s="323"/>
    </row>
    <row r="110" spans="1:19">
      <c r="A110" s="35" t="s">
        <v>126</v>
      </c>
      <c r="B110" s="41" t="str">
        <f>VLOOKUP(A110,All!A:AM,2,0)</f>
        <v>SOUTH EAST</v>
      </c>
      <c r="C110" s="42">
        <f>VLOOKUP(A110,All!A:AM,11,0)</f>
        <v>44286.375</v>
      </c>
      <c r="D110" s="5"/>
      <c r="E110" s="17">
        <f>VLOOKUP(A110,All!A:AM,30,0)</f>
        <v>73.935864250790914</v>
      </c>
      <c r="F110" s="17">
        <f>VLOOKUP(A110,All!A:AM,28,0)</f>
        <v>22.41694</v>
      </c>
      <c r="G110" s="17">
        <f>VLOOKUP(A110,All!A:AM,31,0)</f>
        <v>63.328275164390497</v>
      </c>
      <c r="H110" s="17">
        <f>VLOOKUP(A110,All!A:AM,29,0)</f>
        <v>13.646800000000001</v>
      </c>
      <c r="I110" s="6">
        <f>VLOOKUP(A110,All!A:AM,33,0)</f>
        <v>70.351986913980426</v>
      </c>
      <c r="J110" s="6">
        <f>VLOOKUP(A110,All!A:AM,32,0)</f>
        <v>18.751899999999999</v>
      </c>
      <c r="K110" s="20">
        <f>VLOOKUP(A110,All!A:AM,39,0)</f>
        <v>64.87777777777778</v>
      </c>
      <c r="L110" s="20">
        <f>VLOOKUP(A110,All!A:AM,38,0)</f>
        <v>14.5975</v>
      </c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0</v>
      </c>
      <c r="S110" s="323"/>
    </row>
    <row r="111" spans="1:19">
      <c r="A111" s="35" t="s">
        <v>127</v>
      </c>
      <c r="B111" s="41" t="str">
        <f>VLOOKUP(A111,All!A:AM,2,0)</f>
        <v>NORTH EAST</v>
      </c>
      <c r="C111" s="42">
        <f>VLOOKUP(A111,All!A:AM,11,0)</f>
        <v>44700.395833333299</v>
      </c>
      <c r="D111" s="5"/>
      <c r="E111" s="17">
        <f>VLOOKUP(A111,All!A:AM,30,0)</f>
        <v>85.227272727272734</v>
      </c>
      <c r="F111" s="17">
        <f>VLOOKUP(A111,All!A:AM,28,0)</f>
        <v>4.0875000000000004</v>
      </c>
      <c r="G111" s="17">
        <f>VLOOKUP(A111,All!A:AM,31,0)</f>
        <v>81.428571428571431</v>
      </c>
      <c r="H111" s="17">
        <f>VLOOKUP(A111,All!A:AM,29,0)</f>
        <v>3.1065</v>
      </c>
      <c r="I111" s="6">
        <f>VLOOKUP(A111,All!A:AM,33,0)</f>
        <v>81.192129629629619</v>
      </c>
      <c r="J111" s="6">
        <f>VLOOKUP(A111,All!A:AM,32,0)</f>
        <v>3.0585399999999998</v>
      </c>
      <c r="K111" s="20">
        <f>VLOOKUP(A111,All!A:AM,39,0)</f>
        <v>85.900497512437809</v>
      </c>
      <c r="L111" s="20">
        <f>VLOOKUP(A111,All!A:AM,38,0)</f>
        <v>4.3165000000000004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3"/>
    </row>
    <row r="112" spans="1:19">
      <c r="A112" s="35" t="s">
        <v>128</v>
      </c>
      <c r="B112" s="41" t="str">
        <f>VLOOKUP(A112,All!A:AM,2,0)</f>
        <v>THAMES VALLEY</v>
      </c>
      <c r="C112" s="42">
        <f>VLOOKUP(A112,All!A:AM,11,0)</f>
        <v>45600</v>
      </c>
      <c r="D112" s="5"/>
      <c r="E112" s="17">
        <f>VLOOKUP(A112,All!A:AM,30,0)</f>
        <v>71.539162112932601</v>
      </c>
      <c r="F112" s="17">
        <f>VLOOKUP(A112,All!A:AM,28,0)</f>
        <v>6.8495600000000003</v>
      </c>
      <c r="G112" s="17">
        <f>VLOOKUP(A112,All!A:AM,31,0)</f>
        <v>67.866323907455012</v>
      </c>
      <c r="H112" s="17">
        <f>VLOOKUP(A112,All!A:AM,29,0)</f>
        <v>5.7552000000000003</v>
      </c>
      <c r="I112" s="6">
        <f>VLOOKUP(A112,All!A:AM,33,0)</f>
        <v>65.111336447066577</v>
      </c>
      <c r="J112" s="6">
        <f>VLOOKUP(A112,All!A:AM,32,0)</f>
        <v>5.0855600000000099</v>
      </c>
      <c r="K112" s="20">
        <f>VLOOKUP(A112,All!A:AM,39,0)</f>
        <v>75.777777777777786</v>
      </c>
      <c r="L112" s="20">
        <f>VLOOKUP(A112,All!A:AM,38,0)</f>
        <v>8.5250000000000004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3"/>
    </row>
    <row r="113" spans="1:19">
      <c r="A113" s="37" t="s">
        <v>129</v>
      </c>
      <c r="B113" s="41" t="str">
        <f>VLOOKUP(A113,All!A:AM,2,0)</f>
        <v>SOUTH WEST</v>
      </c>
      <c r="C113" s="42">
        <f>VLOOKUP(A113,All!A:AM,11,0)</f>
        <v>45600</v>
      </c>
      <c r="D113" s="5"/>
      <c r="E113" s="17">
        <f>VLOOKUP(A113,All!A:AM,30,0)</f>
        <v>95.580199292831892</v>
      </c>
      <c r="F113" s="17">
        <f>VLOOKUP(A113,All!A:AM,28,0)</f>
        <v>25.928920000000002</v>
      </c>
      <c r="G113" s="17">
        <f>VLOOKUP(A113,All!A:AM,31,0)</f>
        <v>94.739359158297475</v>
      </c>
      <c r="H113" s="17">
        <f>VLOOKUP(A113,All!A:AM,29,0)</f>
        <v>21.5929</v>
      </c>
      <c r="I113" s="6">
        <f>VLOOKUP(A113,All!A:AM,33,0)</f>
        <v>93.112995129124158</v>
      </c>
      <c r="J113" s="6">
        <f>VLOOKUP(A113,All!A:AM,32,0)</f>
        <v>16.210599999999999</v>
      </c>
      <c r="K113" s="20">
        <f>VLOOKUP(A113,All!A:AM,39,0)</f>
        <v>97.287111111111102</v>
      </c>
      <c r="L113" s="20">
        <f>VLOOKUP(A113,All!A:AM,38,0)</f>
        <v>109.44799999999999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 t="str">
        <f>VLOOKUP(A113,'SYS Allocations'!A:G,5,0)</f>
        <v>AM</v>
      </c>
      <c r="Q113" s="96">
        <f>VLOOKUP(A113,'SYS Allocations'!A:G,6,0)</f>
        <v>0</v>
      </c>
      <c r="R113" s="12">
        <f>VLOOKUP(A113,'SYS Allocations'!A:G,7,0)</f>
        <v>6.3</v>
      </c>
      <c r="S113" s="323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45600</v>
      </c>
      <c r="D114" s="5"/>
      <c r="E114" s="17">
        <f>VLOOKUP(A114,All!A:AM,30,0)</f>
        <v>93.169398907103826</v>
      </c>
      <c r="F114" s="17">
        <f>VLOOKUP(A114,All!A:AM,28,0)</f>
        <v>25.274920000000002</v>
      </c>
      <c r="G114" s="17">
        <f>VLOOKUP(A114,All!A:AM,31,0)</f>
        <v>91.869918699186996</v>
      </c>
      <c r="H114" s="17">
        <f>VLOOKUP(A114,All!A:AM,29,0)</f>
        <v>20.9389</v>
      </c>
      <c r="I114" s="6">
        <f>VLOOKUP(A114,All!A:AM,33,0)</f>
        <v>89.356447017737338</v>
      </c>
      <c r="J114" s="6">
        <f>VLOOKUP(A114,All!A:AM,32,0)</f>
        <v>15.5566</v>
      </c>
      <c r="K114" s="20">
        <f>VLOOKUP(A114,All!A:AM,39,0)</f>
        <v>0</v>
      </c>
      <c r="L114" s="20">
        <f>VLOOKUP(A114,All!A:AM,38,0)</f>
        <v>0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>
        <f>VLOOKUP(A114,'SYS Allocations'!A:G,5,0)</f>
        <v>0</v>
      </c>
      <c r="Q114" s="96">
        <f>VLOOKUP(A114,'SYS Allocations'!A:G,6,0)</f>
        <v>0</v>
      </c>
      <c r="R114" s="12">
        <f>VLOOKUP(A114,'SYS Allocations'!A:G,7,0)</f>
        <v>6.3</v>
      </c>
      <c r="S114" s="323"/>
    </row>
    <row r="115" spans="1:19">
      <c r="A115" s="35" t="s">
        <v>131</v>
      </c>
      <c r="B115" s="41" t="str">
        <f>VLOOKUP(A115,All!A:AM,2,0)</f>
        <v>SOUTH WEST</v>
      </c>
      <c r="C115" s="42">
        <f>VLOOKUP(A115,All!A:AM,11,0)</f>
        <v>45600</v>
      </c>
      <c r="D115" s="5"/>
      <c r="E115" s="17">
        <f>VLOOKUP(A115,All!A:AM,30,0)</f>
        <v>58.861152508693486</v>
      </c>
      <c r="F115" s="17">
        <f>VLOOKUP(A115,All!A:AM,28,0)</f>
        <v>20.66422</v>
      </c>
      <c r="G115" s="17">
        <f>VLOOKUP(A115,All!A:AM,31,0)</f>
        <v>34.60019743336624</v>
      </c>
      <c r="H115" s="17">
        <f>VLOOKUP(A115,All!A:AM,29,0)</f>
        <v>7.6409000000000002</v>
      </c>
      <c r="I115" s="6">
        <f>VLOOKUP(A115,All!A:AM,33,0)</f>
        <v>59.378234552900409</v>
      </c>
      <c r="J115" s="6">
        <f>VLOOKUP(A115,All!A:AM,32,0)</f>
        <v>21.1111</v>
      </c>
      <c r="K115" s="20">
        <f>VLOOKUP(A115,All!A:AM,39,0)</f>
        <v>67.905555555555551</v>
      </c>
      <c r="L115" s="20">
        <f>VLOOKUP(A115,All!A:AM,38,0)</f>
        <v>30.557499999999997</v>
      </c>
      <c r="M115" s="96">
        <f>VLOOKUP(A115,'SYS Allocations'!A:G,2,0)</f>
        <v>0</v>
      </c>
      <c r="N115" s="96" t="str">
        <f>VLOOKUP(A115,'SYS Allocations'!A:G,3,0)</f>
        <v>RA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3.9</v>
      </c>
      <c r="S115" s="323"/>
    </row>
    <row r="116" spans="1:19">
      <c r="A116" s="257" t="s">
        <v>132</v>
      </c>
      <c r="B116" s="41" t="str">
        <f>VLOOKUP(A116,All!A:AM,2,0)</f>
        <v>SOUTH</v>
      </c>
      <c r="C116" s="42">
        <f>VLOOKUP(A116,All!A:AM,11,0)</f>
        <v>45600</v>
      </c>
      <c r="D116" s="5"/>
      <c r="E116" s="17">
        <f>VLOOKUP(A116,All!A:AM,30,0)</f>
        <v>76.50939624150341</v>
      </c>
      <c r="F116" s="17">
        <f>VLOOKUP(A116,All!A:AM,28,0)</f>
        <v>50.057160000000003</v>
      </c>
      <c r="G116" s="17">
        <f>VLOOKUP(A116,All!A:AM,31,0)</f>
        <v>68.687541638907405</v>
      </c>
      <c r="H116" s="17">
        <f>VLOOKUP(A116,All!A:AM,29,0)</f>
        <v>33.713700000000003</v>
      </c>
      <c r="I116" s="6">
        <f>VLOOKUP(A116,All!A:AM,33,0)</f>
        <v>71.181539984699157</v>
      </c>
      <c r="J116" s="6">
        <f>VLOOKUP(A116,All!A:AM,32,0)</f>
        <v>37.961399999999998</v>
      </c>
      <c r="K116" s="334">
        <f>VLOOKUP(A116,All!A:AM,39,0)</f>
        <v>78.260555555555555</v>
      </c>
      <c r="L116" s="334">
        <f>VLOOKUP(A116,All!A:AM,38,0)</f>
        <v>140.869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6.8999999999999995</v>
      </c>
      <c r="S116" s="323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45600</v>
      </c>
      <c r="D117" s="19"/>
      <c r="E117" s="17">
        <f>VLOOKUP(A117,All!A:AM,30,0)</f>
        <v>63.681194188991071</v>
      </c>
      <c r="F117" s="17">
        <f>VLOOKUP(A117,All!A:AM,28,0)</f>
        <v>41.664160000000003</v>
      </c>
      <c r="G117" s="17">
        <f>VLOOKUP(A117,All!A:AM,31,0)</f>
        <v>51.587830335331994</v>
      </c>
      <c r="H117" s="17">
        <f>VLOOKUP(A117,All!A:AM,29,0)</f>
        <v>25.320699999999999</v>
      </c>
      <c r="I117" s="6">
        <f>VLOOKUP(A117,All!A:AM,33,0)</f>
        <v>55.443799408967493</v>
      </c>
      <c r="J117" s="6">
        <f>VLOOKUP(A117,All!A:AM,32,0)</f>
        <v>29.5684</v>
      </c>
      <c r="K117" s="335"/>
      <c r="L117" s="335"/>
      <c r="M117" s="96">
        <f>VLOOKUP(A117,'SYS Allocations'!A:G,2,0)</f>
        <v>0</v>
      </c>
      <c r="N117" s="96">
        <f>VLOOKUP(A117,'SYS Allocations'!A:G,3,0)</f>
        <v>0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6.8999999999999995</v>
      </c>
      <c r="S117" s="323"/>
    </row>
    <row r="118" spans="1:19">
      <c r="A118" s="37" t="s">
        <v>134</v>
      </c>
      <c r="B118" s="41" t="str">
        <f>VLOOKUP(A118,All!A:AM,2,0)</f>
        <v>SCOTLAND</v>
      </c>
      <c r="C118" s="42">
        <f>VLOOKUP(A118,All!A:AM,11,0)</f>
        <v>45600</v>
      </c>
      <c r="D118" s="19"/>
      <c r="E118" s="17">
        <f>VLOOKUP(A118,All!A:AM,30,0)</f>
        <v>42.584287039901014</v>
      </c>
      <c r="F118" s="17">
        <f>VLOOKUP(A118,All!A:AM,28,0)</f>
        <v>36.015779999999999</v>
      </c>
      <c r="G118" s="17">
        <f>VLOOKUP(A118,All!A:AM,31,0)</f>
        <v>21.828390945779958</v>
      </c>
      <c r="H118" s="17">
        <f>VLOOKUP(A118,All!A:AM,29,0)</f>
        <v>13.5596</v>
      </c>
      <c r="I118" s="6">
        <f>VLOOKUP(A118,All!A:AM,33,0)</f>
        <v>31.709447144593145</v>
      </c>
      <c r="J118" s="6">
        <f>VLOOKUP(A118,All!A:AM,32,0)</f>
        <v>22.547700000000201</v>
      </c>
      <c r="K118" s="334">
        <f>VLOOKUP(A118,All!A:AM,39,0)</f>
        <v>12.436666666666664</v>
      </c>
      <c r="L118" s="334">
        <f>VLOOKUP(A118,All!A:AM,38,0)</f>
        <v>11.192999999999998</v>
      </c>
      <c r="M118" s="96" t="str">
        <f>VLOOKUP(A118,'SYS Allocations'!A:G,2,0)</f>
        <v>P-Core</v>
      </c>
      <c r="N118" s="96" t="str">
        <f>VLOOKUP(A118,'SYS Allocations'!A:G,3,0)</f>
        <v>RA</v>
      </c>
      <c r="O118" s="96" t="str">
        <f>VLOOKUP(A118,'SYS Allocations'!A:G,4,0)</f>
        <v>PX</v>
      </c>
      <c r="P118" s="96">
        <f>VLOOKUP(A118,'SYS Allocations'!A:G,5,0)</f>
        <v>0</v>
      </c>
      <c r="Q118" s="96" t="str">
        <f>VLOOKUP(A118,'SYS Allocations'!A:G,6,0)</f>
        <v>OPEX</v>
      </c>
      <c r="R118" s="12">
        <f>VLOOKUP(A118,'SYS Allocations'!A:G,7,0)</f>
        <v>12.099999999999998</v>
      </c>
      <c r="S118" s="323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45600</v>
      </c>
      <c r="D119" s="19"/>
      <c r="E119" s="17">
        <f>VLOOKUP(A119,All!A:AM,30,0)</f>
        <v>64.236003711722844</v>
      </c>
      <c r="F119" s="17">
        <f>VLOOKUP(A119,All!A:AM,28,0)</f>
        <v>54.327779999999997</v>
      </c>
      <c r="G119" s="17">
        <f>VLOOKUP(A119,All!A:AM,31,0)</f>
        <v>51.307246885418493</v>
      </c>
      <c r="H119" s="17">
        <f>VLOOKUP(A119,All!A:AM,29,0)</f>
        <v>31.871600000000001</v>
      </c>
      <c r="I119" s="6">
        <f>VLOOKUP(A119,All!A:AM,33,0)</f>
        <v>57.462113541244889</v>
      </c>
      <c r="J119" s="6">
        <f>VLOOKUP(A119,All!A:AM,32,0)</f>
        <v>40.859700000000203</v>
      </c>
      <c r="K119" s="335"/>
      <c r="L119" s="335"/>
      <c r="M119" s="96">
        <f>VLOOKUP(A119,'SYS Allocations'!A:G,2,0)</f>
        <v>0</v>
      </c>
      <c r="N119" s="96">
        <f>VLOOKUP(A119,'SYS Allocations'!A:G,3,0)</f>
        <v>0</v>
      </c>
      <c r="O119" s="96">
        <f>VLOOKUP(A119,'SYS Allocations'!A:G,4,0)</f>
        <v>0</v>
      </c>
      <c r="P119" s="96">
        <f>VLOOKUP(A119,'SYS Allocations'!A:G,5,0)</f>
        <v>0</v>
      </c>
      <c r="Q119" s="96">
        <f>VLOOKUP(A119,'SYS Allocations'!A:G,6,0)</f>
        <v>0</v>
      </c>
      <c r="R119" s="12">
        <f>VLOOKUP(A119,'SYS Allocations'!A:G,7,0)</f>
        <v>12.099999999999998</v>
      </c>
      <c r="S119" s="323"/>
    </row>
    <row r="120" spans="1:19">
      <c r="A120" s="35" t="s">
        <v>136</v>
      </c>
      <c r="B120" s="41" t="str">
        <f>VLOOKUP(A120,All!A:AM,2,0)</f>
        <v>SCOTLAND</v>
      </c>
      <c r="C120" s="42">
        <f>VLOOKUP(A120,All!A:AM,11,0)</f>
        <v>45600</v>
      </c>
      <c r="D120" s="5"/>
      <c r="E120" s="17">
        <f>VLOOKUP(A120,All!A:AM,30,0)</f>
        <v>67.364905889496043</v>
      </c>
      <c r="F120" s="17">
        <f>VLOOKUP(A120,All!A:AM,28,0)</f>
        <v>19.349679999999999</v>
      </c>
      <c r="G120" s="17">
        <f>VLOOKUP(A120,All!A:AM,31,0)</f>
        <v>52.062430323299893</v>
      </c>
      <c r="H120" s="17">
        <f>VLOOKUP(A120,All!A:AM,29,0)</f>
        <v>10.1806</v>
      </c>
      <c r="I120" s="6">
        <f>VLOOKUP(A120,All!A:AM,33,0)</f>
        <v>64.831322408307827</v>
      </c>
      <c r="J120" s="6">
        <f>VLOOKUP(A120,All!A:AM,32,0)</f>
        <v>17.2804</v>
      </c>
      <c r="K120" s="20">
        <f>VLOOKUP(A120,All!A:AM,39,0)</f>
        <v>58.337777777777774</v>
      </c>
      <c r="L120" s="20">
        <f>VLOOKUP(A120,All!A:AM,38,0)</f>
        <v>13.125999999999999</v>
      </c>
      <c r="M120" s="96">
        <f>VLOOKUP(A120,'SYS Allocations'!A:G,2,0)</f>
        <v>0</v>
      </c>
      <c r="N120" s="96" t="str">
        <f>VLOOKUP(A120,'SYS Allocations'!A:G,3,0)</f>
        <v>RA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4.4000000000000004</v>
      </c>
      <c r="S120" s="323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45600</v>
      </c>
      <c r="D121" s="5"/>
      <c r="E121" s="17">
        <f>VLOOKUP(A121,All!A:AM,30,0)</f>
        <v>41.136290581806499</v>
      </c>
      <c r="F121" s="17">
        <f>VLOOKUP(A121,All!A:AM,28,0)</f>
        <v>22.318840000000002</v>
      </c>
      <c r="G121" s="17">
        <f>VLOOKUP(A121,All!A:AM,31,0)</f>
        <v>9.0626939788950978</v>
      </c>
      <c r="H121" s="17">
        <f>VLOOKUP(A121,All!A:AM,29,0)</f>
        <v>3.1827999999999999</v>
      </c>
      <c r="I121" s="6">
        <f>VLOOKUP(A121,All!A:AM,33,0)</f>
        <v>40.114831315722363</v>
      </c>
      <c r="J121" s="6">
        <f>VLOOKUP(A121,All!A:AM,32,0)</f>
        <v>21.3934</v>
      </c>
      <c r="K121" s="20">
        <f>VLOOKUP(A121,All!A:AM,39,0)</f>
        <v>49.306349206349203</v>
      </c>
      <c r="L121" s="20">
        <f>VLOOKUP(A121,All!A:AM,38,0)</f>
        <v>31.062999999999999</v>
      </c>
      <c r="M121" s="96">
        <f>VLOOKUP(A121,'SYS Allocations'!A:G,2,0)</f>
        <v>0</v>
      </c>
      <c r="N121" s="96">
        <f>VLOOKUP(A121,'SYS Allocations'!A:G,3,0)</f>
        <v>0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3</v>
      </c>
      <c r="S121" s="323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45600</v>
      </c>
      <c r="D122" s="5"/>
      <c r="E122" s="17">
        <f>VLOOKUP(A122,All!A:AM,30,0)</f>
        <v>76.09289617486337</v>
      </c>
      <c r="F122" s="17">
        <f>VLOOKUP(A122,All!A:AM,28,0)</f>
        <v>2.4285199999999998</v>
      </c>
      <c r="G122" s="17">
        <f>VLOOKUP(A122,All!A:AM,31,0)</f>
        <v>73.684210526315795</v>
      </c>
      <c r="H122" s="17">
        <f>VLOOKUP(A122,All!A:AM,29,0)</f>
        <v>2.1364000000000001</v>
      </c>
      <c r="I122" s="6">
        <f>VLOOKUP(A122,All!A:AM,33,0)</f>
        <v>57.440874609549311</v>
      </c>
      <c r="J122" s="6">
        <f>VLOOKUP(A122,All!A:AM,32,0)</f>
        <v>1.0298</v>
      </c>
      <c r="K122" s="20">
        <f>VLOOKUP(A122,All!A:AM,39,0)</f>
        <v>84.815920398009951</v>
      </c>
      <c r="L122" s="20">
        <f>VLOOKUP(A122,All!A:AM,38,0)</f>
        <v>4.2620000000000005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2.7</v>
      </c>
      <c r="S122" s="323"/>
    </row>
    <row r="123" spans="1:19">
      <c r="A123" s="35" t="s">
        <v>139</v>
      </c>
      <c r="B123" s="41" t="str">
        <f>VLOOKUP(A123,All!A:AM,2,0)</f>
        <v>SOUTH EAST</v>
      </c>
      <c r="C123" s="42">
        <f>VLOOKUP(A123,All!A:AM,11,0)</f>
        <v>45600</v>
      </c>
      <c r="D123" s="5"/>
      <c r="E123" s="17">
        <f>VLOOKUP(A123,All!A:AM,30,0)</f>
        <v>29.523809523809526</v>
      </c>
      <c r="F123" s="17">
        <f>VLOOKUP(A123,All!A:AM,28,0)</f>
        <v>3.379</v>
      </c>
      <c r="G123" s="17">
        <f>VLOOKUP(A123,All!A:AM,31,0)</f>
        <v>20.04321728935334</v>
      </c>
      <c r="H123" s="17">
        <f>VLOOKUP(A123,All!A:AM,29,0)</f>
        <v>2.0219496729999999</v>
      </c>
      <c r="I123" s="6">
        <f>VLOOKUP(A123,All!A:AM,33,0)</f>
        <v>4.2497625830961985</v>
      </c>
      <c r="J123" s="6">
        <f>VLOOKUP(A123,All!A:AM,32,0)</f>
        <v>0.35800000000002502</v>
      </c>
      <c r="K123" s="20">
        <f>VLOOKUP(A123,All!A:AM,39,0)</f>
        <v>32.783333333333331</v>
      </c>
      <c r="L123" s="20">
        <f>VLOOKUP(A123,All!A:AM,38,0)</f>
        <v>3.9339999999999993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0.5</v>
      </c>
      <c r="S123" s="323"/>
    </row>
    <row r="124" spans="1:19">
      <c r="A124" s="35" t="s">
        <v>140</v>
      </c>
      <c r="B124" s="41" t="str">
        <f>VLOOKUP(A124,All!A:AM,2,0)</f>
        <v>NORTHERN HOME COUNTIES</v>
      </c>
      <c r="C124" s="42">
        <f>VLOOKUP(A124,All!A:AM,11,0)</f>
        <v>45111</v>
      </c>
      <c r="D124" s="5"/>
      <c r="E124" s="17">
        <f>VLOOKUP(A124,All!A:AM,30,0)</f>
        <v>52.185792349726775</v>
      </c>
      <c r="F124" s="17">
        <f>VLOOKUP(A124,All!A:AM,28,0)</f>
        <v>14.98968</v>
      </c>
      <c r="G124" s="17">
        <f>VLOOKUP(A124,All!A:AM,31,0)</f>
        <v>23.006416131989003</v>
      </c>
      <c r="H124" s="17">
        <f>VLOOKUP(A124,All!A:AM,29,0)</f>
        <v>4.1038500000000004</v>
      </c>
      <c r="I124" s="6">
        <f>VLOOKUP(A124,All!A:AM,33,0)</f>
        <v>51.277139208173701</v>
      </c>
      <c r="J124" s="6">
        <f>VLOOKUP(A124,All!A:AM,32,0)</f>
        <v>14.454000000000001</v>
      </c>
      <c r="K124" s="20">
        <f>VLOOKUP(A124,All!A:AM,39,0)</f>
        <v>38.96</v>
      </c>
      <c r="L124" s="20">
        <f>VLOOKUP(A124,All!A:AM,38,0)</f>
        <v>8.766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2</v>
      </c>
      <c r="S124" s="323"/>
    </row>
    <row r="125" spans="1:19">
      <c r="A125" s="35" t="s">
        <v>141</v>
      </c>
      <c r="B125" s="41" t="str">
        <f>VLOOKUP(A125,All!A:AM,2,0)</f>
        <v>LONDON</v>
      </c>
      <c r="C125" s="42">
        <f>VLOOKUP(A125,All!A:AM,11,0)</f>
        <v>45600</v>
      </c>
      <c r="D125" s="5"/>
      <c r="E125" s="17">
        <f>VLOOKUP(A125,All!A:AM,30,0)</f>
        <v>46.81889149102264</v>
      </c>
      <c r="F125" s="17">
        <f>VLOOKUP(A125,All!A:AM,28,0)</f>
        <v>5.2298200000000001</v>
      </c>
      <c r="G125" s="17">
        <f>VLOOKUP(A125,All!A:AM,31,0)</f>
        <v>14.976599063962558</v>
      </c>
      <c r="H125" s="17">
        <f>VLOOKUP(A125,All!A:AM,29,0)</f>
        <v>1.0464</v>
      </c>
      <c r="I125" s="6">
        <f>VLOOKUP(A125,All!A:AM,33,0)</f>
        <v>61.971356727302712</v>
      </c>
      <c r="J125" s="6">
        <f>VLOOKUP(A125,All!A:AM,32,0)</f>
        <v>9.6806200000000295</v>
      </c>
      <c r="K125" s="20">
        <f>VLOOKUP(A125,All!A:AM,39,0)</f>
        <v>87.814358974358981</v>
      </c>
      <c r="L125" s="20">
        <f>VLOOKUP(A125,All!A:AM,38,0)</f>
        <v>42.8095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0</v>
      </c>
      <c r="S125" s="323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45600</v>
      </c>
      <c r="D126" s="5"/>
      <c r="E126" s="17">
        <f>VLOOKUP(A126,All!A:AM,30,0)</f>
        <v>46.81889149102264</v>
      </c>
      <c r="F126" s="17">
        <f>VLOOKUP(A126,All!A:AM,28,0)</f>
        <v>5.2298200000000001</v>
      </c>
      <c r="G126" s="17">
        <f>VLOOKUP(A126,All!A:AM,31,0)</f>
        <v>14.976599063962558</v>
      </c>
      <c r="H126" s="17">
        <f>VLOOKUP(A126,All!A:AM,29,0)</f>
        <v>1.0464</v>
      </c>
      <c r="I126" s="6">
        <f>VLOOKUP(A126,All!A:AM,33,0)</f>
        <v>61.971356727302712</v>
      </c>
      <c r="J126" s="6">
        <f>VLOOKUP(A126,All!A:AM,32,0)</f>
        <v>9.6806200000000295</v>
      </c>
      <c r="K126" s="20">
        <f>VLOOKUP(A126,All!A:AM,39,0)</f>
        <v>87.814358974358981</v>
      </c>
      <c r="L126" s="20">
        <f>VLOOKUP(A126,All!A:AM,38,0)</f>
        <v>42.8095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3"/>
    </row>
    <row r="127" spans="1:19">
      <c r="A127" s="35" t="s">
        <v>143</v>
      </c>
      <c r="B127" s="41" t="str">
        <f>VLOOKUP(A127,All!A:AM,2,0)</f>
        <v>ANGLIA</v>
      </c>
      <c r="C127" s="42">
        <f>VLOOKUP(A127,All!A:AM,11,0)</f>
        <v>44880</v>
      </c>
      <c r="D127" s="5"/>
      <c r="E127" s="17">
        <f>VLOOKUP(A127,All!A:AM,30,0)</f>
        <v>57.522199453551906</v>
      </c>
      <c r="F127" s="17">
        <f>VLOOKUP(A127,All!A:AM,28,0)</f>
        <v>14.68666</v>
      </c>
      <c r="G127" s="17">
        <f>VLOOKUP(A127,All!A:AM,31,0)</f>
        <v>52.117420596727619</v>
      </c>
      <c r="H127" s="17">
        <f>VLOOKUP(A127,All!A:AM,29,0)</f>
        <v>11.8047</v>
      </c>
      <c r="I127" s="6">
        <f>VLOOKUP(A127,All!A:AM,33,0)</f>
        <v>24.83435905965846</v>
      </c>
      <c r="J127" s="6">
        <f>VLOOKUP(A127,All!A:AM,32,0)</f>
        <v>3.5832999999999999</v>
      </c>
      <c r="K127" s="20">
        <f>VLOOKUP(A127,All!A:AM,39,0)</f>
        <v>83.932592592592584</v>
      </c>
      <c r="L127" s="20">
        <f>VLOOKUP(A127,All!A:AM,38,0)</f>
        <v>56.654499999999999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1</v>
      </c>
      <c r="S127" s="323"/>
    </row>
    <row r="128" spans="1:19">
      <c r="A128" s="35" t="s">
        <v>144</v>
      </c>
      <c r="B128" s="41" t="str">
        <f>VLOOKUP(A128,All!A:AM,2,0)</f>
        <v>LONDON</v>
      </c>
      <c r="C128" s="42">
        <f>VLOOKUP(A128,All!A:AM,11,0)</f>
        <v>44062</v>
      </c>
      <c r="D128" s="5"/>
      <c r="E128" s="17">
        <f>VLOOKUP(A128,All!A:AM,30,0)</f>
        <v>49.54669647292598</v>
      </c>
      <c r="F128" s="17">
        <f>VLOOKUP(A128,All!A:AM,28,0)</f>
        <v>34.788440000000001</v>
      </c>
      <c r="G128" s="17">
        <f>VLOOKUP(A128,All!A:AM,31,0)</f>
        <v>35.669041963578778</v>
      </c>
      <c r="H128" s="17">
        <f>VLOOKUP(A128,All!A:AM,29,0)</f>
        <v>19.6418</v>
      </c>
      <c r="I128" s="6">
        <f>VLOOKUP(A128,All!A:AM,33,0)</f>
        <v>33.57447159593778</v>
      </c>
      <c r="J128" s="6">
        <f>VLOOKUP(A128,All!A:AM,32,0)</f>
        <v>17.9054</v>
      </c>
      <c r="K128" s="20">
        <f>VLOOKUP(A128,All!A:AM,39,0)</f>
        <v>47.518518518518519</v>
      </c>
      <c r="L128" s="20">
        <f>VLOOKUP(A128,All!A:AM,38,0)</f>
        <v>32.075000000000003</v>
      </c>
      <c r="M128" s="96">
        <f>VLOOKUP(A128,'SYS Allocations'!A:G,2,0)</f>
        <v>0</v>
      </c>
      <c r="N128" s="96" t="str">
        <f>VLOOKUP(A128,'SYS Allocations'!A:G,3,0)</f>
        <v>RA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10.100000000000001</v>
      </c>
      <c r="S128" s="323"/>
    </row>
    <row r="129" spans="1:19">
      <c r="A129" s="35" t="s">
        <v>145</v>
      </c>
      <c r="B129" s="41" t="str">
        <f>VLOOKUP(A129,All!A:AM,2,0)</f>
        <v>NORTH EAST</v>
      </c>
      <c r="C129" s="42">
        <f>VLOOKUP(A129,All!A:AM,11,0)</f>
        <v>44652.541666666701</v>
      </c>
      <c r="D129" s="5"/>
      <c r="E129" s="17">
        <f>VLOOKUP(A129,All!A:AM,30,0)</f>
        <v>62.500000000000007</v>
      </c>
      <c r="F129" s="17">
        <f>VLOOKUP(A129,All!A:AM,28,0)</f>
        <v>8.1750000000000007</v>
      </c>
      <c r="G129" s="17">
        <f>VLOOKUP(A129,All!A:AM,31,0)</f>
        <v>50.276243093922659</v>
      </c>
      <c r="H129" s="17">
        <f>VLOOKUP(A129,All!A:AM,29,0)</f>
        <v>4.9595000000000002</v>
      </c>
      <c r="I129" s="6">
        <f>VLOOKUP(A129,All!A:AM,33,0)</f>
        <v>51.477920227920023</v>
      </c>
      <c r="J129" s="6">
        <f>VLOOKUP(A129,All!A:AM,32,0)</f>
        <v>5.2037999999999798</v>
      </c>
      <c r="K129" s="20">
        <f>VLOOKUP(A129,All!A:AM,39,0)</f>
        <v>45.5</v>
      </c>
      <c r="L129" s="20">
        <f>VLOOKUP(A129,All!A:AM,38,0)</f>
        <v>4.0949999999999998</v>
      </c>
      <c r="M129" s="96">
        <f>VLOOKUP(A129,'SYS Allocations'!A:G,2,0)</f>
        <v>0</v>
      </c>
      <c r="N129" s="96">
        <f>VLOOKUP(A129,'SYS Allocations'!A:G,3,0)</f>
        <v>0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1</v>
      </c>
      <c r="S129" s="323"/>
    </row>
    <row r="130" spans="1:19">
      <c r="A130" s="35" t="s">
        <v>146</v>
      </c>
      <c r="B130" s="41" t="str">
        <f>VLOOKUP(A130,All!A:AM,2,0)</f>
        <v>LONDON</v>
      </c>
      <c r="C130" s="42">
        <f>VLOOKUP(A130,All!A:AM,11,0)</f>
        <v>45600</v>
      </c>
      <c r="D130" s="5"/>
      <c r="E130" s="17">
        <f>VLOOKUP(A130,All!A:AM,30,0)</f>
        <v>43.691326888048202</v>
      </c>
      <c r="F130" s="17">
        <f>VLOOKUP(A130,All!A:AM,28,0)</f>
        <v>27.191140000000001</v>
      </c>
      <c r="G130" s="17">
        <f>VLOOKUP(A130,All!A:AM,31,0)</f>
        <v>22.286681169929899</v>
      </c>
      <c r="H130" s="17">
        <f>VLOOKUP(A130,All!A:AM,29,0)</f>
        <v>10.049799999999999</v>
      </c>
      <c r="I130" s="6">
        <f>VLOOKUP(A130,All!A:AM,33,0)</f>
        <v>34.289823440289211</v>
      </c>
      <c r="J130" s="6">
        <f>VLOOKUP(A130,All!A:AM,32,0)</f>
        <v>18.286899999999999</v>
      </c>
      <c r="K130" s="20">
        <f>VLOOKUP(A130,All!A:AM,39,0)</f>
        <v>52.321768707482995</v>
      </c>
      <c r="L130" s="20">
        <f>VLOOKUP(A130,All!A:AM,38,0)</f>
        <v>38.456499999999998</v>
      </c>
      <c r="M130" s="96">
        <f>VLOOKUP(A130,'SYS Allocations'!A:G,2,0)</f>
        <v>0</v>
      </c>
      <c r="N130" s="96" t="str">
        <f>VLOOKUP(A130,'SYS Allocations'!A:G,3,0)</f>
        <v>RA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4.4000000000000004</v>
      </c>
      <c r="S130" s="323"/>
    </row>
    <row r="131" spans="1:19">
      <c r="A131" s="35" t="s">
        <v>147</v>
      </c>
      <c r="B131" s="41" t="str">
        <f>VLOOKUP(A131,All!A:AM,2,0)</f>
        <v>SCOTLAND</v>
      </c>
      <c r="C131" s="42">
        <f>VLOOKUP(A131,All!A:AM,11,0)</f>
        <v>45600</v>
      </c>
      <c r="D131" s="5"/>
      <c r="E131" s="17">
        <f>VLOOKUP(A131,All!A:AM,30,0)</f>
        <v>41.939890710382507</v>
      </c>
      <c r="F131" s="17">
        <f>VLOOKUP(A131,All!A:AM,28,0)</f>
        <v>5.3540799999999997</v>
      </c>
      <c r="G131" s="17">
        <f>VLOOKUP(A131,All!A:AM,31,0)</f>
        <v>21.749136939010356</v>
      </c>
      <c r="H131" s="17">
        <f>VLOOKUP(A131,All!A:AM,29,0)</f>
        <v>2.0600999999999998</v>
      </c>
      <c r="I131" s="6">
        <f>VLOOKUP(A131,All!A:AM,33,0)</f>
        <v>26.677746122190367</v>
      </c>
      <c r="J131" s="6">
        <f>VLOOKUP(A131,All!A:AM,32,0)</f>
        <v>2.6967999999999801</v>
      </c>
      <c r="K131" s="20">
        <f>VLOOKUP(A131,All!A:AM,39,0)</f>
        <v>34.115555555555552</v>
      </c>
      <c r="L131" s="20">
        <f>VLOOKUP(A131,All!A:AM,38,0)</f>
        <v>3.8380000000000001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6.4</v>
      </c>
      <c r="S131" s="323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45600</v>
      </c>
      <c r="D132" s="5"/>
      <c r="E132" s="17">
        <f>VLOOKUP(A132,All!A:AM,30,0)</f>
        <v>53.466530054644807</v>
      </c>
      <c r="F132" s="17">
        <f>VLOOKUP(A132,All!A:AM,28,0)</f>
        <v>6.8255800000000004</v>
      </c>
      <c r="G132" s="17">
        <f>VLOOKUP(A132,All!A:AM,31,0)</f>
        <v>42.5105460974914</v>
      </c>
      <c r="H132" s="17">
        <f>VLOOKUP(A132,All!A:AM,29,0)</f>
        <v>4.3926995639999999</v>
      </c>
      <c r="I132" s="6">
        <f>VLOOKUP(A132,All!A:AM,33,0)</f>
        <v>47.110933048433054</v>
      </c>
      <c r="J132" s="6">
        <f>VLOOKUP(A132,All!A:AM,32,0)</f>
        <v>5.2915000000000001</v>
      </c>
      <c r="K132" s="20">
        <f>VLOOKUP(A132,All!A:AM,39,0)</f>
        <v>43.423809523809524</v>
      </c>
      <c r="L132" s="20">
        <f>VLOOKUP(A132,All!A:AM,38,0)</f>
        <v>4.5594999999999999</v>
      </c>
      <c r="M132" s="96">
        <f>VLOOKUP(A132,'SYS Allocations'!A:G,2,0)</f>
        <v>0</v>
      </c>
      <c r="N132" s="96">
        <f>VLOOKUP(A132,'SYS Allocations'!A:G,3,0)</f>
        <v>0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4</v>
      </c>
      <c r="S132" s="323"/>
    </row>
    <row r="133" spans="1:19">
      <c r="A133" s="35" t="s">
        <v>149</v>
      </c>
      <c r="B133" s="41" t="str">
        <f>VLOOKUP(A133,All!A:AM,2,0)</f>
        <v>LONDON</v>
      </c>
      <c r="C133" s="42">
        <f>VLOOKUP(A133,All!A:AM,11,0)</f>
        <v>44369</v>
      </c>
      <c r="D133" s="5"/>
      <c r="E133" s="17">
        <f>VLOOKUP(A133,All!A:AM,30,0)</f>
        <v>48.205741626794264</v>
      </c>
      <c r="F133" s="17">
        <f>VLOOKUP(A133,All!A:AM,28,0)</f>
        <v>21.9635</v>
      </c>
      <c r="G133" s="17">
        <f>VLOOKUP(A133,All!A:AM,31,0)</f>
        <v>32.86821705426356</v>
      </c>
      <c r="H133" s="17">
        <f>VLOOKUP(A133,All!A:AM,29,0)</f>
        <v>11.554</v>
      </c>
      <c r="I133" s="6">
        <f>VLOOKUP(A133,All!A:AM,33,0)</f>
        <v>33.62556815624859</v>
      </c>
      <c r="J133" s="6">
        <f>VLOOKUP(A133,All!A:AM,32,0)</f>
        <v>11.9551</v>
      </c>
      <c r="K133" s="20">
        <f>VLOOKUP(A133,All!A:AM,39,0)</f>
        <v>84.26766666666667</v>
      </c>
      <c r="L133" s="20">
        <f>VLOOKUP(A133,All!A:AM,38,0)</f>
        <v>126.4015</v>
      </c>
      <c r="M133" s="96">
        <f>VLOOKUP(A133,'SYS Allocations'!A:G,2,0)</f>
        <v>0</v>
      </c>
      <c r="N133" s="96" t="str">
        <f>VLOOKUP(A133,'SYS Allocations'!A:G,3,0)</f>
        <v>RA</v>
      </c>
      <c r="O133" s="96">
        <f>VLOOKUP(A133,'SYS Allocations'!A:G,4,0)</f>
        <v>0</v>
      </c>
      <c r="P133" s="96">
        <f>VLOOKUP(A133,'SYS Allocations'!A:G,5,0)</f>
        <v>0</v>
      </c>
      <c r="Q133" s="96" t="str">
        <f>VLOOKUP(A133,'SYS Allocations'!A:G,6,0)</f>
        <v>OPEX</v>
      </c>
      <c r="R133" s="12">
        <f>VLOOKUP(A133,'SYS Allocations'!A:G,7,0)</f>
        <v>10.4</v>
      </c>
      <c r="S133" s="323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45475</v>
      </c>
      <c r="D134" s="5"/>
      <c r="E134" s="17">
        <f>VLOOKUP(A134,All!A:AM,30,0)</f>
        <v>55.934292949486874</v>
      </c>
      <c r="F134" s="17">
        <f>VLOOKUP(A134,All!A:AM,28,0)</f>
        <v>36.595660000000002</v>
      </c>
      <c r="G134" s="17">
        <f>VLOOKUP(A134,All!A:AM,31,0)</f>
        <v>43.699446573009801</v>
      </c>
      <c r="H134" s="17">
        <f>VLOOKUP(A134,All!A:AM,29,0)</f>
        <v>22.377700000000001</v>
      </c>
      <c r="I134" s="6">
        <f>VLOOKUP(A134,All!A:AM,33,0)</f>
        <v>41.458536387264459</v>
      </c>
      <c r="J134" s="6">
        <f>VLOOKUP(A134,All!A:AM,32,0)</f>
        <v>20.4175</v>
      </c>
      <c r="K134" s="20">
        <f>VLOOKUP(A134,All!A:AM,39,0)</f>
        <v>52.542386831275714</v>
      </c>
      <c r="L134" s="20">
        <f>VLOOKUP(A134,All!A:AM,38,0)</f>
        <v>31.919499999999999</v>
      </c>
      <c r="M134" s="96"/>
      <c r="N134" s="96"/>
      <c r="O134" s="96"/>
      <c r="P134" s="96"/>
      <c r="Q134" s="96" t="str">
        <f>VLOOKUP(A134,'SYS Allocations'!A:G,6,0)</f>
        <v>OPEX</v>
      </c>
      <c r="R134" s="12">
        <f>VLOOKUP(A134,'SYS Allocations'!A:G,7,0)</f>
        <v>1</v>
      </c>
      <c r="S134" s="323"/>
    </row>
    <row r="135" spans="1:19">
      <c r="A135" s="35" t="s">
        <v>151</v>
      </c>
      <c r="B135" s="41" t="str">
        <f>VLOOKUP(A135,All!A:AM,2,0)</f>
        <v>ANGLIA</v>
      </c>
      <c r="C135" s="42">
        <f>VLOOKUP(A135,All!A:AM,11,0)</f>
        <v>44854</v>
      </c>
      <c r="D135" s="5"/>
      <c r="E135" s="17">
        <f>VLOOKUP(A135,All!A:AM,30,0)</f>
        <v>61.06557377049181</v>
      </c>
      <c r="F135" s="17">
        <f>VLOOKUP(A135,All!A:AM,28,0)</f>
        <v>24.361499999999999</v>
      </c>
      <c r="G135" s="17">
        <f>VLOOKUP(A135,All!A:AM,31,0)</f>
        <v>44.660194174757279</v>
      </c>
      <c r="H135" s="17">
        <f>VLOOKUP(A135,All!A:AM,29,0)</f>
        <v>12.535</v>
      </c>
      <c r="I135" s="6">
        <f>VLOOKUP(A135,All!A:AM,33,0)</f>
        <v>56.312440934251384</v>
      </c>
      <c r="J135" s="6">
        <f>VLOOKUP(A135,All!A:AM,32,0)</f>
        <v>20.021100000000001</v>
      </c>
      <c r="K135" s="20">
        <f>VLOOKUP(A135,All!A:AM,39,0)</f>
        <v>30.966666666666661</v>
      </c>
      <c r="L135" s="20">
        <f>VLOOKUP(A135,All!A:AM,38,0)</f>
        <v>6.9674999999999994</v>
      </c>
      <c r="M135" s="96">
        <f>VLOOKUP(A135,'SYS Allocations'!A:G,2,0)</f>
        <v>0</v>
      </c>
      <c r="N135" s="96" t="str">
        <f>VLOOKUP(A135,'SYS Allocations'!A:G,3,0)</f>
        <v>RA</v>
      </c>
      <c r="O135" s="96">
        <f>VLOOKUP(A135,'SYS Allocations'!A:G,4,0)</f>
        <v>0</v>
      </c>
      <c r="P135" s="96">
        <f>VLOOKUP(A135,'SYS Allocations'!A:G,5,0)</f>
        <v>0</v>
      </c>
      <c r="Q135" s="96">
        <f>VLOOKUP(A135,'SYS Allocations'!A:G,6,0)</f>
        <v>0</v>
      </c>
      <c r="R135" s="12">
        <f>VLOOKUP(A135,'SYS Allocations'!A:G,7,0)</f>
        <v>6.7</v>
      </c>
      <c r="S135" s="323"/>
    </row>
    <row r="136" spans="1:19">
      <c r="A136" s="35" t="s">
        <v>152</v>
      </c>
      <c r="B136" s="41" t="str">
        <f>VLOOKUP(A136,All!A:AM,2,0)</f>
        <v>THAMES VALLEY</v>
      </c>
      <c r="C136" s="42">
        <f>VLOOKUP(A136,All!A:AM,11,0)</f>
        <v>44383.583333333299</v>
      </c>
      <c r="D136" s="5"/>
      <c r="E136" s="17">
        <f>VLOOKUP(A136,All!A:AM,30,0)</f>
        <v>15.471311475409834</v>
      </c>
      <c r="F136" s="17">
        <f>VLOOKUP(A136,All!A:AM,28,0)</f>
        <v>0.98753999999999997</v>
      </c>
      <c r="G136" s="17">
        <f>VLOOKUP(A136,All!A:AM,31,0)</f>
        <v>-14.583333333333334</v>
      </c>
      <c r="H136" s="17">
        <f>VLOOKUP(A136,All!A:AM,29,0)</f>
        <v>-0.68669999999999998</v>
      </c>
      <c r="I136" s="6">
        <f>VLOOKUP(A136,All!A:AM,33,0)</f>
        <v>41.445929051414282</v>
      </c>
      <c r="J136" s="6">
        <f>VLOOKUP(A136,All!A:AM,32,0)</f>
        <v>3.8190599999999999</v>
      </c>
      <c r="K136" s="20">
        <f>VLOOKUP(A136,All!A:AM,39,0)</f>
        <v>40.049999999999997</v>
      </c>
      <c r="L136" s="20">
        <f>VLOOKUP(A136,All!A:AM,38,0)</f>
        <v>3.6044999999999998</v>
      </c>
      <c r="M136" s="96">
        <f>VLOOKUP(A136,'SYS Allocations'!A:G,2,0)</f>
        <v>0</v>
      </c>
      <c r="N136" s="96">
        <f>VLOOKUP(A136,'SYS Allocations'!A:G,3,0)</f>
        <v>0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0</v>
      </c>
      <c r="S136" s="323"/>
    </row>
    <row r="137" spans="1:19">
      <c r="A137" s="35" t="s">
        <v>153</v>
      </c>
      <c r="B137" s="41" t="str">
        <f>VLOOKUP(A137,All!A:AM,2,0)</f>
        <v>ANGLIA</v>
      </c>
      <c r="C137" s="42">
        <f>VLOOKUP(A137,All!A:AM,11,0)</f>
        <v>44413.708333333299</v>
      </c>
      <c r="D137" s="5"/>
      <c r="E137" s="17">
        <f>VLOOKUP(A137,All!A:AM,30,0)</f>
        <v>86.666666666666671</v>
      </c>
      <c r="F137" s="17">
        <f>VLOOKUP(A137,All!A:AM,28,0)</f>
        <v>5.6680000000000001</v>
      </c>
      <c r="G137" s="17">
        <f>VLOOKUP(A137,All!A:AM,31,0)</f>
        <v>87.933634992458522</v>
      </c>
      <c r="H137" s="17">
        <f>VLOOKUP(A137,All!A:AM,29,0)</f>
        <v>6.3547000000000002</v>
      </c>
      <c r="I137" s="6">
        <f>VLOOKUP(A137,All!A:AM,33,0)</f>
        <v>51.36099955377064</v>
      </c>
      <c r="J137" s="6">
        <f>VLOOKUP(A137,All!A:AM,32,0)</f>
        <v>0.92079999999999995</v>
      </c>
      <c r="K137" s="20">
        <f>VLOOKUP(A137,All!A:AM,39,0)</f>
        <v>76.74666666666667</v>
      </c>
      <c r="L137" s="20">
        <f>VLOOKUP(A137,All!A:AM,38,0)</f>
        <v>2.8780000000000001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3"/>
    </row>
    <row r="138" spans="1:19">
      <c r="A138" s="35" t="s">
        <v>154</v>
      </c>
      <c r="B138" s="41" t="str">
        <f>VLOOKUP(A138,All!A:AM,2,0)</f>
        <v>NORTH WEST</v>
      </c>
      <c r="C138" s="42">
        <f>VLOOKUP(A138,All!A:AM,11,0)</f>
        <v>45600</v>
      </c>
      <c r="D138" s="5"/>
      <c r="E138" s="17">
        <f>VLOOKUP(A138,All!A:AM,30,0)</f>
        <v>45.355191256830594</v>
      </c>
      <c r="F138" s="17">
        <f>VLOOKUP(A138,All!A:AM,28,0)</f>
        <v>5.7900799999999997</v>
      </c>
      <c r="G138" s="17">
        <f>VLOOKUP(A138,All!A:AM,31,0)</f>
        <v>-4.234527687296417</v>
      </c>
      <c r="H138" s="17">
        <f>VLOOKUP(A138,All!A:AM,29,0)</f>
        <v>-0.28339999999999999</v>
      </c>
      <c r="I138" s="6">
        <f>VLOOKUP(A138,All!A:AM,33,0)</f>
        <v>51.652251053448659</v>
      </c>
      <c r="J138" s="6">
        <f>VLOOKUP(A138,All!A:AM,32,0)</f>
        <v>7.4527999999999999</v>
      </c>
      <c r="K138" s="20">
        <f>VLOOKUP(A138,All!A:AM,39,0)</f>
        <v>68.995555555555555</v>
      </c>
      <c r="L138" s="20">
        <f>VLOOKUP(A138,All!A:AM,38,0)</f>
        <v>15.524000000000001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0.5</v>
      </c>
      <c r="S138" s="323"/>
    </row>
    <row r="139" spans="1:19">
      <c r="A139" s="35" t="s">
        <v>155</v>
      </c>
      <c r="B139" s="41" t="str">
        <f>VLOOKUP(A139,All!A:AM,2,0)</f>
        <v>MIDLANDS</v>
      </c>
      <c r="C139" s="42">
        <f>VLOOKUP(A139,All!A:AM,11,0)</f>
        <v>45600</v>
      </c>
      <c r="D139" s="5"/>
      <c r="E139" s="17">
        <f>VLOOKUP(A139,All!A:AM,30,0)</f>
        <v>56.393046646075874</v>
      </c>
      <c r="F139" s="17">
        <f>VLOOKUP(A139,All!A:AM,28,0)</f>
        <v>62.092939999999999</v>
      </c>
      <c r="G139" s="17">
        <f>VLOOKUP(A139,All!A:AM,31,0)</f>
        <v>37.313220435463208</v>
      </c>
      <c r="H139" s="17">
        <f>VLOOKUP(A139,All!A:AM,29,0)</f>
        <v>28.579799999999999</v>
      </c>
      <c r="I139" s="6">
        <f>VLOOKUP(A139,All!A:AM,33,0)</f>
        <v>49.781006720619047</v>
      </c>
      <c r="J139" s="6">
        <f>VLOOKUP(A139,All!A:AM,32,0)</f>
        <v>47.595739999999999</v>
      </c>
      <c r="K139" s="20">
        <f>VLOOKUP(A139,All!A:AM,39,0)</f>
        <v>41.800606060606064</v>
      </c>
      <c r="L139" s="20">
        <f>VLOOKUP(A139,All!A:AM,38,0)</f>
        <v>34.485500000000002</v>
      </c>
      <c r="M139" s="96">
        <f>VLOOKUP(A139,'SYS Allocations'!A:G,2,0)</f>
        <v>0</v>
      </c>
      <c r="N139" s="96" t="str">
        <f>VLOOKUP(A139,'SYS Allocations'!A:G,3,0)</f>
        <v>RA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19.8</v>
      </c>
      <c r="S139" s="323"/>
    </row>
    <row r="140" spans="1:19">
      <c r="A140" s="37" t="s">
        <v>156</v>
      </c>
      <c r="B140" s="41" t="str">
        <f>VLOOKUP(A140,All!A:AM,2,0)</f>
        <v>NORTH EAST</v>
      </c>
      <c r="C140" s="42">
        <f>VLOOKUP(A140,All!A:AM,11,0)</f>
        <v>44713.541666666701</v>
      </c>
      <c r="D140" s="19"/>
      <c r="E140" s="17">
        <f>VLOOKUP(A140,All!A:AM,30,0)</f>
        <v>85.389610389610397</v>
      </c>
      <c r="F140" s="17">
        <f>VLOOKUP(A140,All!A:AM,28,0)</f>
        <v>14.333500000000001</v>
      </c>
      <c r="G140" s="17">
        <f>VLOOKUP(A140,All!A:AM,31,0)</f>
        <v>86.15384615384616</v>
      </c>
      <c r="H140" s="17">
        <f>VLOOKUP(A140,All!A:AM,29,0)</f>
        <v>15.26</v>
      </c>
      <c r="I140" s="6">
        <f>VLOOKUP(A140,All!A:AM,33,0)</f>
        <v>54.400937081659976</v>
      </c>
      <c r="J140" s="6">
        <f>VLOOKUP(A140,All!A:AM,32,0)</f>
        <v>2.9258999999999999</v>
      </c>
      <c r="K140" s="334">
        <f>VLOOKUP(A140,All!A:AM,39,0)</f>
        <v>70.706249999999997</v>
      </c>
      <c r="L140" s="334">
        <f>VLOOKUP(A140,All!A:AM,38,0)</f>
        <v>16.9695</v>
      </c>
      <c r="M140" s="96">
        <f>VLOOKUP(A140,'SYS Allocations'!A:G,2,0)</f>
        <v>0</v>
      </c>
      <c r="N140" s="96">
        <f>VLOOKUP(A140,'SYS Allocations'!A:G,3,0)</f>
        <v>0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0</v>
      </c>
      <c r="S140" s="323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44700.645833333299</v>
      </c>
      <c r="D141" s="19"/>
      <c r="E141" s="17">
        <f>VLOOKUP(A141,All!A:AM,30,0)</f>
        <v>72.72727272727272</v>
      </c>
      <c r="F141" s="17">
        <f>VLOOKUP(A141,All!A:AM,28,0)</f>
        <v>12.208</v>
      </c>
      <c r="G141" s="17">
        <f>VLOOKUP(A141,All!A:AM,31,0)</f>
        <v>74.15384615384616</v>
      </c>
      <c r="H141" s="17">
        <f>VLOOKUP(A141,All!A:AM,29,0)</f>
        <v>13.134499999999999</v>
      </c>
      <c r="I141" s="6">
        <f>VLOOKUP(A141,All!A:AM,33,0)</f>
        <v>14.881749219098618</v>
      </c>
      <c r="J141" s="6">
        <f>VLOOKUP(A141,All!A:AM,32,0)</f>
        <v>0.8004</v>
      </c>
      <c r="K141" s="335"/>
      <c r="L141" s="335"/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3"/>
    </row>
    <row r="142" spans="1:19">
      <c r="A142" s="38" t="s">
        <v>158</v>
      </c>
      <c r="B142" s="41" t="str">
        <f>VLOOKUP(A142,All!A:AM,2,0)</f>
        <v>NORTH EAST</v>
      </c>
      <c r="C142" s="42">
        <f>VLOOKUP(A142,All!A:AM,11,0)</f>
        <v>45600</v>
      </c>
      <c r="D142" s="5"/>
      <c r="E142" s="17">
        <f>VLOOKUP(A142,All!A:AM,30,0)</f>
        <v>44.919786096256693</v>
      </c>
      <c r="F142" s="17">
        <f>VLOOKUP(A142,All!A:AM,28,0)</f>
        <v>73.248000000000005</v>
      </c>
      <c r="G142" s="17">
        <f>VLOOKUP(A142,All!A:AM,31,0)</f>
        <v>35.118110236220467</v>
      </c>
      <c r="H142" s="17">
        <f>VLOOKUP(A142,All!A:AM,29,0)</f>
        <v>48.613999999999997</v>
      </c>
      <c r="I142" s="6">
        <f>VLOOKUP(A142,All!A:AM,33,0)</f>
        <v>15.792868607773521</v>
      </c>
      <c r="J142" s="6">
        <f>VLOOKUP(A142,All!A:AM,32,0)</f>
        <v>16.844800000000099</v>
      </c>
      <c r="K142" s="334">
        <f>VLOOKUP(A142,All!A:AM,39,0)</f>
        <v>26.438974358974352</v>
      </c>
      <c r="L142" s="334">
        <f>VLOOKUP(A142,All!A:AM,38,0)</f>
        <v>51.555999999999983</v>
      </c>
      <c r="M142" s="96" t="str">
        <f>VLOOKUP(A142,'SYS Allocations'!A:G,2,0)</f>
        <v>P-Core</v>
      </c>
      <c r="N142" s="96" t="str">
        <f>VLOOKUP(A142,'SYS Allocations'!A:G,3,0)</f>
        <v>RA</v>
      </c>
      <c r="O142" s="96" t="str">
        <f>VLOOKUP(A142,'SYS Allocations'!A:G,4,0)</f>
        <v>PX</v>
      </c>
      <c r="P142" s="96">
        <f>VLOOKUP(A142,'SYS Allocations'!A:G,5,0)</f>
        <v>0</v>
      </c>
      <c r="Q142" s="96" t="str">
        <f>VLOOKUP(A142,'SYS Allocations'!A:G,6,0)</f>
        <v>OPEX</v>
      </c>
      <c r="R142" s="12">
        <f>VLOOKUP(A142,'SYS Allocations'!A:G,7,0)</f>
        <v>21.650000000000002</v>
      </c>
      <c r="S142" s="323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45600</v>
      </c>
      <c r="D143" s="5"/>
      <c r="E143" s="17">
        <f>VLOOKUP(A143,All!A:AM,30,0)</f>
        <v>67.588932806324109</v>
      </c>
      <c r="F143" s="17">
        <f>VLOOKUP(A143,All!A:AM,28,0)</f>
        <v>111.834</v>
      </c>
      <c r="G143" s="17">
        <f>VLOOKUP(A143,All!A:AM,31,0)</f>
        <v>62.080924855491318</v>
      </c>
      <c r="H143" s="17">
        <f>VLOOKUP(A143,All!A:AM,29,0)</f>
        <v>87.799499999999995</v>
      </c>
      <c r="I143" s="6">
        <f>VLOOKUP(A143,All!A:AM,33,0)</f>
        <v>49.720984654156076</v>
      </c>
      <c r="J143" s="6">
        <f>VLOOKUP(A143,All!A:AM,32,0)</f>
        <v>53.032800000000101</v>
      </c>
      <c r="K143" s="335"/>
      <c r="L143" s="335"/>
      <c r="M143" s="96">
        <f>VLOOKUP(A143,'SYS Allocations'!A:G,2,0)</f>
        <v>0</v>
      </c>
      <c r="N143" s="96">
        <f>VLOOKUP(A143,'SYS Allocations'!A:G,3,0)</f>
        <v>0</v>
      </c>
      <c r="O143" s="96">
        <f>VLOOKUP(A143,'SYS Allocations'!A:G,4,0)</f>
        <v>0</v>
      </c>
      <c r="P143" s="96">
        <f>VLOOKUP(A143,'SYS Allocations'!A:G,5,0)</f>
        <v>0</v>
      </c>
      <c r="Q143" s="96">
        <f>VLOOKUP(A143,'SYS Allocations'!A:G,6,0)</f>
        <v>0</v>
      </c>
      <c r="R143" s="12">
        <f>VLOOKUP(A143,'SYS Allocations'!A:G,7,0)</f>
        <v>21.650000000000002</v>
      </c>
      <c r="S143" s="323"/>
    </row>
    <row r="144" spans="1:19">
      <c r="A144" s="35" t="s">
        <v>160</v>
      </c>
      <c r="B144" s="41" t="str">
        <f>VLOOKUP(A144,All!A:AM,2,0)</f>
        <v>NORTH EAST</v>
      </c>
      <c r="C144" s="42">
        <f>VLOOKUP(A144,All!A:AM,11,0)</f>
        <v>44637.666666666701</v>
      </c>
      <c r="D144" s="5"/>
      <c r="E144" s="17">
        <f>VLOOKUP(A144,All!A:AM,30,0)</f>
        <v>63.636363636363647</v>
      </c>
      <c r="F144" s="17">
        <f>VLOOKUP(A144,All!A:AM,28,0)</f>
        <v>11.445</v>
      </c>
      <c r="G144" s="17">
        <f>VLOOKUP(A144,All!A:AM,31,0)</f>
        <v>37.336814621409921</v>
      </c>
      <c r="H144" s="17">
        <f>VLOOKUP(A144,All!A:AM,29,0)</f>
        <v>3.8967499999999999</v>
      </c>
      <c r="I144" s="6">
        <f>VLOOKUP(A144,All!A:AM,33,0)</f>
        <v>65.197956577266922</v>
      </c>
      <c r="J144" s="6">
        <f>VLOOKUP(A144,All!A:AM,32,0)</f>
        <v>12.252000000000001</v>
      </c>
      <c r="K144" s="20">
        <f>VLOOKUP(A144,All!A:AM,39,0)</f>
        <v>72.75</v>
      </c>
      <c r="L144" s="20">
        <f>VLOOKUP(A144,All!A:AM,38,0)</f>
        <v>17.46</v>
      </c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0.1</v>
      </c>
      <c r="S144" s="323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45600</v>
      </c>
      <c r="D145" s="5"/>
      <c r="E145" s="17">
        <f>VLOOKUP(A145,All!A:AM,30,0)</f>
        <v>52.989392478302797</v>
      </c>
      <c r="F145" s="17">
        <f>VLOOKUP(A145,All!A:AM,28,0)</f>
        <v>28.749839999999999</v>
      </c>
      <c r="G145" s="17">
        <f>VLOOKUP(A145,All!A:AM,31,0)</f>
        <v>27.374301675977655</v>
      </c>
      <c r="H145" s="17">
        <f>VLOOKUP(A145,All!A:AM,29,0)</f>
        <v>9.6137999999999995</v>
      </c>
      <c r="I145" s="6">
        <f>VLOOKUP(A145,All!A:AM,33,0)</f>
        <v>52.173619549075198</v>
      </c>
      <c r="J145" s="6">
        <f>VLOOKUP(A145,All!A:AM,32,0)</f>
        <v>27.824400000000001</v>
      </c>
      <c r="K145" s="20">
        <f>VLOOKUP(A145,All!A:AM,39,0)</f>
        <v>81.106666666666655</v>
      </c>
      <c r="L145" s="20">
        <f>VLOOKUP(A145,All!A:AM,38,0)</f>
        <v>109.494</v>
      </c>
      <c r="M145" s="96">
        <f>VLOOKUP(A145,'SYS Allocations'!A:G,2,0)</f>
        <v>0</v>
      </c>
      <c r="N145" s="96" t="str">
        <f>VLOOKUP(A145,'SYS Allocations'!A:G,3,0)</f>
        <v>RA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12.3</v>
      </c>
      <c r="S145" s="323"/>
    </row>
    <row r="146" spans="1:19">
      <c r="A146" s="35" t="s">
        <v>162</v>
      </c>
      <c r="B146" s="41" t="str">
        <f>VLOOKUP(A146,All!A:AM,2,0)</f>
        <v>SCOTLAND</v>
      </c>
      <c r="C146" s="42">
        <f>VLOOKUP(A146,All!A:AM,11,0)</f>
        <v>45600</v>
      </c>
      <c r="D146" s="5"/>
      <c r="E146" s="17">
        <f>VLOOKUP(A146,All!A:AM,30,0)</f>
        <v>48.067341690774668</v>
      </c>
      <c r="F146" s="17">
        <f>VLOOKUP(A146,All!A:AM,28,0)</f>
        <v>26.079339999999998</v>
      </c>
      <c r="G146" s="17">
        <f>VLOOKUP(A146,All!A:AM,31,0)</f>
        <v>19.770328988206085</v>
      </c>
      <c r="H146" s="17">
        <f>VLOOKUP(A146,All!A:AM,29,0)</f>
        <v>6.9432999999999998</v>
      </c>
      <c r="I146" s="6">
        <f>VLOOKUP(A146,All!A:AM,33,0)</f>
        <v>47.166156638615121</v>
      </c>
      <c r="J146" s="6">
        <f>VLOOKUP(A146,All!A:AM,32,0)</f>
        <v>25.1539</v>
      </c>
      <c r="K146" s="20">
        <f>VLOOKUP(A146,All!A:AM,39,0)</f>
        <v>58.25703703703703</v>
      </c>
      <c r="L146" s="20">
        <f>VLOOKUP(A146,All!A:AM,38,0)</f>
        <v>39.323499999999996</v>
      </c>
      <c r="M146" s="96">
        <f>VLOOKUP(A146,'SYS Allocations'!A:G,2,0)</f>
        <v>0</v>
      </c>
      <c r="N146" s="96">
        <f>VLOOKUP(A146,'SYS Allocations'!A:G,3,0)</f>
        <v>0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2</v>
      </c>
      <c r="S146" s="323"/>
    </row>
    <row r="147" spans="1:19">
      <c r="A147" s="35" t="s">
        <v>163</v>
      </c>
      <c r="B147" s="41" t="str">
        <f>VLOOKUP(A147,All!A:AM,2,0)</f>
        <v>NORTH WEST</v>
      </c>
      <c r="C147" s="42">
        <f>VLOOKUP(A147,All!A:AM,11,0)</f>
        <v>45600</v>
      </c>
      <c r="D147" s="5"/>
      <c r="E147" s="17">
        <f>VLOOKUP(A147,All!A:AM,30,0)</f>
        <v>63.235294117647051</v>
      </c>
      <c r="F147" s="17">
        <f>VLOOKUP(A147,All!A:AM,28,0)</f>
        <v>17.154419999999998</v>
      </c>
      <c r="G147" s="17">
        <f>VLOOKUP(A147,All!A:AM,31,0)</f>
        <v>17.641764176417642</v>
      </c>
      <c r="H147" s="17">
        <f>VLOOKUP(A147,All!A:AM,29,0)</f>
        <v>2.1364000000000001</v>
      </c>
      <c r="I147" s="6">
        <f>VLOOKUP(A147,All!A:AM,33,0)</f>
        <v>71.947988389361413</v>
      </c>
      <c r="J147" s="6">
        <f>VLOOKUP(A147,All!A:AM,32,0)</f>
        <v>25.580100000000002</v>
      </c>
      <c r="K147" s="20">
        <f>VLOOKUP(A147,All!A:AM,39,0)</f>
        <v>55.673333333333332</v>
      </c>
      <c r="L147" s="20">
        <f>VLOOKUP(A147,All!A:AM,38,0)</f>
        <v>12.5265</v>
      </c>
      <c r="M147" s="96">
        <f>VLOOKUP(A147,'SYS Allocations'!A:G,2,0)</f>
        <v>0</v>
      </c>
      <c r="N147" s="96" t="str">
        <f>VLOOKUP(A147,'SYS Allocations'!A:G,3,0)</f>
        <v>RA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5.9</v>
      </c>
      <c r="S147" s="323"/>
    </row>
    <row r="148" spans="1:19">
      <c r="A148" s="35" t="s">
        <v>164</v>
      </c>
      <c r="B148" s="41" t="str">
        <f>VLOOKUP(A148,All!A:AM,2,0)</f>
        <v>MIDLANDS</v>
      </c>
      <c r="C148" s="42">
        <f>VLOOKUP(A148,All!A:AM,11,0)</f>
        <v>44707.604166666701</v>
      </c>
      <c r="D148" s="33"/>
      <c r="E148" s="17">
        <f>VLOOKUP(A148,All!A:AM,30,0)</f>
        <v>51.502732240437162</v>
      </c>
      <c r="F148" s="17">
        <f>VLOOKUP(A148,All!A:AM,28,0)</f>
        <v>8.2186000000000003</v>
      </c>
      <c r="G148" s="17">
        <f>VLOOKUP(A148,All!A:AM,31,0)</f>
        <v>-27.927927927927929</v>
      </c>
      <c r="H148" s="17">
        <f>VLOOKUP(A148,All!A:AM,29,0)</f>
        <v>-1.6895</v>
      </c>
      <c r="I148" s="6">
        <f>VLOOKUP(A148,All!A:AM,33,0)</f>
        <v>64.242810674946398</v>
      </c>
      <c r="J148" s="6">
        <f>VLOOKUP(A148,All!A:AM,32,0)</f>
        <v>13.904199999999999</v>
      </c>
      <c r="K148" s="20">
        <f>VLOOKUP(A148,All!A:AM,39,0)</f>
        <v>63.147619047619045</v>
      </c>
      <c r="L148" s="20">
        <f>VLOOKUP(A148,All!A:AM,38,0)</f>
        <v>13.260999999999999</v>
      </c>
      <c r="M148" s="96">
        <f>VLOOKUP(A148,'SYS Allocations'!A:G,2,0)</f>
        <v>0</v>
      </c>
      <c r="N148" s="96">
        <f>VLOOKUP(A148,'SYS Allocations'!A:G,3,0)</f>
        <v>0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0</v>
      </c>
      <c r="S148" s="323"/>
    </row>
    <row r="149" spans="1:19">
      <c r="A149" s="35" t="s">
        <v>165</v>
      </c>
      <c r="B149" s="41" t="str">
        <f>VLOOKUP(A149,All!A:AM,2,0)</f>
        <v>NORTH WEST</v>
      </c>
      <c r="C149" s="42">
        <f>VLOOKUP(A149,All!A:AM,11,0)</f>
        <v>45600</v>
      </c>
      <c r="D149" s="32"/>
      <c r="E149" s="17">
        <f>VLOOKUP(A149,All!A:AM,30,0)</f>
        <v>64.329083181542188</v>
      </c>
      <c r="F149" s="17">
        <f>VLOOKUP(A149,All!A:AM,28,0)</f>
        <v>9.2388399999999997</v>
      </c>
      <c r="G149" s="17">
        <f>VLOOKUP(A149,All!A:AM,31,0)</f>
        <v>71.112476951444378</v>
      </c>
      <c r="H149" s="17">
        <f>VLOOKUP(A149,All!A:AM,29,0)</f>
        <v>12.6113</v>
      </c>
      <c r="I149" s="6">
        <f>VLOOKUP(A149,All!A:AM,33,0)</f>
        <v>-48.234953703703702</v>
      </c>
      <c r="J149" s="6">
        <f>VLOOKUP(A149,All!A:AM,32,0)</f>
        <v>-1.667</v>
      </c>
      <c r="K149" s="20">
        <f>VLOOKUP(A149,All!A:AM,39,0)</f>
        <v>54.462222222222216</v>
      </c>
      <c r="L149" s="20">
        <f>VLOOKUP(A149,All!A:AM,38,0)</f>
        <v>6.1269999999999998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3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45600</v>
      </c>
      <c r="D150" s="32"/>
      <c r="E150" s="17">
        <f>VLOOKUP(A150,All!A:AM,30,0)</f>
        <v>56.557377049180332</v>
      </c>
      <c r="F150" s="17">
        <f>VLOOKUP(A150,All!A:AM,28,0)</f>
        <v>22.562999999999999</v>
      </c>
      <c r="G150" s="17">
        <f>VLOOKUP(A150,All!A:AM,31,0)</f>
        <v>38.252427184466015</v>
      </c>
      <c r="H150" s="17">
        <f>VLOOKUP(A150,All!A:AM,29,0)</f>
        <v>10.736499999999999</v>
      </c>
      <c r="I150" s="6">
        <f>VLOOKUP(A150,All!A:AM,33,0)</f>
        <v>51.253881463480489</v>
      </c>
      <c r="J150" s="6">
        <f>VLOOKUP(A150,All!A:AM,32,0)</f>
        <v>18.2226</v>
      </c>
      <c r="K150" s="20">
        <f>VLOOKUP(A150,All!A:AM,39,0)</f>
        <v>53.783999999999999</v>
      </c>
      <c r="L150" s="20">
        <f>VLOOKUP(A150,All!A:AM,38,0)</f>
        <v>20.169</v>
      </c>
      <c r="M150" s="96">
        <f>VLOOKUP(A150,'SYS Allocations'!A:G,2,0)</f>
        <v>0</v>
      </c>
      <c r="N150" s="96" t="str">
        <f>VLOOKUP(A150,'SYS Allocations'!A:G,3,0)</f>
        <v>RA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1.7</v>
      </c>
      <c r="S150" s="323"/>
    </row>
    <row r="151" spans="1:19">
      <c r="A151" s="35" t="s">
        <v>167</v>
      </c>
      <c r="B151" s="41" t="str">
        <f>VLOOKUP(A151,All!A:AM,2,0)</f>
        <v>LONDON</v>
      </c>
      <c r="C151" s="42">
        <f>VLOOKUP(A151,All!A:AM,11,0)</f>
        <v>44944</v>
      </c>
      <c r="D151" s="32"/>
      <c r="E151" s="17">
        <f>VLOOKUP(A151,All!A:AM,30,0)</f>
        <v>29.901960784313719</v>
      </c>
      <c r="F151" s="17">
        <f>VLOOKUP(A151,All!A:AM,28,0)</f>
        <v>33.244999999999997</v>
      </c>
      <c r="G151" s="17">
        <f>VLOOKUP(A151,All!A:AM,31,0)</f>
        <v>18.285714285714288</v>
      </c>
      <c r="H151" s="17">
        <f>VLOOKUP(A151,All!A:AM,29,0)</f>
        <v>17.440000000000001</v>
      </c>
      <c r="I151" s="6">
        <f>VLOOKUP(A151,All!A:AM,33,0)</f>
        <v>31.404907759470493</v>
      </c>
      <c r="J151" s="6">
        <f>VLOOKUP(A151,All!A:AM,32,0)</f>
        <v>35.680999999999997</v>
      </c>
      <c r="K151" s="20">
        <f>VLOOKUP(A151,All!A:AM,39,0)</f>
        <v>-9.3824561403508806</v>
      </c>
      <c r="L151" s="20">
        <f>VLOOKUP(A151,All!A:AM,38,0)</f>
        <v>-6.6850000000000023</v>
      </c>
      <c r="M151" s="96">
        <f>VLOOKUP(A151,'SYS Allocations'!A:G,2,0)</f>
        <v>0</v>
      </c>
      <c r="N151" s="96">
        <f>VLOOKUP(A151,'SYS Allocations'!A:G,3,0)</f>
        <v>0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11.5</v>
      </c>
      <c r="S151" s="323"/>
    </row>
    <row r="152" spans="1:19">
      <c r="A152" s="35" t="s">
        <v>168</v>
      </c>
      <c r="B152" s="41" t="str">
        <f>VLOOKUP(A152,All!A:AM,2,0)</f>
        <v>NORTHERN HOME COUNTIES</v>
      </c>
      <c r="C152" s="42">
        <f>VLOOKUP(A152,All!A:AM,11,0)</f>
        <v>44676.708333333299</v>
      </c>
      <c r="D152" s="32"/>
      <c r="E152" s="17">
        <f>VLOOKUP(A152,All!A:AM,30,0)</f>
        <v>63.636363636363647</v>
      </c>
      <c r="F152" s="17">
        <f>VLOOKUP(A152,All!A:AM,28,0)</f>
        <v>22.89</v>
      </c>
      <c r="G152" s="17">
        <f>VLOOKUP(A152,All!A:AM,31,0)</f>
        <v>52.475247524752476</v>
      </c>
      <c r="H152" s="17">
        <f>VLOOKUP(A152,All!A:AM,29,0)</f>
        <v>14.442500000000001</v>
      </c>
      <c r="I152" s="6">
        <f>VLOOKUP(A152,All!A:AM,33,0)</f>
        <v>53.49035671616317</v>
      </c>
      <c r="J152" s="6">
        <f>VLOOKUP(A152,All!A:AM,32,0)</f>
        <v>15.043200000000001</v>
      </c>
      <c r="K152" s="20">
        <f>VLOOKUP(A152,All!A:AM,39,0)</f>
        <v>41.866666666666667</v>
      </c>
      <c r="L152" s="20">
        <f>VLOOKUP(A152,All!A:AM,38,0)</f>
        <v>9.42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</v>
      </c>
      <c r="S152" s="323"/>
    </row>
    <row r="153" spans="1:19">
      <c r="A153" s="35" t="s">
        <v>169</v>
      </c>
      <c r="B153" s="41" t="str">
        <f>VLOOKUP(A153,All!A:AM,2,0)</f>
        <v>NORTH WEST</v>
      </c>
      <c r="C153" s="42">
        <f>VLOOKUP(A153,All!A:AM,11,0)</f>
        <v>45600</v>
      </c>
      <c r="D153" s="32"/>
      <c r="E153" s="17">
        <f>VLOOKUP(A153,All!A:AM,30,0)</f>
        <v>77.618881525404021</v>
      </c>
      <c r="F153" s="17">
        <f>VLOOKUP(A153,All!A:AM,28,0)</f>
        <v>58.21472</v>
      </c>
      <c r="G153" s="17">
        <f>VLOOKUP(A153,All!A:AM,31,0)</f>
        <v>66.52901543142795</v>
      </c>
      <c r="H153" s="17">
        <f>VLOOKUP(A153,All!A:AM,29,0)</f>
        <v>33.364899999999999</v>
      </c>
      <c r="I153" s="6">
        <f>VLOOKUP(A153,All!A:AM,33,0)</f>
        <v>76.393389136402575</v>
      </c>
      <c r="J153" s="6">
        <f>VLOOKUP(A153,All!A:AM,32,0)</f>
        <v>54.321200000000204</v>
      </c>
      <c r="K153" s="334">
        <f>VLOOKUP(A153,All!A:AM,39,0)</f>
        <v>58.034999999999997</v>
      </c>
      <c r="L153" s="334">
        <f>VLOOKUP(A153,All!A:AM,38,0)</f>
        <v>52.231499999999997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2</v>
      </c>
      <c r="S153" s="323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45600</v>
      </c>
      <c r="D154" s="32"/>
      <c r="E154" s="17">
        <f>VLOOKUP(A154,All!A:AM,30,0)</f>
        <v>67.929494868719175</v>
      </c>
      <c r="F154" s="17">
        <f>VLOOKUP(A154,All!A:AM,28,0)</f>
        <v>44.443660000000001</v>
      </c>
      <c r="G154" s="17">
        <f>VLOOKUP(A154,All!A:AM,31,0)</f>
        <v>45.047102483585498</v>
      </c>
      <c r="H154" s="17">
        <f>VLOOKUP(A154,All!A:AM,29,0)</f>
        <v>17.200199999999999</v>
      </c>
      <c r="I154" s="6">
        <f>VLOOKUP(A154,All!A:AM,33,0)</f>
        <v>70.491736420503216</v>
      </c>
      <c r="J154" s="6">
        <f>VLOOKUP(A154,All!A:AM,32,0)</f>
        <v>50.124700000000203</v>
      </c>
      <c r="K154" s="335"/>
      <c r="L154" s="335"/>
      <c r="M154" s="96">
        <f>VLOOKUP(A154,'SYS Allocations'!A:G,2,0)</f>
        <v>0</v>
      </c>
      <c r="N154" s="96" t="str">
        <f>VLOOKUP(A154,'SYS Allocations'!A:G,3,0)</f>
        <v>RA</v>
      </c>
      <c r="O154" s="96" t="str">
        <f>VLOOKUP(A154,'SYS Allocations'!A:G,4,0)</f>
        <v>PX</v>
      </c>
      <c r="P154" s="96">
        <f>VLOOKUP(A154,'SYS Allocations'!A:G,5,0)</f>
        <v>0</v>
      </c>
      <c r="Q154" s="96" t="str">
        <f>VLOOKUP(A154,'SYS Allocations'!A:G,6,0)</f>
        <v>OPEX</v>
      </c>
      <c r="R154" s="12">
        <f>VLOOKUP(A154,'SYS Allocations'!A:G,7,0)</f>
        <v>17.399999999999999</v>
      </c>
      <c r="S154" s="323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0</v>
      </c>
      <c r="D155" s="32"/>
      <c r="E155" s="17">
        <f>VLOOKUP(A155,All!A:AM,30,0)</f>
        <v>0</v>
      </c>
      <c r="F155" s="17">
        <f>VLOOKUP(A155,All!A:AM,28,0)</f>
        <v>0</v>
      </c>
      <c r="G155" s="17">
        <f>VLOOKUP(A155,All!A:AM,31,0)</f>
        <v>0</v>
      </c>
      <c r="H155" s="17">
        <f>VLOOKUP(A155,All!A:AM,29,0)</f>
        <v>0</v>
      </c>
      <c r="I155" s="6">
        <f>VLOOKUP(A155,All!A:AM,33,0)</f>
        <v>0</v>
      </c>
      <c r="J155" s="6">
        <f>VLOOKUP(A155,All!A:AM,32,0)</f>
        <v>0</v>
      </c>
      <c r="K155" s="95">
        <f>VLOOKUP(A155,All!A:AM,39,0)</f>
        <v>0</v>
      </c>
      <c r="L155" s="95">
        <f>VLOOKUP(A155,All!A:AM,38,0)</f>
        <v>0</v>
      </c>
      <c r="M155" s="96">
        <f>VLOOKUP(A155,'SYS Allocations'!A:G,2,0)</f>
        <v>0</v>
      </c>
      <c r="N155" s="96">
        <f>VLOOKUP(A155,'SYS Allocations'!A:G,3,0)</f>
        <v>0</v>
      </c>
      <c r="O155" s="96">
        <f>VLOOKUP(A155,'SYS Allocations'!A:G,4,0)</f>
        <v>0</v>
      </c>
      <c r="P155" s="96">
        <f>VLOOKUP(A155,'SYS Allocations'!A:G,5,0)</f>
        <v>0</v>
      </c>
      <c r="Q155" s="96">
        <f>VLOOKUP(A155,'SYS Allocations'!A:G,6,0)</f>
        <v>0</v>
      </c>
      <c r="R155" s="12">
        <f>VLOOKUP(A155,'SYS Allocations'!A:G,7,0)</f>
        <v>0</v>
      </c>
      <c r="S155" s="323"/>
    </row>
    <row r="156" spans="1:19">
      <c r="A156" s="38" t="s">
        <v>172</v>
      </c>
      <c r="B156" s="41" t="str">
        <f>VLOOKUP(A156,All!A:AM,2,0)</f>
        <v>NORTH WEST</v>
      </c>
      <c r="C156" s="42">
        <f>VLOOKUP(A156,All!A:AM,11,0)</f>
        <v>45600</v>
      </c>
      <c r="D156" s="32"/>
      <c r="E156" s="17">
        <f>VLOOKUP(A156,All!A:AM,30,0)</f>
        <v>52.619481308005902</v>
      </c>
      <c r="F156" s="17">
        <f>VLOOKUP(A156,All!A:AM,28,0)</f>
        <v>52.899880000000003</v>
      </c>
      <c r="G156" s="17">
        <f>VLOOKUP(A156,All!A:AM,31,0)</f>
        <v>48.763043733145743</v>
      </c>
      <c r="H156" s="17">
        <f>VLOOKUP(A156,All!A:AM,29,0)</f>
        <v>45.333100000000002</v>
      </c>
      <c r="I156" s="6">
        <f>VLOOKUP(A156,All!A:AM,33,0)</f>
        <v>10.68321257669168</v>
      </c>
      <c r="J156" s="6">
        <f>VLOOKUP(A156,All!A:AM,32,0)</f>
        <v>5.6973999999999796</v>
      </c>
      <c r="K156" s="334">
        <f>VLOOKUP(A156,All!A:AM,39,0)</f>
        <v>25.443999999999999</v>
      </c>
      <c r="L156" s="334">
        <f>VLOOKUP(A156,All!A:AM,38,0)</f>
        <v>28.624499999999998</v>
      </c>
      <c r="M156" s="96" t="str">
        <f>VLOOKUP(A156,'SYS Allocations'!A:G,2,0)</f>
        <v>P-Core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2</v>
      </c>
      <c r="S156" s="323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45600</v>
      </c>
      <c r="D157" s="32"/>
      <c r="E157" s="17">
        <f>VLOOKUP(A157,All!A:AM,30,0)</f>
        <v>63.949605343047963</v>
      </c>
      <c r="F157" s="17">
        <f>VLOOKUP(A157,All!A:AM,28,0)</f>
        <v>64.290379999999999</v>
      </c>
      <c r="G157" s="17">
        <f>VLOOKUP(A157,All!A:AM,31,0)</f>
        <v>61.015359362176106</v>
      </c>
      <c r="H157" s="17">
        <f>VLOOKUP(A157,All!A:AM,29,0)</f>
        <v>56.723599999999998</v>
      </c>
      <c r="I157" s="6">
        <f>VLOOKUP(A157,All!A:AM,33,0)</f>
        <v>32.041574786613268</v>
      </c>
      <c r="J157" s="6">
        <f>VLOOKUP(A157,All!A:AM,32,0)</f>
        <v>17.087900000000001</v>
      </c>
      <c r="K157" s="335"/>
      <c r="L157" s="335"/>
      <c r="M157" s="96">
        <f>VLOOKUP(A157,'SYS Allocations'!A:G,2,0)</f>
        <v>0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3"/>
    </row>
    <row r="158" spans="1:19">
      <c r="A158" s="37" t="s">
        <v>174</v>
      </c>
      <c r="B158" s="41" t="str">
        <f>VLOOKUP(A158,All!A:AM,2,0)</f>
        <v>NORTH WEST</v>
      </c>
      <c r="C158" s="42">
        <f>VLOOKUP(A158,All!A:AM,11,0)</f>
        <v>45600</v>
      </c>
      <c r="D158" s="32"/>
      <c r="E158" s="17">
        <f>VLOOKUP(A158,All!A:AM,30,0)</f>
        <v>49.233296823658272</v>
      </c>
      <c r="F158" s="17">
        <f>VLOOKUP(A158,All!A:AM,28,0)</f>
        <v>97.991</v>
      </c>
      <c r="G158" s="17">
        <f>VLOOKUP(A158,All!A:AM,31,0)</f>
        <v>37.470489038785836</v>
      </c>
      <c r="H158" s="17">
        <f>VLOOKUP(A158,All!A:AM,29,0)</f>
        <v>60.549500000000002</v>
      </c>
      <c r="I158" s="6">
        <f>VLOOKUP(A158,All!A:AM,33,0)</f>
        <v>28.950232887808756</v>
      </c>
      <c r="J158" s="6">
        <f>VLOOKUP(A158,All!A:AM,32,0)</f>
        <v>41.171399999999899</v>
      </c>
      <c r="K158" s="334">
        <f>VLOOKUP(A158,All!A:AM,39,0)</f>
        <v>45.965066666666665</v>
      </c>
      <c r="L158" s="334">
        <f>VLOOKUP(A158,All!A:AM,38,0)</f>
        <v>172.369</v>
      </c>
      <c r="M158" s="96" t="str">
        <f>VLOOKUP(A158,'SYS Allocations'!A:G,2,0)</f>
        <v>P-Core</v>
      </c>
      <c r="N158" s="96" t="str">
        <f>VLOOKUP(A158,'SYS Allocations'!A:G,3,0)</f>
        <v>RA</v>
      </c>
      <c r="O158" s="96" t="str">
        <f>VLOOKUP(A158,'SYS Allocations'!A:G,4,0)</f>
        <v>PX</v>
      </c>
      <c r="P158" s="96">
        <f>VLOOKUP(A158,'SYS Allocations'!A:G,5,0)</f>
        <v>0</v>
      </c>
      <c r="Q158" s="96" t="str">
        <f>VLOOKUP(A158,'SYS Allocations'!A:G,6,0)</f>
        <v>OPEX</v>
      </c>
      <c r="R158" s="12">
        <f>VLOOKUP(A158,'SYS Allocations'!A:G,7,0)</f>
        <v>19.625</v>
      </c>
      <c r="S158" s="323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45600</v>
      </c>
      <c r="D159" s="32"/>
      <c r="E159" s="17">
        <f>VLOOKUP(A159,All!A:AM,30,0)</f>
        <v>48.95947426067908</v>
      </c>
      <c r="F159" s="17">
        <f>VLOOKUP(A159,All!A:AM,28,0)</f>
        <v>97.445999999999998</v>
      </c>
      <c r="G159" s="17">
        <f>VLOOKUP(A159,All!A:AM,31,0)</f>
        <v>37.133220910623947</v>
      </c>
      <c r="H159" s="17">
        <f>VLOOKUP(A159,All!A:AM,29,0)</f>
        <v>60.0045</v>
      </c>
      <c r="I159" s="6">
        <f>VLOOKUP(A159,All!A:AM,33,0)</f>
        <v>28.567008685477628</v>
      </c>
      <c r="J159" s="6">
        <f>VLOOKUP(A159,All!A:AM,32,0)</f>
        <v>40.626399999999897</v>
      </c>
      <c r="K159" s="335"/>
      <c r="L159" s="335"/>
      <c r="M159" s="96">
        <f>VLOOKUP(A159,'SYS Allocations'!A:G,2,0)</f>
        <v>0</v>
      </c>
      <c r="N159" s="96">
        <f>VLOOKUP(A159,'SYS Allocations'!A:G,3,0)</f>
        <v>0</v>
      </c>
      <c r="O159" s="96">
        <f>VLOOKUP(A159,'SYS Allocations'!A:G,4,0)</f>
        <v>0</v>
      </c>
      <c r="P159" s="96">
        <f>VLOOKUP(A159,'SYS Allocations'!A:G,5,0)</f>
        <v>0</v>
      </c>
      <c r="Q159" s="96">
        <f>VLOOKUP(A159,'SYS Allocations'!A:G,6,0)</f>
        <v>0</v>
      </c>
      <c r="R159" s="12">
        <f>VLOOKUP(A159,'SYS Allocations'!A:G,7,0)</f>
        <v>19.825000000000003</v>
      </c>
      <c r="S159" s="323"/>
    </row>
    <row r="160" spans="1:19">
      <c r="A160" s="35" t="s">
        <v>176</v>
      </c>
      <c r="B160" s="41" t="str">
        <f>VLOOKUP(A160,All!A:AM,2,0)</f>
        <v>NORTH EAST</v>
      </c>
      <c r="C160" s="42">
        <f>VLOOKUP(A160,All!A:AM,11,0)</f>
        <v>44391.458333333299</v>
      </c>
      <c r="D160" s="32"/>
      <c r="E160" s="17">
        <f>VLOOKUP(A160,All!A:AM,30,0)</f>
        <v>72.817460317460316</v>
      </c>
      <c r="F160" s="17">
        <f>VLOOKUP(A160,All!A:AM,28,0)</f>
        <v>20.0015</v>
      </c>
      <c r="G160" s="17">
        <f>VLOOKUP(A160,All!A:AM,31,0)</f>
        <v>73.189823874755376</v>
      </c>
      <c r="H160" s="17">
        <f>VLOOKUP(A160,All!A:AM,29,0)</f>
        <v>20.382999999999999</v>
      </c>
      <c r="I160" s="6">
        <f>VLOOKUP(A160,All!A:AM,33,0)</f>
        <v>26.138611902500593</v>
      </c>
      <c r="J160" s="6">
        <f>VLOOKUP(A160,All!A:AM,32,0)</f>
        <v>2.6422999999999801</v>
      </c>
      <c r="K160" s="20">
        <f>VLOOKUP(A160,All!A:AM,39,0)</f>
        <v>66.815555555555548</v>
      </c>
      <c r="L160" s="20">
        <f>VLOOKUP(A160,All!A:AM,38,0)</f>
        <v>15.0335</v>
      </c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0</v>
      </c>
      <c r="S160" s="323"/>
    </row>
    <row r="161" spans="1:19">
      <c r="A161" s="35" t="s">
        <v>177</v>
      </c>
      <c r="B161" s="41" t="str">
        <f>VLOOKUP(A161,All!A:AM,2,0)</f>
        <v>SOUTH EAST</v>
      </c>
      <c r="C161" s="42">
        <f>VLOOKUP(A161,All!A:AM,11,0)</f>
        <v>44663</v>
      </c>
      <c r="D161" s="32"/>
      <c r="E161" s="17">
        <f>VLOOKUP(A161,All!A:AM,30,0)</f>
        <v>65.691753601589667</v>
      </c>
      <c r="F161" s="17">
        <f>VLOOKUP(A161,All!A:AM,28,0)</f>
        <v>23.06222</v>
      </c>
      <c r="G161" s="17">
        <f>VLOOKUP(A161,All!A:AM,31,0)</f>
        <v>45.459032576505429</v>
      </c>
      <c r="H161" s="17">
        <f>VLOOKUP(A161,All!A:AM,29,0)</f>
        <v>10.0389</v>
      </c>
      <c r="I161" s="6">
        <f>VLOOKUP(A161,All!A:AM,33,0)</f>
        <v>66.122980513928269</v>
      </c>
      <c r="J161" s="6">
        <f>VLOOKUP(A161,All!A:AM,32,0)</f>
        <v>23.5091</v>
      </c>
      <c r="K161" s="20">
        <f>VLOOKUP(A161,All!A:AM,39,0)</f>
        <v>64.312592592592594</v>
      </c>
      <c r="L161" s="20">
        <f>VLOOKUP(A161,All!A:AM,38,0)</f>
        <v>21.705500000000001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4.8</v>
      </c>
      <c r="S161" s="323"/>
    </row>
    <row r="162" spans="1:19">
      <c r="A162" s="35" t="s">
        <v>178</v>
      </c>
      <c r="B162" s="41" t="str">
        <f>VLOOKUP(A162,All!A:AM,2,0)</f>
        <v>SCOTLAND</v>
      </c>
      <c r="C162" s="42">
        <f>VLOOKUP(A162,All!A:AM,11,0)</f>
        <v>44564.486111111102</v>
      </c>
      <c r="D162" s="32"/>
      <c r="E162" s="17">
        <f>VLOOKUP(A162,All!A:AM,30,0)</f>
        <v>61.111111111111107</v>
      </c>
      <c r="F162" s="17">
        <f>VLOOKUP(A162,All!A:AM,28,0)</f>
        <v>2.9975000000000001</v>
      </c>
      <c r="G162" s="17">
        <f>VLOOKUP(A162,All!A:AM,31,0)</f>
        <v>67.741935483870975</v>
      </c>
      <c r="H162" s="17">
        <f>VLOOKUP(A162,All!A:AM,29,0)</f>
        <v>4.0057499999999999</v>
      </c>
      <c r="I162" s="6">
        <f>VLOOKUP(A162,All!A:AM,33,0)</f>
        <v>44.80613425925926</v>
      </c>
      <c r="J162" s="6">
        <f>VLOOKUP(A162,All!A:AM,32,0)</f>
        <v>1.5485</v>
      </c>
      <c r="K162" s="20">
        <f>VLOOKUP(A162,All!A:AM,39,0)</f>
        <v>68.208333333333343</v>
      </c>
      <c r="L162" s="20">
        <f>VLOOKUP(A162,All!A:AM,38,0)</f>
        <v>4.0925000000000002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4</v>
      </c>
      <c r="S162" s="323"/>
    </row>
    <row r="163" spans="1:19">
      <c r="A163" s="35" t="s">
        <v>179</v>
      </c>
      <c r="B163" s="41" t="str">
        <f>VLOOKUP(A163,All!A:AM,2,0)</f>
        <v>NORTHERN HOME COUNTIES</v>
      </c>
      <c r="C163" s="42">
        <f>VLOOKUP(A163,All!A:AM,11,0)</f>
        <v>44553.416666666701</v>
      </c>
      <c r="D163" s="34"/>
      <c r="E163" s="17">
        <f>VLOOKUP(A163,All!A:AM,30,0)</f>
        <v>43.647540983606554</v>
      </c>
      <c r="F163" s="17">
        <f>VLOOKUP(A163,All!A:AM,28,0)</f>
        <v>19.502279999999999</v>
      </c>
      <c r="G163" s="17">
        <f>VLOOKUP(A163,All!A:AM,31,0)</f>
        <v>26.056338028169016</v>
      </c>
      <c r="H163" s="17">
        <f>VLOOKUP(A163,All!A:AM,29,0)</f>
        <v>8.8726000000000003</v>
      </c>
      <c r="I163" s="6">
        <f>VLOOKUP(A163,All!A:AM,33,0)</f>
        <v>29.180167409207503</v>
      </c>
      <c r="J163" s="6">
        <f>VLOOKUP(A163,All!A:AM,32,0)</f>
        <v>10.374599999999999</v>
      </c>
      <c r="K163" s="20">
        <f>VLOOKUP(A163,All!A:AM,39,0)</f>
        <v>53.37222222222222</v>
      </c>
      <c r="L163" s="20">
        <f>VLOOKUP(A163,All!A:AM,38,0)</f>
        <v>28.821000000000002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1</v>
      </c>
      <c r="S163" s="323"/>
    </row>
    <row r="164" spans="1:19">
      <c r="A164" s="35" t="s">
        <v>180</v>
      </c>
      <c r="B164" s="41" t="str">
        <f>VLOOKUP(A164,All!A:AM,2,0)</f>
        <v>THAMES VALLEY</v>
      </c>
      <c r="C164" s="42">
        <f>VLOOKUP(A164,All!A:AM,11,0)</f>
        <v>45098</v>
      </c>
      <c r="D164" s="5"/>
      <c r="E164" s="17">
        <f>VLOOKUP(A164,All!A:AM,30,0)</f>
        <v>46.780303030303024</v>
      </c>
      <c r="F164" s="17">
        <f>VLOOKUP(A164,All!A:AM,28,0)</f>
        <v>13.461499999999999</v>
      </c>
      <c r="G164" s="17">
        <f>VLOOKUP(A164,All!A:AM,31,0)</f>
        <v>21.288515406162468</v>
      </c>
      <c r="H164" s="17">
        <f>VLOOKUP(A164,All!A:AM,29,0)</f>
        <v>4.1420000000000003</v>
      </c>
      <c r="I164" s="6">
        <f>VLOOKUP(A164,All!A:AM,33,0)</f>
        <v>43.460555850906729</v>
      </c>
      <c r="J164" s="6">
        <f>VLOOKUP(A164,All!A:AM,32,0)</f>
        <v>11.7719</v>
      </c>
      <c r="K164" s="20">
        <f>VLOOKUP(A164,All!A:AM,39,0)</f>
        <v>53.592424242424229</v>
      </c>
      <c r="L164" s="20">
        <f>VLOOKUP(A164,All!A:AM,38,0)</f>
        <v>17.685499999999998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0.5</v>
      </c>
      <c r="S164" s="323"/>
    </row>
    <row r="165" spans="1:19">
      <c r="A165" s="35" t="s">
        <v>181</v>
      </c>
      <c r="B165" s="41" t="str">
        <f>VLOOKUP(A165,All!A:AM,2,0)</f>
        <v>MIDLANDS</v>
      </c>
      <c r="C165" s="42">
        <f>VLOOKUP(A165,All!A:AM,11,0)</f>
        <v>44624.375</v>
      </c>
      <c r="D165" s="5"/>
      <c r="E165" s="17">
        <f>VLOOKUP(A165,All!A:AM,30,0)</f>
        <v>74.141295862607336</v>
      </c>
      <c r="F165" s="17">
        <f>VLOOKUP(A165,All!A:AM,28,0)</f>
        <v>8.2818199999999997</v>
      </c>
      <c r="G165" s="17">
        <f>VLOOKUP(A165,All!A:AM,31,0)</f>
        <v>71.59699892818864</v>
      </c>
      <c r="H165" s="17">
        <f>VLOOKUP(A165,All!A:AM,29,0)</f>
        <v>7.2812000000000001</v>
      </c>
      <c r="I165" s="6">
        <f>VLOOKUP(A165,All!A:AM,33,0)</f>
        <v>59.720827755466367</v>
      </c>
      <c r="J165" s="6">
        <f>VLOOKUP(A165,All!A:AM,32,0)</f>
        <v>4.2827000000000099</v>
      </c>
      <c r="K165" s="20">
        <f>VLOOKUP(A165,All!A:AM,39,0)</f>
        <v>74.324444444444438</v>
      </c>
      <c r="L165" s="20">
        <f>VLOOKUP(A165,All!A:AM,38,0)</f>
        <v>8.3614999999999995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</v>
      </c>
      <c r="S165" s="323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44498.708333333299</v>
      </c>
      <c r="D166" s="5"/>
      <c r="E166" s="17">
        <f>VLOOKUP(A166,All!A:AM,30,0)</f>
        <v>34.084699453551913</v>
      </c>
      <c r="F166" s="17">
        <f>VLOOKUP(A166,All!A:AM,28,0)</f>
        <v>16.317299999999999</v>
      </c>
      <c r="G166" s="17">
        <f>VLOOKUP(A166,All!A:AM,31,0)</f>
        <v>14.222222222222223</v>
      </c>
      <c r="H166" s="17">
        <f>VLOOKUP(A166,All!A:AM,29,0)</f>
        <v>5.2320000000000002</v>
      </c>
      <c r="I166" s="6">
        <f>VLOOKUP(A166,All!A:AM,33,0)</f>
        <v>16.757676479898727</v>
      </c>
      <c r="J166" s="6">
        <f>VLOOKUP(A166,All!A:AM,32,0)</f>
        <v>6.3525000000000098</v>
      </c>
      <c r="K166" s="20">
        <f>VLOOKUP(A166,All!A:AM,39,0)</f>
        <v>68.365413533834584</v>
      </c>
      <c r="L166" s="20">
        <f>VLOOKUP(A166,All!A:AM,38,0)</f>
        <v>68.194500000000005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1</v>
      </c>
      <c r="S166" s="323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44729.636111111096</v>
      </c>
      <c r="D167" s="5"/>
      <c r="E167" s="17">
        <f>VLOOKUP(A167,All!A:AM,30,0)</f>
        <v>59.224999999999994</v>
      </c>
      <c r="F167" s="17">
        <f>VLOOKUP(A167,All!A:AM,28,0)</f>
        <v>12.911049999999999</v>
      </c>
      <c r="G167" s="17">
        <f>VLOOKUP(A167,All!A:AM,31,0)</f>
        <v>49.269051321928458</v>
      </c>
      <c r="H167" s="17">
        <f>VLOOKUP(A167,All!A:AM,29,0)</f>
        <v>8.6327999999999996</v>
      </c>
      <c r="I167" s="6">
        <f>VLOOKUP(A167,All!A:AM,33,0)</f>
        <v>41.378139179065037</v>
      </c>
      <c r="J167" s="6">
        <f>VLOOKUP(A167,All!A:AM,32,0)</f>
        <v>6.2742499999999897</v>
      </c>
      <c r="K167" s="20">
        <f>VLOOKUP(A167,All!A:AM,39,0)</f>
        <v>80.24677777777778</v>
      </c>
      <c r="L167" s="20">
        <f>VLOOKUP(A167,All!A:AM,38,0)</f>
        <v>36.111049999999999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0</v>
      </c>
      <c r="S167" s="323"/>
    </row>
    <row r="168" spans="1:19">
      <c r="A168" s="35" t="s">
        <v>184</v>
      </c>
      <c r="B168" s="41" t="str">
        <f>VLOOKUP(A168,All!A:AM,2,0)</f>
        <v>ANGLIA</v>
      </c>
      <c r="C168" s="42">
        <f>VLOOKUP(A168,All!A:AM,11,0)</f>
        <v>45600</v>
      </c>
      <c r="D168" s="5"/>
      <c r="E168" s="17">
        <f>VLOOKUP(A168,All!A:AM,30,0)</f>
        <v>45.355191256830601</v>
      </c>
      <c r="F168" s="17">
        <f>VLOOKUP(A168,All!A:AM,28,0)</f>
        <v>4.3425599999999998</v>
      </c>
      <c r="G168" s="17">
        <f>VLOOKUP(A168,All!A:AM,31,0)</f>
        <v>3.6144578313253013</v>
      </c>
      <c r="H168" s="17">
        <f>VLOOKUP(A168,All!A:AM,29,0)</f>
        <v>0.19620000000000001</v>
      </c>
      <c r="I168" s="6">
        <f>VLOOKUP(A168,All!A:AM,33,0)</f>
        <v>71.610147418867527</v>
      </c>
      <c r="J168" s="6">
        <f>VLOOKUP(A168,All!A:AM,32,0)</f>
        <v>13.19712</v>
      </c>
      <c r="K168" s="20">
        <f>VLOOKUP(A168,All!A:AM,39,0)</f>
        <v>53.493333333333332</v>
      </c>
      <c r="L168" s="20">
        <f>VLOOKUP(A168,All!A:AM,38,0)</f>
        <v>6.0179999999999998</v>
      </c>
      <c r="M168" s="96">
        <f>VLOOKUP(A168,'SYS Allocations'!A:G,2,0)</f>
        <v>0</v>
      </c>
      <c r="N168" s="96" t="str">
        <f>VLOOKUP(A168,'SYS Allocations'!A:G,3,0)</f>
        <v>RA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2.4</v>
      </c>
      <c r="S168" s="323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44565.75</v>
      </c>
      <c r="D169" s="5"/>
      <c r="E169" s="17">
        <f>VLOOKUP(A169,All!A:AM,30,0)</f>
        <v>54.596592735454834</v>
      </c>
      <c r="F169" s="17">
        <f>VLOOKUP(A169,All!A:AM,28,0)</f>
        <v>14.810919999999999</v>
      </c>
      <c r="G169" s="17">
        <f>VLOOKUP(A169,All!A:AM,31,0)</f>
        <v>22.256621947024424</v>
      </c>
      <c r="H169" s="17">
        <f>VLOOKUP(A169,All!A:AM,29,0)</f>
        <v>3.5261499999999999</v>
      </c>
      <c r="I169" s="6">
        <f>VLOOKUP(A169,All!A:AM,33,0)</f>
        <v>56.304101035901809</v>
      </c>
      <c r="J169" s="6">
        <f>VLOOKUP(A169,All!A:AM,32,0)</f>
        <v>15.871</v>
      </c>
      <c r="K169" s="20">
        <f>VLOOKUP(A169,All!A:AM,39,0)</f>
        <v>45.257777777777775</v>
      </c>
      <c r="L169" s="20">
        <f>VLOOKUP(A169,All!A:AM,38,0)</f>
        <v>10.183</v>
      </c>
      <c r="M169" s="96">
        <f>VLOOKUP(A169,'SYS Allocations'!A:G,2,0)</f>
        <v>0</v>
      </c>
      <c r="N169" s="96">
        <f>VLOOKUP(A169,'SYS Allocations'!A:G,3,0)</f>
        <v>0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1</v>
      </c>
      <c r="S169" s="323"/>
    </row>
    <row r="170" spans="1:19">
      <c r="A170" s="35" t="s">
        <v>186</v>
      </c>
      <c r="B170" s="41" t="str">
        <f>VLOOKUP(A170,All!A:AM,2,0)</f>
        <v>NORTH WEST</v>
      </c>
      <c r="C170" s="42">
        <f>VLOOKUP(A170,All!A:AM,11,0)</f>
        <v>45600</v>
      </c>
      <c r="D170" s="5"/>
      <c r="E170" s="17">
        <f>VLOOKUP(A170,All!A:AM,30,0)</f>
        <v>64.822404371584696</v>
      </c>
      <c r="F170" s="17">
        <f>VLOOKUP(A170,All!A:AM,28,0)</f>
        <v>10.344099999999999</v>
      </c>
      <c r="G170" s="17">
        <f>VLOOKUP(A170,All!A:AM,31,0)</f>
        <v>51.869158878504678</v>
      </c>
      <c r="H170" s="17">
        <f>VLOOKUP(A170,All!A:AM,29,0)</f>
        <v>6.0495000000000001</v>
      </c>
      <c r="I170" s="6">
        <f>VLOOKUP(A170,All!A:AM,33,0)</f>
        <v>62.357436376121342</v>
      </c>
      <c r="J170" s="6">
        <f>VLOOKUP(A170,All!A:AM,32,0)</f>
        <v>9.2991400000000208</v>
      </c>
      <c r="K170" s="20">
        <f>VLOOKUP(A170,All!A:AM,39,0)</f>
        <v>46.538095238095238</v>
      </c>
      <c r="L170" s="20">
        <f>VLOOKUP(A170,All!A:AM,38,0)</f>
        <v>4.8864999999999998</v>
      </c>
      <c r="M170" s="96">
        <f>VLOOKUP(A170,'SYS Allocations'!A:G,2,0)</f>
        <v>0</v>
      </c>
      <c r="N170" s="96" t="str">
        <f>VLOOKUP(A170,'SYS Allocations'!A:G,3,0)</f>
        <v>RA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1.7</v>
      </c>
      <c r="S170" s="323"/>
    </row>
    <row r="171" spans="1:19">
      <c r="A171" s="38" t="s">
        <v>187</v>
      </c>
      <c r="B171" s="41" t="str">
        <f>VLOOKUP(A171,All!A:AM,2,0)</f>
        <v>NORTH EAST</v>
      </c>
      <c r="C171" s="42">
        <f>VLOOKUP(A171,All!A:AM,11,0)</f>
        <v>45600</v>
      </c>
      <c r="D171" s="5"/>
      <c r="E171" s="17">
        <f>VLOOKUP(A171,All!A:AM,30,0)</f>
        <v>62.321523003701756</v>
      </c>
      <c r="F171" s="17">
        <f>VLOOKUP(A171,All!A:AM,28,0)</f>
        <v>30.829560000000001</v>
      </c>
      <c r="G171" s="17">
        <f>VLOOKUP(A171,All!A:AM,31,0)</f>
        <v>47.754353803849682</v>
      </c>
      <c r="H171" s="17">
        <f>VLOOKUP(A171,All!A:AM,29,0)</f>
        <v>17.0367</v>
      </c>
      <c r="I171" s="6">
        <f>VLOOKUP(A171,All!A:AM,33,0)</f>
        <v>55.883605998636682</v>
      </c>
      <c r="J171" s="6">
        <f>VLOOKUP(A171,All!A:AM,32,0)</f>
        <v>23.610600000000002</v>
      </c>
      <c r="K171" s="334">
        <f>VLOOKUP(A171,All!A:AM,39,0)</f>
        <v>28.907777777777781</v>
      </c>
      <c r="L171" s="334">
        <f>VLOOKUP(A171,All!A:AM,38,0)</f>
        <v>13.008500000000002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 t="str">
        <f>VLOOKUP(A171,'SYS Allocations'!A:G,6,0)</f>
        <v>OPEX</v>
      </c>
      <c r="R171" s="12">
        <f>VLOOKUP(A171,'SYS Allocations'!A:G,7,0)</f>
        <v>10.1</v>
      </c>
      <c r="S171" s="323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45600</v>
      </c>
      <c r="D172" s="5"/>
      <c r="E172" s="17">
        <f>VLOOKUP(A172,All!A:AM,30,0)</f>
        <v>63.619624613922539</v>
      </c>
      <c r="F172" s="17">
        <f>VLOOKUP(A172,All!A:AM,28,0)</f>
        <v>23.349979999999999</v>
      </c>
      <c r="G172" s="17">
        <f>VLOOKUP(A172,All!A:AM,31,0)</f>
        <v>23.865755127408327</v>
      </c>
      <c r="H172" s="17">
        <f>VLOOKUP(A172,All!A:AM,29,0)</f>
        <v>4.1856</v>
      </c>
      <c r="I172" s="6">
        <f>VLOOKUP(A172,All!A:AM,33,0)</f>
        <v>70.78585556255689</v>
      </c>
      <c r="J172" s="6">
        <f>VLOOKUP(A172,All!A:AM,32,0)</f>
        <v>32.353099999999998</v>
      </c>
      <c r="K172" s="335"/>
      <c r="L172" s="335"/>
      <c r="M172" s="96"/>
      <c r="N172" s="96"/>
      <c r="O172" s="96"/>
      <c r="P172" s="96"/>
      <c r="Q172" s="96"/>
      <c r="R172" s="12">
        <f>VLOOKUP(A172,'SYS Allocations'!A:G,7,0)</f>
        <v>11.200000000000001</v>
      </c>
      <c r="S172" s="323"/>
    </row>
    <row r="173" spans="1:19">
      <c r="A173" s="35" t="s">
        <v>189</v>
      </c>
      <c r="B173" s="41" t="str">
        <f>VLOOKUP(A173,All!A:AM,2,0)</f>
        <v>NORTH EAST</v>
      </c>
      <c r="C173" s="42">
        <f>VLOOKUP(A173,All!A:AM,11,0)</f>
        <v>44638.5</v>
      </c>
      <c r="D173" s="5"/>
      <c r="E173" s="17">
        <f>VLOOKUP(A173,All!A:AM,30,0)</f>
        <v>60.974456007568584</v>
      </c>
      <c r="F173" s="17">
        <f>VLOOKUP(A173,All!A:AM,28,0)</f>
        <v>11.240080000000001</v>
      </c>
      <c r="G173" s="17">
        <f>VLOOKUP(A173,All!A:AM,31,0)</f>
        <v>56.550362080315992</v>
      </c>
      <c r="H173" s="17">
        <f>VLOOKUP(A173,All!A:AM,29,0)</f>
        <v>9.3630999999999993</v>
      </c>
      <c r="I173" s="6">
        <f>VLOOKUP(A173,All!A:AM,33,0)</f>
        <v>28.834283000949469</v>
      </c>
      <c r="J173" s="6">
        <f>VLOOKUP(A173,All!A:AM,32,0)</f>
        <v>2.9147999999999801</v>
      </c>
      <c r="K173" s="20">
        <f>VLOOKUP(A173,All!A:AM,39,0)</f>
        <v>68.026666666666671</v>
      </c>
      <c r="L173" s="20">
        <f>VLOOKUP(A173,All!A:AM,38,0)</f>
        <v>15.306000000000001</v>
      </c>
      <c r="M173" s="96">
        <f>VLOOKUP(A173,'SYS Allocations'!A:G,2,0)</f>
        <v>0</v>
      </c>
      <c r="N173" s="96">
        <f>VLOOKUP(A173,'SYS Allocations'!A:G,3,0)</f>
        <v>0</v>
      </c>
      <c r="O173" s="96">
        <f>VLOOKUP(A173,'SYS Allocations'!A:G,4,0)</f>
        <v>0</v>
      </c>
      <c r="P173" s="96">
        <f>VLOOKUP(A173,'SYS Allocations'!A:G,5,0)</f>
        <v>0</v>
      </c>
      <c r="Q173" s="96">
        <f>VLOOKUP(A173,'SYS Allocations'!A:G,6,0)</f>
        <v>0</v>
      </c>
      <c r="R173" s="12">
        <f>VLOOKUP(A173,'SYS Allocations'!A:G,7,0)</f>
        <v>0</v>
      </c>
      <c r="S173" s="323"/>
    </row>
    <row r="174" spans="1:19">
      <c r="A174" s="35" t="s">
        <v>190</v>
      </c>
      <c r="B174" s="41" t="str">
        <f>VLOOKUP(A174,All!A:AM,2,0)</f>
        <v>WALES</v>
      </c>
      <c r="C174" s="42">
        <f>VLOOKUP(A174,All!A:AM,11,0)</f>
        <v>44532.583333333299</v>
      </c>
      <c r="D174" s="5"/>
      <c r="E174" s="17">
        <f>VLOOKUP(A174,All!A:AM,30,0)</f>
        <v>29.999999999999996</v>
      </c>
      <c r="F174" s="17">
        <f>VLOOKUP(A174,All!A:AM,28,0)</f>
        <v>3.597</v>
      </c>
      <c r="G174" s="17">
        <f>VLOOKUP(A174,All!A:AM,31,0)</f>
        <v>10.109731968701015</v>
      </c>
      <c r="H174" s="17">
        <f>VLOOKUP(A174,All!A:AM,29,0)</f>
        <v>0.94393956400000101</v>
      </c>
      <c r="I174" s="6">
        <f>VLOOKUP(A174,All!A:AM,33,0)</f>
        <v>28.043552812071248</v>
      </c>
      <c r="J174" s="6">
        <f>VLOOKUP(A174,All!A:AM,32,0)</f>
        <v>3.2709999999999901</v>
      </c>
      <c r="K174" s="20">
        <f>VLOOKUP(A174,All!A:AM,39,0)</f>
        <v>62.697777777777773</v>
      </c>
      <c r="L174" s="20">
        <f>VLOOKUP(A174,All!A:AM,38,0)</f>
        <v>14.106999999999999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3"/>
    </row>
    <row r="175" spans="1:19">
      <c r="A175" s="40" t="s">
        <v>191</v>
      </c>
      <c r="B175" s="41" t="str">
        <f>VLOOKUP(A175,All!A:AM,2,0)</f>
        <v>WALES</v>
      </c>
      <c r="C175" s="42">
        <f>VLOOKUP(A175,All!A:AM,11,0)</f>
        <v>44355.416666666701</v>
      </c>
      <c r="D175" s="19"/>
      <c r="E175" s="17">
        <f>VLOOKUP(A175,All!A:AM,30,0)</f>
        <v>63.541666666666664</v>
      </c>
      <c r="F175" s="17">
        <f>VLOOKUP(A175,All!A:AM,28,0)</f>
        <v>16.622499999999999</v>
      </c>
      <c r="G175" s="17">
        <f>VLOOKUP(A175,All!A:AM,31,0)</f>
        <v>53.825857519788926</v>
      </c>
      <c r="H175" s="17">
        <f>VLOOKUP(A175,All!A:AM,29,0)</f>
        <v>11.118</v>
      </c>
      <c r="I175" s="6">
        <f>VLOOKUP(A175,All!A:AM,33,0)</f>
        <v>49.247020008514156</v>
      </c>
      <c r="J175" s="6">
        <f>VLOOKUP(A175,All!A:AM,32,0)</f>
        <v>9.2544999999999806</v>
      </c>
      <c r="K175" s="334">
        <f>VLOOKUP(A175,All!A:AM,39,0)</f>
        <v>57.005555555555553</v>
      </c>
      <c r="L175" s="334">
        <f>VLOOKUP(A175,All!A:AM,38,0)</f>
        <v>25.6525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2</v>
      </c>
      <c r="S175" s="323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44355.5</v>
      </c>
      <c r="D176" s="19"/>
      <c r="E176" s="17">
        <f>VLOOKUP(A176,All!A:AM,30,0)</f>
        <v>50</v>
      </c>
      <c r="F176" s="17">
        <f>VLOOKUP(A176,All!A:AM,28,0)</f>
        <v>9.81</v>
      </c>
      <c r="G176" s="17">
        <f>VLOOKUP(A176,All!A:AM,31,0)</f>
        <v>21.397379912663755</v>
      </c>
      <c r="H176" s="17">
        <f>VLOOKUP(A176,All!A:AM,29,0)</f>
        <v>2.6705000000000001</v>
      </c>
      <c r="I176" s="6">
        <f>VLOOKUP(A176,All!A:AM,33,0)</f>
        <v>47.796934865900276</v>
      </c>
      <c r="J176" s="6">
        <f>VLOOKUP(A176,All!A:AM,32,0)</f>
        <v>8.9819999999999798</v>
      </c>
      <c r="K176" s="335"/>
      <c r="L176" s="335"/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0</v>
      </c>
      <c r="S176" s="323"/>
    </row>
    <row r="177" spans="1:19">
      <c r="A177" s="79" t="s">
        <v>193</v>
      </c>
      <c r="B177" s="41" t="str">
        <f>VLOOKUP(A177,All!A:AM,2,0)</f>
        <v>SOUTH WEST</v>
      </c>
      <c r="C177" s="42">
        <f>VLOOKUP(A177,All!A:AM,11,0)</f>
        <v>45600</v>
      </c>
      <c r="D177" s="5"/>
      <c r="E177" s="17">
        <f>VLOOKUP(A177,All!A:AM,30,0)</f>
        <v>87.96513140775437</v>
      </c>
      <c r="F177" s="17">
        <f>VLOOKUP(A177,All!A:AM,28,0)</f>
        <v>29.477959999999999</v>
      </c>
      <c r="G177" s="17">
        <f>VLOOKUP(A177,All!A:AM,31,0)</f>
        <v>85.098670962545313</v>
      </c>
      <c r="H177" s="17">
        <f>VLOOKUP(A177,All!A:AM,29,0)</f>
        <v>23.031700000000001</v>
      </c>
      <c r="I177" s="6">
        <f>VLOOKUP(A177,All!A:AM,33,0)</f>
        <v>82.451789195210267</v>
      </c>
      <c r="J177" s="6">
        <f>VLOOKUP(A177,All!A:AM,32,0)</f>
        <v>18.949400000000001</v>
      </c>
      <c r="K177" s="20">
        <f>VLOOKUP(A177,All!A:AM,39,0)</f>
        <v>83.370512820512815</v>
      </c>
      <c r="L177" s="20">
        <f>VLOOKUP(A177,All!A:AM,38,0)</f>
        <v>32.514499999999998</v>
      </c>
      <c r="M177" s="96">
        <f>VLOOKUP(A177,'SYS Allocations'!A:G,2,0)</f>
        <v>0</v>
      </c>
      <c r="N177" s="96" t="str">
        <f>VLOOKUP(A177,'SYS Allocations'!A:G,3,0)</f>
        <v>RA</v>
      </c>
      <c r="O177" s="96">
        <f>VLOOKUP(A177,'SYS Allocations'!A:G,4,0)</f>
        <v>0</v>
      </c>
      <c r="P177" s="96" t="str">
        <f>VLOOKUP(A177,'SYS Allocations'!A:G,5,0)</f>
        <v>AM</v>
      </c>
      <c r="Q177" s="96">
        <f>VLOOKUP(A177,'SYS Allocations'!A:G,6,0)</f>
        <v>0</v>
      </c>
      <c r="R177" s="12">
        <f>VLOOKUP(A177,'SYS Allocations'!A:G,7,0)</f>
        <v>6.8000000000000007</v>
      </c>
      <c r="S177" s="323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45600</v>
      </c>
      <c r="D178" s="19"/>
      <c r="E178" s="17">
        <f>VLOOKUP(A178,All!A:AM,30,0)</f>
        <v>92.681498829039825</v>
      </c>
      <c r="F178" s="17">
        <f>VLOOKUP(A178,All!A:AM,28,0)</f>
        <v>31.05846</v>
      </c>
      <c r="G178" s="17">
        <f>VLOOKUP(A178,All!A:AM,31,0)</f>
        <v>90.938380990737031</v>
      </c>
      <c r="H178" s="17">
        <f>VLOOKUP(A178,All!A:AM,29,0)</f>
        <v>24.612200000000001</v>
      </c>
      <c r="I178" s="6">
        <f>VLOOKUP(A178,All!A:AM,33,0)</f>
        <v>89.328790726817061</v>
      </c>
      <c r="J178" s="6">
        <f>VLOOKUP(A178,All!A:AM,32,0)</f>
        <v>20.529900000000001</v>
      </c>
      <c r="K178" s="20">
        <f>VLOOKUP(A178,All!A:AM,39,0)</f>
        <v>0</v>
      </c>
      <c r="L178" s="20">
        <f>VLOOKUP(A178,All!A:AM,38,0)</f>
        <v>0</v>
      </c>
      <c r="M178" s="96">
        <f>VLOOKUP(A178,'SYS Allocations'!A:G,2,0)</f>
        <v>0</v>
      </c>
      <c r="N178" s="96">
        <f>VLOOKUP(A178,'SYS Allocations'!A:G,3,0)</f>
        <v>0</v>
      </c>
      <c r="O178" s="96">
        <f>VLOOKUP(A178,'SYS Allocations'!A:G,4,0)</f>
        <v>0</v>
      </c>
      <c r="P178" s="96">
        <f>VLOOKUP(A178,'SYS Allocations'!A:G,5,0)</f>
        <v>0</v>
      </c>
      <c r="Q178" s="96">
        <f>VLOOKUP(A178,'SYS Allocations'!A:G,6,0)</f>
        <v>0</v>
      </c>
      <c r="R178" s="12">
        <f>VLOOKUP(A178,'SYS Allocations'!A:G,7,0)</f>
        <v>7.5</v>
      </c>
      <c r="S178" s="323"/>
    </row>
    <row r="179" spans="1:19">
      <c r="A179" s="37" t="s">
        <v>195</v>
      </c>
      <c r="B179" s="41" t="str">
        <f>VLOOKUP(A179,All!A:AM,2,0)</f>
        <v>SOUTH WEST</v>
      </c>
      <c r="C179" s="42">
        <f>VLOOKUP(A179,All!A:AM,11,0)</f>
        <v>43840</v>
      </c>
      <c r="D179" s="19"/>
      <c r="E179" s="17">
        <f>VLOOKUP(A179,All!A:AM,30,0)</f>
        <v>64.285714285714292</v>
      </c>
      <c r="F179" s="17">
        <f>VLOOKUP(A179,All!A:AM,28,0)</f>
        <v>14.715</v>
      </c>
      <c r="G179" s="17">
        <f>VLOOKUP(A179,All!A:AM,31,0)</f>
        <v>26.829268292682929</v>
      </c>
      <c r="H179" s="17">
        <f>VLOOKUP(A179,All!A:AM,29,0)</f>
        <v>2.9975000000000001</v>
      </c>
      <c r="I179" s="6">
        <f>VLOOKUP(A179,All!A:AM,33,0)</f>
        <v>70.931472947601989</v>
      </c>
      <c r="J179" s="6">
        <f>VLOOKUP(A179,All!A:AM,32,0)</f>
        <v>19.9482</v>
      </c>
      <c r="K179" s="334">
        <f>VLOOKUP(A179,All!A:AM,39,0)</f>
        <v>75.621505376344075</v>
      </c>
      <c r="L179" s="334">
        <f>VLOOKUP(A179,All!A:AM,38,0)</f>
        <v>87.91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1</v>
      </c>
      <c r="S179" s="323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44461.625</v>
      </c>
      <c r="D180" s="19"/>
      <c r="E180" s="17">
        <f>VLOOKUP(A180,All!A:AM,30,0)</f>
        <v>96.666666666666657</v>
      </c>
      <c r="F180" s="17">
        <f>VLOOKUP(A180,All!A:AM,28,0)</f>
        <v>31.61</v>
      </c>
      <c r="G180" s="17">
        <f>VLOOKUP(A180,All!A:AM,31,0)</f>
        <v>94.285714285714278</v>
      </c>
      <c r="H180" s="17">
        <f>VLOOKUP(A180,All!A:AM,29,0)</f>
        <v>17.984999999999999</v>
      </c>
      <c r="I180" s="6">
        <f>VLOOKUP(A180,All!A:AM,33,0)</f>
        <v>96.934206381350961</v>
      </c>
      <c r="J180" s="6">
        <f>VLOOKUP(A180,All!A:AM,32,0)</f>
        <v>34.4636</v>
      </c>
      <c r="K180" s="336"/>
      <c r="L180" s="336"/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1</v>
      </c>
      <c r="S180" s="323"/>
    </row>
    <row r="181" spans="1:19">
      <c r="A181" s="38" t="s">
        <v>197</v>
      </c>
      <c r="B181" s="41" t="str">
        <f>VLOOKUP(A181,All!A:AM,2,0)</f>
        <v>SOUTH WEST</v>
      </c>
      <c r="C181" s="42">
        <f>VLOOKUP(A181,All!A:AM,11,0)</f>
        <v>43840</v>
      </c>
      <c r="D181" s="19"/>
      <c r="E181" s="17">
        <f>VLOOKUP(A181,All!A:AM,30,0)</f>
        <v>64.285714285714292</v>
      </c>
      <c r="F181" s="17">
        <f>VLOOKUP(A181,All!A:AM,28,0)</f>
        <v>14.715</v>
      </c>
      <c r="G181" s="17">
        <f>VLOOKUP(A181,All!A:AM,31,0)</f>
        <v>26.829268292682929</v>
      </c>
      <c r="H181" s="17">
        <f>VLOOKUP(A181,All!A:AM,29,0)</f>
        <v>2.9975000000000001</v>
      </c>
      <c r="I181" s="6">
        <f>VLOOKUP(A181,All!A:AM,33,0)</f>
        <v>70.931472947601989</v>
      </c>
      <c r="J181" s="6">
        <f>VLOOKUP(A181,All!A:AM,32,0)</f>
        <v>19.9482</v>
      </c>
      <c r="K181" s="336"/>
      <c r="L181" s="336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1</v>
      </c>
      <c r="S181" s="323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44461.666666666701</v>
      </c>
      <c r="D182" s="19"/>
      <c r="E182" s="17">
        <f>VLOOKUP(A182,All!A:AM,30,0)</f>
        <v>62.962962962962969</v>
      </c>
      <c r="F182" s="17">
        <f>VLOOKUP(A182,All!A:AM,28,0)</f>
        <v>18.53</v>
      </c>
      <c r="G182" s="17">
        <f>VLOOKUP(A182,All!A:AM,31,0)</f>
        <v>27.272727272727273</v>
      </c>
      <c r="H182" s="17">
        <f>VLOOKUP(A182,All!A:AM,29,0)</f>
        <v>4.0875000000000004</v>
      </c>
      <c r="I182" s="6">
        <f>VLOOKUP(A182,All!A:AM,33,0)</f>
        <v>69.342063813509739</v>
      </c>
      <c r="J182" s="6">
        <f>VLOOKUP(A182,All!A:AM,32,0)</f>
        <v>24.653600000000001</v>
      </c>
      <c r="K182" s="335"/>
      <c r="L182" s="335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1</v>
      </c>
      <c r="S182" s="323"/>
    </row>
    <row r="183" spans="1:19">
      <c r="A183" s="37" t="s">
        <v>199</v>
      </c>
      <c r="B183" s="41" t="str">
        <f>VLOOKUP(A183,All!A:AM,2,0)</f>
        <v>SOUTH WEST</v>
      </c>
      <c r="C183" s="42">
        <f>VLOOKUP(A183,All!A:AM,11,0)</f>
        <v>45600</v>
      </c>
      <c r="D183" s="5"/>
      <c r="E183" s="17">
        <f>VLOOKUP(A183,All!A:AM,30,0)</f>
        <v>86.809873751648766</v>
      </c>
      <c r="F183" s="17">
        <f>VLOOKUP(A183,All!A:AM,28,0)</f>
        <v>40.17304</v>
      </c>
      <c r="G183" s="17">
        <f>VLOOKUP(A183,All!A:AM,31,0)</f>
        <v>85.290254793800898</v>
      </c>
      <c r="H183" s="17">
        <f>VLOOKUP(A183,All!A:AM,29,0)</f>
        <v>35.392299999999999</v>
      </c>
      <c r="I183" s="6">
        <f>VLOOKUP(A183,All!A:AM,33,0)</f>
        <v>77.09946575424695</v>
      </c>
      <c r="J183" s="6">
        <f>VLOOKUP(A183,All!A:AM,32,0)</f>
        <v>20.5504</v>
      </c>
      <c r="K183" s="20">
        <f>VLOOKUP(A183,All!A:AM,39,0)</f>
        <v>93.885299273729018</v>
      </c>
      <c r="L183" s="20">
        <f>VLOOKUP(A183,All!A:AM,38,0)</f>
        <v>93.721000000000004</v>
      </c>
      <c r="M183" s="96">
        <f>VLOOKUP(A183,'SYS Allocations'!A:G,2,0)</f>
        <v>0</v>
      </c>
      <c r="N183" s="96" t="str">
        <f>VLOOKUP(A183,'SYS Allocations'!A:G,3,0)</f>
        <v>RA</v>
      </c>
      <c r="O183" s="96">
        <f>VLOOKUP(A183,'SYS Allocations'!A:G,4,0)</f>
        <v>0</v>
      </c>
      <c r="P183" s="96" t="str">
        <f>VLOOKUP(A183,'SYS Allocations'!A:G,5,0)</f>
        <v>AM</v>
      </c>
      <c r="Q183" s="96">
        <f>VLOOKUP(A183,'SYS Allocations'!A:G,6,0)</f>
        <v>0</v>
      </c>
      <c r="R183" s="12">
        <f>VLOOKUP(A183,'SYS Allocations'!A:G,7,0)</f>
        <v>7.5</v>
      </c>
      <c r="S183" s="323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45600</v>
      </c>
      <c r="D184" s="5"/>
      <c r="E184" s="17">
        <f>VLOOKUP(A184,All!A:AM,30,0)</f>
        <v>83.8656491426418</v>
      </c>
      <c r="F184" s="17">
        <f>VLOOKUP(A184,All!A:AM,28,0)</f>
        <v>38.810540000000003</v>
      </c>
      <c r="G184" s="17">
        <f>VLOOKUP(A184,All!A:AM,31,0)</f>
        <v>82.006829524560032</v>
      </c>
      <c r="H184" s="17">
        <f>VLOOKUP(A184,All!A:AM,29,0)</f>
        <v>34.029800000000002</v>
      </c>
      <c r="I184" s="6">
        <f>VLOOKUP(A184,All!A:AM,33,0)</f>
        <v>71.98773936010565</v>
      </c>
      <c r="J184" s="6">
        <f>VLOOKUP(A184,All!A:AM,32,0)</f>
        <v>19.187899999999999</v>
      </c>
      <c r="K184" s="20">
        <f>VLOOKUP(A184,All!A:AM,39,0)</f>
        <v>92.52041071875783</v>
      </c>
      <c r="L184" s="20">
        <f>VLOOKUP(A184,All!A:AM,38,0)</f>
        <v>92.358500000000006</v>
      </c>
      <c r="M184" s="96">
        <f>VLOOKUP(A184,'SYS Allocations'!A:G,2,0)</f>
        <v>0</v>
      </c>
      <c r="N184" s="96">
        <f>VLOOKUP(A184,'SYS Allocations'!A:G,3,0)</f>
        <v>0</v>
      </c>
      <c r="O184" s="96">
        <f>VLOOKUP(A184,'SYS Allocations'!A:G,4,0)</f>
        <v>0</v>
      </c>
      <c r="P184" s="96">
        <f>VLOOKUP(A184,'SYS Allocations'!A:G,5,0)</f>
        <v>0</v>
      </c>
      <c r="Q184" s="96">
        <f>VLOOKUP(A184,'SYS Allocations'!A:G,6,0)</f>
        <v>0</v>
      </c>
      <c r="R184" s="12">
        <f>VLOOKUP(A184,'SYS Allocations'!A:G,7,0)</f>
        <v>12.5</v>
      </c>
      <c r="S184" s="323"/>
    </row>
    <row r="185" spans="1:19">
      <c r="A185" t="s">
        <v>201</v>
      </c>
      <c r="B185" s="41" t="str">
        <f>VLOOKUP(A185,All!A:AM,2,0)</f>
        <v>NORTH WEST</v>
      </c>
      <c r="C185" s="42">
        <f>VLOOKUP(A185,All!A:AM,11,0)</f>
        <v>44616.583333333299</v>
      </c>
      <c r="D185" s="5"/>
      <c r="E185" s="17">
        <f>VLOOKUP(A185,All!A:AM,30,0)</f>
        <v>91.999999999999986</v>
      </c>
      <c r="F185" s="17">
        <f>VLOOKUP(A185,All!A:AM,28,0)</f>
        <v>4.0111999999999997</v>
      </c>
      <c r="G185" s="17">
        <f>VLOOKUP(A185,All!A:AM,31,0)</f>
        <v>15.789473684210527</v>
      </c>
      <c r="H185" s="17">
        <f>VLOOKUP(A185,All!A:AM,29,0)</f>
        <v>6.54E-2</v>
      </c>
      <c r="I185" s="6">
        <f>VLOOKUP(A185,All!A:AM,33,0)</f>
        <v>95.635635635635623</v>
      </c>
      <c r="J185" s="6">
        <f>VLOOKUP(A185,All!A:AM,32,0)</f>
        <v>7.6431999999999798</v>
      </c>
      <c r="K185" s="20">
        <f>VLOOKUP(A185,All!A:AM,39,0)</f>
        <v>96.124444444444435</v>
      </c>
      <c r="L185" s="20">
        <f>VLOOKUP(A185,All!A:AM,38,0)</f>
        <v>8.6511999999999993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0</v>
      </c>
      <c r="S185" s="323"/>
    </row>
    <row r="186" spans="1:19">
      <c r="A186" s="37" t="s">
        <v>202</v>
      </c>
      <c r="B186" s="41" t="str">
        <f>VLOOKUP(A186,All!A:AM,2,0)</f>
        <v>SOUTH WEST</v>
      </c>
      <c r="C186" s="42">
        <f>VLOOKUP(A186,All!A:AM,11,0)</f>
        <v>45600</v>
      </c>
      <c r="D186" s="5"/>
      <c r="E186" s="17">
        <f>VLOOKUP(A186,All!A:AM,30,0)</f>
        <v>70.364004935660148</v>
      </c>
      <c r="F186" s="17">
        <f>VLOOKUP(A186,All!A:AM,28,0)</f>
        <v>34.808059999999998</v>
      </c>
      <c r="G186" s="17">
        <f>VLOOKUP(A186,All!A:AM,31,0)</f>
        <v>63.381432071875857</v>
      </c>
      <c r="H186" s="17">
        <f>VLOOKUP(A186,All!A:AM,29,0)</f>
        <v>25.3752</v>
      </c>
      <c r="I186" s="6">
        <f>VLOOKUP(A186,All!A:AM,33,0)</f>
        <v>58.765075829170605</v>
      </c>
      <c r="J186" s="6">
        <f>VLOOKUP(A186,All!A:AM,32,0)</f>
        <v>20.8931</v>
      </c>
      <c r="K186" s="20">
        <f>VLOOKUP(A186,All!A:AM,39,0)</f>
        <v>74.728148148148136</v>
      </c>
      <c r="L186" s="20">
        <f>VLOOKUP(A186,All!A:AM,38,0)</f>
        <v>50.441499999999998</v>
      </c>
      <c r="M186" s="96">
        <f>VLOOKUP(A186,'SYS Allocations'!A:G,2,0)</f>
        <v>0</v>
      </c>
      <c r="N186" s="96" t="str">
        <f>VLOOKUP(A186,'SYS Allocations'!A:G,3,0)</f>
        <v>RA</v>
      </c>
      <c r="O186" s="96">
        <f>VLOOKUP(A186,'SYS Allocations'!A:G,4,0)</f>
        <v>0</v>
      </c>
      <c r="P186" s="96" t="str">
        <f>VLOOKUP(A186,'SYS Allocations'!A:G,5,0)</f>
        <v>AM</v>
      </c>
      <c r="Q186" s="96">
        <f>VLOOKUP(A186,'SYS Allocations'!A:G,6,0)</f>
        <v>0</v>
      </c>
      <c r="R186" s="12">
        <f>VLOOKUP(A186,'SYS Allocations'!A:G,7,0)</f>
        <v>7.25</v>
      </c>
      <c r="S186" s="323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45600</v>
      </c>
      <c r="D187" s="5"/>
      <c r="E187" s="17">
        <f>VLOOKUP(A187,All!A:AM,30,0)</f>
        <v>95.152476643751115</v>
      </c>
      <c r="F187" s="17">
        <f>VLOOKUP(A187,All!A:AM,28,0)</f>
        <v>47.07056</v>
      </c>
      <c r="G187" s="17">
        <f>VLOOKUP(A187,All!A:AM,31,0)</f>
        <v>94.010345766403503</v>
      </c>
      <c r="H187" s="17">
        <f>VLOOKUP(A187,All!A:AM,29,0)</f>
        <v>37.637700000000002</v>
      </c>
      <c r="I187" s="6">
        <f>VLOOKUP(A187,All!A:AM,33,0)</f>
        <v>93.25525403897214</v>
      </c>
      <c r="J187" s="6">
        <f>VLOOKUP(A187,All!A:AM,32,0)</f>
        <v>33.1556</v>
      </c>
      <c r="K187" s="20">
        <f>VLOOKUP(A187,All!A:AM,39,0)</f>
        <v>0</v>
      </c>
      <c r="L187" s="20">
        <f>VLOOKUP(A187,All!A:AM,38,0)</f>
        <v>0</v>
      </c>
      <c r="M187" s="96">
        <f>VLOOKUP(A187,'SYS Allocations'!A:G,2,0)</f>
        <v>0</v>
      </c>
      <c r="N187" s="96">
        <f>VLOOKUP(A187,'SYS Allocations'!A:G,3,0)</f>
        <v>0</v>
      </c>
      <c r="O187" s="96">
        <f>VLOOKUP(A187,'SYS Allocations'!A:G,4,0)</f>
        <v>0</v>
      </c>
      <c r="P187" s="96">
        <f>VLOOKUP(A187,'SYS Allocations'!A:G,5,0)</f>
        <v>0</v>
      </c>
      <c r="Q187" s="96">
        <f>VLOOKUP(A187,'SYS Allocations'!A:G,6,0)</f>
        <v>0</v>
      </c>
      <c r="R187" s="12">
        <f>VLOOKUP(A187,'SYS Allocations'!A:G,7,0)</f>
        <v>7.25</v>
      </c>
      <c r="S187" s="323"/>
    </row>
    <row r="188" spans="1:19">
      <c r="A188" s="35" t="s">
        <v>204</v>
      </c>
      <c r="B188" s="41" t="str">
        <f>VLOOKUP(A188,All!A:AM,2,0)</f>
        <v>SCOTLAND</v>
      </c>
      <c r="C188" s="42">
        <f>VLOOKUP(A188,All!A:AM,11,0)</f>
        <v>44564.597222222197</v>
      </c>
      <c r="D188" s="5"/>
      <c r="E188" s="17">
        <f>VLOOKUP(A188,All!A:AM,30,0)</f>
        <v>74.444444444444443</v>
      </c>
      <c r="F188" s="17">
        <f>VLOOKUP(A188,All!A:AM,28,0)</f>
        <v>3.6515</v>
      </c>
      <c r="G188" s="17">
        <f>VLOOKUP(A188,All!A:AM,31,0)</f>
        <v>59.860383944153575</v>
      </c>
      <c r="H188" s="17">
        <f>VLOOKUP(A188,All!A:AM,29,0)</f>
        <v>1.8693500000000001</v>
      </c>
      <c r="I188" s="6">
        <f>VLOOKUP(A188,All!A:AM,33,0)</f>
        <v>75.451604311587403</v>
      </c>
      <c r="J188" s="6">
        <f>VLOOKUP(A188,All!A:AM,32,0)</f>
        <v>3.8527399999999998</v>
      </c>
      <c r="K188" s="20">
        <f>VLOOKUP(A188,All!A:AM,39,0)</f>
        <v>75.054726368159209</v>
      </c>
      <c r="L188" s="20">
        <f>VLOOKUP(A188,All!A:AM,38,0)</f>
        <v>3.7715000000000005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</v>
      </c>
      <c r="S188" s="323"/>
    </row>
    <row r="189" spans="1:19">
      <c r="A189" s="35" t="s">
        <v>205</v>
      </c>
      <c r="B189" s="41" t="str">
        <f>VLOOKUP(A189,All!A:AM,2,0)</f>
        <v>LONDON</v>
      </c>
      <c r="C189" s="42">
        <f>VLOOKUP(A189,All!A:AM,11,0)</f>
        <v>44531</v>
      </c>
      <c r="D189" s="5"/>
      <c r="E189" s="17">
        <f>VLOOKUP(A189,All!A:AM,30,0)</f>
        <v>37.304839968774395</v>
      </c>
      <c r="F189" s="17">
        <f>VLOOKUP(A189,All!A:AM,28,0)</f>
        <v>8.3341399999999997</v>
      </c>
      <c r="G189" s="17">
        <f>VLOOKUP(A189,All!A:AM,31,0)</f>
        <v>26.021876799078871</v>
      </c>
      <c r="H189" s="17">
        <f>VLOOKUP(A189,All!A:AM,29,0)</f>
        <v>4.9268000000000001</v>
      </c>
      <c r="I189" s="6">
        <f>VLOOKUP(A189,All!A:AM,33,0)</f>
        <v>67.322663068228479</v>
      </c>
      <c r="J189" s="6">
        <f>VLOOKUP(A189,All!A:AM,32,0)</f>
        <v>28.856539999999999</v>
      </c>
      <c r="K189" s="20">
        <f>VLOOKUP(A189,All!A:AM,39,0)</f>
        <v>62.649333333333324</v>
      </c>
      <c r="L189" s="20">
        <f>VLOOKUP(A189,All!A:AM,38,0)</f>
        <v>23.493499999999997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7.6000000000000005</v>
      </c>
      <c r="S189" s="323"/>
    </row>
    <row r="190" spans="1:19">
      <c r="A190" s="35" t="s">
        <v>206</v>
      </c>
      <c r="B190" s="41" t="str">
        <f>VLOOKUP(A190,All!A:AM,2,0)</f>
        <v>ANGLIA</v>
      </c>
      <c r="C190" s="42">
        <f>VLOOKUP(A190,All!A:AM,11,0)</f>
        <v>44782</v>
      </c>
      <c r="D190" s="5"/>
      <c r="E190" s="17">
        <f>VLOOKUP(A190,All!A:AM,30,0)</f>
        <v>48.224043715846996</v>
      </c>
      <c r="F190" s="17">
        <f>VLOOKUP(A190,All!A:AM,28,0)</f>
        <v>19.238499999999998</v>
      </c>
      <c r="G190" s="17">
        <f>VLOOKUP(A190,All!A:AM,31,0)</f>
        <v>37.766830870279144</v>
      </c>
      <c r="H190" s="17">
        <f>VLOOKUP(A190,All!A:AM,29,0)</f>
        <v>12.535</v>
      </c>
      <c r="I190" s="6">
        <f>VLOOKUP(A190,All!A:AM,33,0)</f>
        <v>20.903792543577605</v>
      </c>
      <c r="J190" s="6">
        <f>VLOOKUP(A190,All!A:AM,32,0)</f>
        <v>5.4589000000000301</v>
      </c>
      <c r="K190" s="20">
        <f>VLOOKUP(A190,All!A:AM,39,0)</f>
        <v>65.999176954732505</v>
      </c>
      <c r="L190" s="20">
        <f>VLOOKUP(A190,All!A:AM,38,0)</f>
        <v>40.094499999999996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3</v>
      </c>
      <c r="S190" s="323"/>
    </row>
    <row r="191" spans="1:19">
      <c r="A191" s="35" t="s">
        <v>207</v>
      </c>
      <c r="B191" s="41" t="str">
        <f>VLOOKUP(A191,All!A:AM,2,0)</f>
        <v>SCOTLAND</v>
      </c>
      <c r="C191" s="42">
        <f>VLOOKUP(A191,All!A:AM,11,0)</f>
        <v>45600</v>
      </c>
      <c r="D191" s="5"/>
      <c r="E191" s="17">
        <f>VLOOKUP(A191,All!A:AM,30,0)</f>
        <v>69.758064516129025</v>
      </c>
      <c r="F191" s="17">
        <f>VLOOKUP(A191,All!A:AM,28,0)</f>
        <v>9.4284999999999997</v>
      </c>
      <c r="G191" s="17">
        <f>VLOOKUP(A191,All!A:AM,31,0)</f>
        <v>60.526315789473685</v>
      </c>
      <c r="H191" s="17">
        <f>VLOOKUP(A191,All!A:AM,29,0)</f>
        <v>6.2675000000000001</v>
      </c>
      <c r="I191" s="6">
        <f>VLOOKUP(A191,All!A:AM,33,0)</f>
        <v>62.000780901383223</v>
      </c>
      <c r="J191" s="6">
        <f>VLOOKUP(A191,All!A:AM,32,0)</f>
        <v>6.66929999999999</v>
      </c>
      <c r="K191" s="20">
        <f>VLOOKUP(A191,All!A:AM,39,0)</f>
        <v>63.666666666666664</v>
      </c>
      <c r="L191" s="20">
        <f>VLOOKUP(A191,All!A:AM,38,0)</f>
        <v>7.1624999999999996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4</v>
      </c>
      <c r="S191" s="323"/>
    </row>
    <row r="192" spans="1:19">
      <c r="A192" s="35" t="s">
        <v>208</v>
      </c>
      <c r="B192" s="41" t="str">
        <f>VLOOKUP(A192,All!A:AM,2,0)</f>
        <v>SOUTH</v>
      </c>
      <c r="C192" s="42">
        <f>VLOOKUP(A192,All!A:AM,11,0)</f>
        <v>44992</v>
      </c>
      <c r="D192" s="5"/>
      <c r="E192" s="17">
        <f>VLOOKUP(A192,All!A:AM,30,0)</f>
        <v>61.500248385494288</v>
      </c>
      <c r="F192" s="17">
        <f>VLOOKUP(A192,All!A:AM,28,0)</f>
        <v>10.795360000000001</v>
      </c>
      <c r="G192" s="17">
        <f>VLOOKUP(A192,All!A:AM,31,0)</f>
        <v>40.096614016662855</v>
      </c>
      <c r="H192" s="17">
        <f>VLOOKUP(A192,All!A:AM,29,0)</f>
        <v>4.5234991825000002</v>
      </c>
      <c r="I192" s="6">
        <f>VLOOKUP(A192,All!A:AM,33,0)</f>
        <v>61.937911147156889</v>
      </c>
      <c r="J192" s="6">
        <f>VLOOKUP(A192,All!A:AM,32,0)</f>
        <v>10.997199999999999</v>
      </c>
      <c r="K192" s="20">
        <f>VLOOKUP(A192,All!A:AM,39,0)</f>
        <v>43.683333333333337</v>
      </c>
      <c r="L192" s="20">
        <f>VLOOKUP(A192,All!A:AM,38,0)</f>
        <v>5.242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0</v>
      </c>
      <c r="S192" s="323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45600</v>
      </c>
      <c r="D193" s="5"/>
      <c r="E193" s="17">
        <f>VLOOKUP(A193,All!A:AM,30,0)</f>
        <v>68.056894889103191</v>
      </c>
      <c r="F193" s="17">
        <f>VLOOKUP(A193,All!A:AM,28,0)</f>
        <v>36.924840000000003</v>
      </c>
      <c r="G193" s="17">
        <f>VLOOKUP(A193,All!A:AM,31,0)</f>
        <v>50.651769087523277</v>
      </c>
      <c r="H193" s="17">
        <f>VLOOKUP(A193,All!A:AM,29,0)</f>
        <v>17.788799999999998</v>
      </c>
      <c r="I193" s="6">
        <f>VLOOKUP(A193,All!A:AM,33,0)</f>
        <v>67.502587642320336</v>
      </c>
      <c r="J193" s="6">
        <f>VLOOKUP(A193,All!A:AM,32,0)</f>
        <v>35.999400000000001</v>
      </c>
      <c r="K193" s="20">
        <f>VLOOKUP(A193,All!A:AM,39,0)</f>
        <v>61.486666666666665</v>
      </c>
      <c r="L193" s="20">
        <f>VLOOKUP(A193,All!A:AM,38,0)</f>
        <v>27.669</v>
      </c>
      <c r="M193" s="96">
        <f>VLOOKUP(A193,'SYS Allocations'!A:G,2,0)</f>
        <v>0</v>
      </c>
      <c r="N193" s="96" t="str">
        <f>VLOOKUP(A193,'SYS Allocations'!A:G,3,0)</f>
        <v>RA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6.9</v>
      </c>
      <c r="S193" s="323"/>
    </row>
    <row r="194" spans="1:19">
      <c r="A194" s="37" t="s">
        <v>210</v>
      </c>
      <c r="B194" s="41" t="str">
        <f>VLOOKUP(A194,All!A:AM,2,0)</f>
        <v>MIDLANDS</v>
      </c>
      <c r="C194" s="42">
        <f>VLOOKUP(A194,All!A:AM,11,0)</f>
        <v>44490.666666666701</v>
      </c>
      <c r="D194" s="19"/>
      <c r="E194" s="17">
        <f>VLOOKUP(A194,All!A:AM,30,0)</f>
        <v>79.166666666666671</v>
      </c>
      <c r="F194" s="17">
        <f>VLOOKUP(A194,All!A:AM,28,0)</f>
        <v>5.1775000000000002</v>
      </c>
      <c r="G194" s="17">
        <f>VLOOKUP(A194,All!A:AM,31,0)</f>
        <v>77.272727272727266</v>
      </c>
      <c r="H194" s="17">
        <f>VLOOKUP(A194,All!A:AM,29,0)</f>
        <v>4.6325000000000003</v>
      </c>
      <c r="I194" s="6">
        <f>VLOOKUP(A194,All!A:AM,33,0)</f>
        <v>62.000780901383315</v>
      </c>
      <c r="J194" s="6">
        <f>VLOOKUP(A194,All!A:AM,32,0)</f>
        <v>2.2231000000000001</v>
      </c>
      <c r="K194" s="334">
        <f>VLOOKUP(A194,All!A:AM,39,0)</f>
        <v>53.493333333333332</v>
      </c>
      <c r="L194" s="334">
        <f>VLOOKUP(A194,All!A:AM,38,0)</f>
        <v>4.0119999999999996</v>
      </c>
      <c r="M194" s="96">
        <f>VLOOKUP(A194,'SYS Allocations'!A:G,2,0)</f>
        <v>0</v>
      </c>
      <c r="N194" s="96">
        <f>VLOOKUP(A194,'SYS Allocations'!A:G,3,0)</f>
        <v>0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0</v>
      </c>
      <c r="S194" s="323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44490.708333333299</v>
      </c>
      <c r="D195" s="19"/>
      <c r="E195" s="17">
        <f>VLOOKUP(A195,All!A:AM,30,0)</f>
        <v>67.5</v>
      </c>
      <c r="F195" s="17">
        <f>VLOOKUP(A195,All!A:AM,28,0)</f>
        <v>4.4145000000000003</v>
      </c>
      <c r="G195" s="17">
        <f>VLOOKUP(A195,All!A:AM,31,0)</f>
        <v>66.949152542372886</v>
      </c>
      <c r="H195" s="17">
        <f>VLOOKUP(A195,All!A:AM,29,0)</f>
        <v>4.3055000000000003</v>
      </c>
      <c r="I195" s="6">
        <f>VLOOKUP(A195,All!A:AM,33,0)</f>
        <v>45.573684857423792</v>
      </c>
      <c r="J195" s="6">
        <f>VLOOKUP(A195,All!A:AM,32,0)</f>
        <v>1.7797799999999999</v>
      </c>
      <c r="K195" s="335"/>
      <c r="L195" s="335"/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3"/>
    </row>
    <row r="196" spans="1:19">
      <c r="A196" s="35" t="s">
        <v>212</v>
      </c>
      <c r="B196" s="41" t="str">
        <f>VLOOKUP(A196,All!A:AM,2,0)</f>
        <v>SOUTH EAST</v>
      </c>
      <c r="C196" s="42">
        <f>VLOOKUP(A196,All!A:AM,11,0)</f>
        <v>44895</v>
      </c>
      <c r="D196" s="5"/>
      <c r="E196" s="17">
        <f>VLOOKUP(A196,All!A:AM,30,0)</f>
        <v>63.828862394436158</v>
      </c>
      <c r="F196" s="17">
        <f>VLOOKUP(A196,All!A:AM,28,0)</f>
        <v>22.40822</v>
      </c>
      <c r="G196" s="17">
        <f>VLOOKUP(A196,All!A:AM,31,0)</f>
        <v>42.497532082922014</v>
      </c>
      <c r="H196" s="17">
        <f>VLOOKUP(A196,All!A:AM,29,0)</f>
        <v>9.3849</v>
      </c>
      <c r="I196" s="6">
        <f>VLOOKUP(A196,All!A:AM,33,0)</f>
        <v>64.283504342738851</v>
      </c>
      <c r="J196" s="6">
        <f>VLOOKUP(A196,All!A:AM,32,0)</f>
        <v>22.8551</v>
      </c>
      <c r="K196" s="20">
        <f>VLOOKUP(A196,All!A:AM,39,0)</f>
        <v>62.374814814814812</v>
      </c>
      <c r="L196" s="20">
        <f>VLOOKUP(A196,All!A:AM,38,0)</f>
        <v>21.051500000000001</v>
      </c>
      <c r="M196" s="96">
        <f>VLOOKUP(A196,'SYS Allocations'!A:G,2,0)</f>
        <v>0</v>
      </c>
      <c r="N196" s="96" t="str">
        <f>VLOOKUP(A196,'SYS Allocations'!A:G,3,0)</f>
        <v>RA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2.7</v>
      </c>
      <c r="S196" s="323"/>
    </row>
    <row r="197" spans="1:19">
      <c r="A197" s="35" t="s">
        <v>213</v>
      </c>
      <c r="B197" s="41" t="str">
        <f>VLOOKUP(A197,All!A:AM,2,0)</f>
        <v>THAMES VALLEY</v>
      </c>
      <c r="C197" s="42">
        <f>VLOOKUP(A197,All!A:AM,11,0)</f>
        <v>44428.375</v>
      </c>
      <c r="D197" s="5"/>
      <c r="E197" s="17">
        <f>VLOOKUP(A197,All!A:AM,30,0)</f>
        <v>59.848484848484851</v>
      </c>
      <c r="F197" s="17">
        <f>VLOOKUP(A197,All!A:AM,28,0)</f>
        <v>34.444000000000003</v>
      </c>
      <c r="G197" s="17">
        <f>VLOOKUP(A197,All!A:AM,31,0)</f>
        <v>41.111111111111114</v>
      </c>
      <c r="H197" s="17">
        <f>VLOOKUP(A197,All!A:AM,29,0)</f>
        <v>16.132000000000001</v>
      </c>
      <c r="I197" s="6">
        <f>VLOOKUP(A197,All!A:AM,33,0)</f>
        <v>56.670116856427107</v>
      </c>
      <c r="J197" s="6">
        <f>VLOOKUP(A197,All!A:AM,32,0)</f>
        <v>30.2224</v>
      </c>
      <c r="K197" s="20">
        <f>VLOOKUP(A197,All!A:AM,39,0)</f>
        <v>26.641269841269839</v>
      </c>
      <c r="L197" s="20">
        <f>VLOOKUP(A197,All!A:AM,38,0)</f>
        <v>8.3919999999999995</v>
      </c>
      <c r="M197" s="96">
        <f>VLOOKUP(A197,'SYS Allocations'!A:G,2,0)</f>
        <v>0</v>
      </c>
      <c r="N197" s="96">
        <f>VLOOKUP(A197,'SYS Allocations'!A:G,3,0)</f>
        <v>0</v>
      </c>
      <c r="O197" s="96">
        <f>VLOOKUP(A197,'SYS Allocations'!A:G,4,0)</f>
        <v>0</v>
      </c>
      <c r="P197" s="96" t="str">
        <f>VLOOKUP(A197,'SYS Allocations'!A:G,5,0)</f>
        <v>AM</v>
      </c>
      <c r="Q197" s="96">
        <f>VLOOKUP(A197,'SYS Allocations'!A:G,6,0)</f>
        <v>0</v>
      </c>
      <c r="R197" s="12">
        <f>VLOOKUP(A197,'SYS Allocations'!A:G,7,0)</f>
        <v>16.2</v>
      </c>
      <c r="S197" s="323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45014</v>
      </c>
      <c r="D198" s="5"/>
      <c r="E198" s="17">
        <f>VLOOKUP(A198,All!A:AM,30,0)</f>
        <v>65.909090909090921</v>
      </c>
      <c r="F198" s="17">
        <f>VLOOKUP(A198,All!A:AM,28,0)</f>
        <v>23.7075</v>
      </c>
      <c r="G198" s="17">
        <f>VLOOKUP(A198,All!A:AM,31,0)</f>
        <v>62.748344370860934</v>
      </c>
      <c r="H198" s="17">
        <f>VLOOKUP(A198,All!A:AM,29,0)</f>
        <v>20.6555</v>
      </c>
      <c r="I198" s="6">
        <f>VLOOKUP(A198,All!A:AM,33,0)</f>
        <v>34.746168582375425</v>
      </c>
      <c r="J198" s="6">
        <f>VLOOKUP(A198,All!A:AM,32,0)</f>
        <v>6.5294999999999899</v>
      </c>
      <c r="K198" s="20">
        <f>VLOOKUP(A198,All!A:AM,39,0)</f>
        <v>65.9375</v>
      </c>
      <c r="L198" s="20">
        <f>VLOOKUP(A198,All!A:AM,38,0)</f>
        <v>23.737500000000001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>
        <f>VLOOKUP(A198,'SYS Allocations'!A:G,5,0)</f>
        <v>0</v>
      </c>
      <c r="Q198" s="96">
        <f>VLOOKUP(A198,'SYS Allocations'!A:G,6,0)</f>
        <v>0</v>
      </c>
      <c r="R198" s="12">
        <f>VLOOKUP(A198,'SYS Allocations'!A:G,7,0)</f>
        <v>0</v>
      </c>
      <c r="S198" s="323"/>
    </row>
    <row r="199" spans="1:19">
      <c r="A199" s="35" t="s">
        <v>215</v>
      </c>
      <c r="B199" s="41" t="str">
        <f>VLOOKUP(A199,All!A:AM,2,0)</f>
        <v>LONDON</v>
      </c>
      <c r="C199" s="42">
        <f>VLOOKUP(A199,All!A:AM,11,0)</f>
        <v>45600</v>
      </c>
      <c r="D199" s="5"/>
      <c r="E199" s="17">
        <f>VLOOKUP(A199,All!A:AM,30,0)</f>
        <v>83.350409836065566</v>
      </c>
      <c r="F199" s="17">
        <f>VLOOKUP(A199,All!A:AM,28,0)</f>
        <v>10.64058</v>
      </c>
      <c r="G199" s="17">
        <f>VLOOKUP(A199,All!A:AM,31,0)</f>
        <v>77.560414269275029</v>
      </c>
      <c r="H199" s="17">
        <f>VLOOKUP(A199,All!A:AM,29,0)</f>
        <v>7.3465999999999996</v>
      </c>
      <c r="I199" s="6">
        <f>VLOOKUP(A199,All!A:AM,33,0)</f>
        <v>78.97376543209856</v>
      </c>
      <c r="J199" s="6">
        <f>VLOOKUP(A199,All!A:AM,32,0)</f>
        <v>7.9832999999999803</v>
      </c>
      <c r="K199" s="20">
        <f>VLOOKUP(A199,All!A:AM,39,0)</f>
        <v>81.106666666666655</v>
      </c>
      <c r="L199" s="20">
        <f>VLOOKUP(A199,All!A:AM,38,0)</f>
        <v>9.1244999999999994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3"/>
    </row>
    <row r="200" spans="1:19">
      <c r="A200" s="35" t="s">
        <v>216</v>
      </c>
      <c r="B200" s="41" t="str">
        <f>VLOOKUP(A200,All!A:AM,2,0)</f>
        <v>NORTH EAST</v>
      </c>
      <c r="C200" s="42">
        <f>VLOOKUP(A200,All!A:AM,11,0)</f>
        <v>44698.5625</v>
      </c>
      <c r="D200" s="5"/>
      <c r="E200" s="17">
        <f>VLOOKUP(A200,All!A:AM,30,0)</f>
        <v>64.285714285714292</v>
      </c>
      <c r="F200" s="17">
        <f>VLOOKUP(A200,All!A:AM,28,0)</f>
        <v>14.715</v>
      </c>
      <c r="G200" s="17">
        <f>VLOOKUP(A200,All!A:AM,31,0)</f>
        <v>63.054187192118228</v>
      </c>
      <c r="H200" s="17">
        <f>VLOOKUP(A200,All!A:AM,29,0)</f>
        <v>13.952</v>
      </c>
      <c r="I200" s="6">
        <f>VLOOKUP(A200,All!A:AM,33,0)</f>
        <v>19.129867046533512</v>
      </c>
      <c r="J200" s="6">
        <f>VLOOKUP(A200,All!A:AM,32,0)</f>
        <v>1.93379999999998</v>
      </c>
      <c r="K200" s="20">
        <f>VLOOKUP(A200,All!A:AM,39,0)</f>
        <v>87.888888888888886</v>
      </c>
      <c r="L200" s="20">
        <f>VLOOKUP(A200,All!A:AM,38,0)</f>
        <v>59.325000000000003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3"/>
    </row>
    <row r="201" spans="1:19">
      <c r="A201" s="35" t="s">
        <v>217</v>
      </c>
      <c r="B201" s="41" t="str">
        <f>VLOOKUP(A201,All!A:AM,2,0)</f>
        <v>SOUTH WEST</v>
      </c>
      <c r="C201" s="42">
        <f>VLOOKUP(A201,All!A:AM,11,0)</f>
        <v>45182</v>
      </c>
      <c r="D201" s="5"/>
      <c r="E201" s="17">
        <f>VLOOKUP(A201,All!A:AM,30,0)</f>
        <v>59.523809523809526</v>
      </c>
      <c r="F201" s="17">
        <f>VLOOKUP(A201,All!A:AM,28,0)</f>
        <v>27.25</v>
      </c>
      <c r="G201" s="17">
        <f>VLOOKUP(A201,All!A:AM,31,0)</f>
        <v>17.073170731707318</v>
      </c>
      <c r="H201" s="17">
        <f>VLOOKUP(A201,All!A:AM,29,0)</f>
        <v>3.8149999999999999</v>
      </c>
      <c r="I201" s="6">
        <f>VLOOKUP(A201,All!A:AM,33,0)</f>
        <v>67.055669340615637</v>
      </c>
      <c r="J201" s="6">
        <f>VLOOKUP(A201,All!A:AM,32,0)</f>
        <v>37.7164000000001</v>
      </c>
      <c r="K201" s="20">
        <f>VLOOKUP(A201,All!A:AM,39,0)</f>
        <v>70.232931726907623</v>
      </c>
      <c r="L201" s="20">
        <f>VLOOKUP(A201,All!A:AM,38,0)</f>
        <v>43.72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3"/>
    </row>
    <row r="202" spans="1:19">
      <c r="A202" s="40" t="s">
        <v>218</v>
      </c>
      <c r="B202" s="41" t="str">
        <f>VLOOKUP(A202,All!A:AM,2,0)</f>
        <v>SOUTH WEST</v>
      </c>
      <c r="C202" s="42">
        <f>VLOOKUP(A202,All!A:AM,11,0)</f>
        <v>44846</v>
      </c>
      <c r="D202" s="19"/>
      <c r="E202" s="17">
        <f>VLOOKUP(A202,All!A:AM,30,0)</f>
        <v>47.687591630014659</v>
      </c>
      <c r="F202" s="17">
        <f>VLOOKUP(A202,All!A:AM,28,0)</f>
        <v>62.400320000000001</v>
      </c>
      <c r="G202" s="17">
        <f>VLOOKUP(A202,All!A:AM,31,0)</f>
        <v>33.234105889857531</v>
      </c>
      <c r="H202" s="17">
        <f>VLOOKUP(A202,All!A:AM,29,0)</f>
        <v>34.073399999999999</v>
      </c>
      <c r="I202" s="6">
        <f>VLOOKUP(A202,All!A:AM,33,0)</f>
        <v>56.003414215270254</v>
      </c>
      <c r="J202" s="6">
        <f>VLOOKUP(A202,All!A:AM,32,0)</f>
        <v>87.132799999999804</v>
      </c>
      <c r="K202" s="334">
        <f>VLOOKUP(A202,All!A:AM,39,0)</f>
        <v>71.901338199513376</v>
      </c>
      <c r="L202" s="334">
        <f>VLOOKUP(A202,All!A:AM,38,0)</f>
        <v>295.5145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36.5</v>
      </c>
      <c r="S202" s="323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52.161862527716188</v>
      </c>
      <c r="F203" s="17">
        <f>VLOOKUP(A203,All!A:AM,28,0)</f>
        <v>51.284500000000001</v>
      </c>
      <c r="G203" s="17">
        <f>VLOOKUP(A203,All!A:AM,31,0)</f>
        <v>47.854984894259815</v>
      </c>
      <c r="H203" s="17">
        <f>VLOOKUP(A203,All!A:AM,29,0)</f>
        <v>43.164000000000001</v>
      </c>
      <c r="I203" s="6">
        <f>VLOOKUP(A203,All!A:AM,33,0)</f>
        <v>44.80413556776054</v>
      </c>
      <c r="J203" s="6">
        <f>VLOOKUP(A203,All!A:AM,32,0)</f>
        <v>38.178500000000199</v>
      </c>
      <c r="K203" s="335"/>
      <c r="L203" s="335"/>
      <c r="M203" s="96" t="str">
        <f>VLOOKUP(A203,'SYS Allocations'!A:G,2,0)</f>
        <v>P-Core</v>
      </c>
      <c r="N203" s="96" t="str">
        <f>VLOOKUP(A203,'SYS Allocations'!A:G,3,0)</f>
        <v>RA</v>
      </c>
      <c r="O203" s="96" t="str">
        <f>VLOOKUP(A203,'SYS Allocations'!A:G,4,0)</f>
        <v>PX</v>
      </c>
      <c r="P203" s="96">
        <f>VLOOKUP(A203,'SYS Allocations'!A:G,5,0)</f>
        <v>0</v>
      </c>
      <c r="Q203" s="96" t="str">
        <f>VLOOKUP(A203,'SYS Allocations'!A:G,6,0)</f>
        <v>OPEX</v>
      </c>
      <c r="R203" s="12">
        <f>VLOOKUP(A203,'SYS Allocations'!A:G,7,0)</f>
        <v>10.600000000000001</v>
      </c>
      <c r="S203" s="323"/>
    </row>
    <row r="204" spans="1:19">
      <c r="A204" s="35" t="s">
        <v>220</v>
      </c>
      <c r="B204" s="41" t="str">
        <f>VLOOKUP(A204,All!A:AM,2,0)</f>
        <v>SOUTH WEST</v>
      </c>
      <c r="C204" s="42">
        <f>VLOOKUP(A204,All!A:AM,11,0)</f>
        <v>44719.5625</v>
      </c>
      <c r="D204" s="5"/>
      <c r="E204" s="17">
        <f>VLOOKUP(A204,All!A:AM,30,0)</f>
        <v>16.330645161290324</v>
      </c>
      <c r="F204" s="17">
        <f>VLOOKUP(A204,All!A:AM,28,0)</f>
        <v>0.88290000000000002</v>
      </c>
      <c r="G204" s="17">
        <f>VLOOKUP(A204,All!A:AM,31,0)</f>
        <v>1.1904761904761905</v>
      </c>
      <c r="H204" s="17">
        <f>VLOOKUP(A204,All!A:AM,29,0)</f>
        <v>5.45E-2</v>
      </c>
      <c r="I204" s="6">
        <f>VLOOKUP(A204,All!A:AM,33,0)</f>
        <v>26.363819867687422</v>
      </c>
      <c r="J204" s="6">
        <f>VLOOKUP(A204,All!A:AM,32,0)</f>
        <v>1.61953999999998</v>
      </c>
      <c r="K204" s="20">
        <f>VLOOKUP(A204,All!A:AM,39,0)</f>
        <v>98.899391727493907</v>
      </c>
      <c r="L204" s="20">
        <f>VLOOKUP(A204,All!A:AM,38,0)</f>
        <v>406.47649999999999</v>
      </c>
      <c r="M204" s="96">
        <f>VLOOKUP(A204,'SYS Allocations'!A:G,2,0)</f>
        <v>0</v>
      </c>
      <c r="N204" s="96">
        <f>VLOOKUP(A204,'SYS Allocations'!A:G,3,0)</f>
        <v>0</v>
      </c>
      <c r="O204" s="96">
        <f>VLOOKUP(A204,'SYS Allocations'!A:G,4,0)</f>
        <v>0</v>
      </c>
      <c r="P204" s="96">
        <f>VLOOKUP(A204,'SYS Allocations'!A:G,5,0)</f>
        <v>0</v>
      </c>
      <c r="Q204" s="96">
        <f>VLOOKUP(A204,'SYS Allocations'!A:G,6,0)</f>
        <v>0</v>
      </c>
      <c r="R204" s="12">
        <f>VLOOKUP(A204,'SYS Allocations'!A:G,7,0)</f>
        <v>0</v>
      </c>
      <c r="S204" s="323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45161</v>
      </c>
      <c r="D205" s="5"/>
      <c r="E205" s="17">
        <f>VLOOKUP(A205,All!A:AM,30,0)</f>
        <v>70.266795242687238</v>
      </c>
      <c r="F205" s="17">
        <f>VLOOKUP(A205,All!A:AM,28,0)</f>
        <v>19.061920000000001</v>
      </c>
      <c r="G205" s="17">
        <f>VLOOKUP(A205,All!A:AM,31,0)</f>
        <v>67.271118973905359</v>
      </c>
      <c r="H205" s="17">
        <f>VLOOKUP(A205,All!A:AM,29,0)</f>
        <v>16.578900000000001</v>
      </c>
      <c r="I205" s="6">
        <f>VLOOKUP(A205,All!A:AM,33,0)</f>
        <v>64.969425335278984</v>
      </c>
      <c r="J205" s="6">
        <f>VLOOKUP(A205,All!A:AM,32,0)</f>
        <v>14.9596</v>
      </c>
      <c r="K205" s="20">
        <f>VLOOKUP(A205,All!A:AM,39,0)</f>
        <v>78.490666666666655</v>
      </c>
      <c r="L205" s="20">
        <f>VLOOKUP(A205,All!A:AM,38,0)</f>
        <v>29.433999999999997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10.199999999999999</v>
      </c>
      <c r="S205" s="323"/>
    </row>
    <row r="206" spans="1:19">
      <c r="A206" s="35" t="s">
        <v>222</v>
      </c>
      <c r="B206" s="41" t="str">
        <f>VLOOKUP(A206,All!A:AM,2,0)</f>
        <v>NORTH EAST</v>
      </c>
      <c r="C206" s="42">
        <f>VLOOKUP(A206,All!A:AM,11,0)</f>
        <v>45600</v>
      </c>
      <c r="D206" s="5"/>
      <c r="E206" s="17">
        <f>VLOOKUP(A206,All!A:AM,30,0)</f>
        <v>57.956472583380446</v>
      </c>
      <c r="F206" s="17">
        <f>VLOOKUP(A206,All!A:AM,28,0)</f>
        <v>26.820540000000001</v>
      </c>
      <c r="G206" s="17">
        <f>VLOOKUP(A206,All!A:AM,31,0)</f>
        <v>46.02358633202298</v>
      </c>
      <c r="H206" s="17">
        <f>VLOOKUP(A206,All!A:AM,29,0)</f>
        <v>16.5898</v>
      </c>
      <c r="I206" s="6">
        <f>VLOOKUP(A206,All!A:AM,33,0)</f>
        <v>45.275583907114893</v>
      </c>
      <c r="J206" s="6">
        <f>VLOOKUP(A206,All!A:AM,32,0)</f>
        <v>16.097100000000001</v>
      </c>
      <c r="K206" s="20">
        <f>VLOOKUP(A206,All!A:AM,39,0)</f>
        <v>69.116666666666674</v>
      </c>
      <c r="L206" s="20">
        <f>VLOOKUP(A206,All!A:AM,38,0)</f>
        <v>43.543500000000002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0.25</v>
      </c>
      <c r="S206" s="323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45600</v>
      </c>
      <c r="D207" s="5"/>
      <c r="E207" s="17">
        <f>VLOOKUP(A207,All!A:AM,30,0)</f>
        <v>65.710382513661216</v>
      </c>
      <c r="F207" s="17">
        <f>VLOOKUP(A207,All!A:AM,28,0)</f>
        <v>26.214500000000001</v>
      </c>
      <c r="G207" s="17">
        <f>VLOOKUP(A207,All!A:AM,31,0)</f>
        <v>51.262135922330096</v>
      </c>
      <c r="H207" s="17">
        <f>VLOOKUP(A207,All!A:AM,29,0)</f>
        <v>14.388</v>
      </c>
      <c r="I207" s="6">
        <f>VLOOKUP(A207,All!A:AM,33,0)</f>
        <v>61.524290085954718</v>
      </c>
      <c r="J207" s="6">
        <f>VLOOKUP(A207,All!A:AM,32,0)</f>
        <v>21.874099999999999</v>
      </c>
      <c r="K207" s="20">
        <f>VLOOKUP(A207,All!A:AM,39,0)</f>
        <v>87.840444444444444</v>
      </c>
      <c r="L207" s="20">
        <f>VLOOKUP(A207,All!A:AM,38,0)</f>
        <v>98.820499999999996</v>
      </c>
      <c r="M207" s="96">
        <f>VLOOKUP(A207,'SYS Allocations'!A:G,2,0)</f>
        <v>0</v>
      </c>
      <c r="N207" s="96" t="str">
        <f>VLOOKUP(A207,'SYS Allocations'!A:G,3,0)</f>
        <v>RA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7.2</v>
      </c>
      <c r="S207" s="323"/>
    </row>
    <row r="208" spans="1:19">
      <c r="A208" s="35" t="s">
        <v>224</v>
      </c>
      <c r="B208" s="41" t="str">
        <f>VLOOKUP(A208,All!A:AM,2,0)</f>
        <v>SOUTH</v>
      </c>
      <c r="C208" s="42">
        <f>VLOOKUP(A208,All!A:AM,11,0)</f>
        <v>45600</v>
      </c>
      <c r="D208" s="5"/>
      <c r="E208" s="17">
        <f>VLOOKUP(A208,All!A:AM,30,0)</f>
        <v>56.644656952034005</v>
      </c>
      <c r="F208" s="17">
        <f>VLOOKUP(A208,All!A:AM,28,0)</f>
        <v>32.540860000000002</v>
      </c>
      <c r="G208" s="17">
        <f>VLOOKUP(A208,All!A:AM,31,0)</f>
        <v>36.315496098104795</v>
      </c>
      <c r="H208" s="17">
        <f>VLOOKUP(A208,All!A:AM,29,0)</f>
        <v>14.2027</v>
      </c>
      <c r="I208" s="6">
        <f>VLOOKUP(A208,All!A:AM,33,0)</f>
        <v>53.297743875913177</v>
      </c>
      <c r="J208" s="6">
        <f>VLOOKUP(A208,All!A:AM,32,0)</f>
        <v>28.4239</v>
      </c>
      <c r="K208" s="20">
        <f>VLOOKUP(A208,All!A:AM,39,0)</f>
        <v>70.481185185185183</v>
      </c>
      <c r="L208" s="20">
        <f>VLOOKUP(A208,All!A:AM,38,0)</f>
        <v>59.468499999999999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7.9</v>
      </c>
      <c r="S208" s="323"/>
    </row>
    <row r="209" spans="1:19">
      <c r="A209" s="35" t="s">
        <v>225</v>
      </c>
      <c r="B209" s="41" t="str">
        <f>VLOOKUP(A209,All!A:AM,2,0)</f>
        <v>THAMES VALLEY</v>
      </c>
      <c r="C209" s="42">
        <f>VLOOKUP(A209,All!A:AM,11,0)</f>
        <v>45600</v>
      </c>
      <c r="D209" s="5"/>
      <c r="E209" s="17">
        <f>VLOOKUP(A209,All!A:AM,30,0)</f>
        <v>57.600293216046914</v>
      </c>
      <c r="F209" s="17">
        <f>VLOOKUP(A209,All!A:AM,28,0)</f>
        <v>37.685659999999999</v>
      </c>
      <c r="G209" s="17">
        <f>VLOOKUP(A209,All!A:AM,31,0)</f>
        <v>43.48212302909171</v>
      </c>
      <c r="H209" s="17">
        <f>VLOOKUP(A209,All!A:AM,29,0)</f>
        <v>21.342199999999998</v>
      </c>
      <c r="I209" s="6">
        <f>VLOOKUP(A209,All!A:AM,33,0)</f>
        <v>47.983701603588194</v>
      </c>
      <c r="J209" s="6">
        <f>VLOOKUP(A209,All!A:AM,32,0)</f>
        <v>25.5899</v>
      </c>
      <c r="K209" s="20">
        <f>VLOOKUP(A209,All!A:AM,39,0)</f>
        <v>55.967460317460322</v>
      </c>
      <c r="L209" s="20">
        <f>VLOOKUP(A209,All!A:AM,38,0)</f>
        <v>35.259500000000003</v>
      </c>
      <c r="M209" s="96">
        <f>VLOOKUP(A209,'SYS Allocations'!A:G,2,0)</f>
        <v>0</v>
      </c>
      <c r="N209" s="96">
        <f>VLOOKUP(A209,'SYS Allocations'!A:G,3,0)</f>
        <v>0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8.1999999999999993</v>
      </c>
      <c r="S209" s="323"/>
    </row>
    <row r="210" spans="1:19">
      <c r="A210" s="35" t="s">
        <v>226</v>
      </c>
      <c r="B210" s="41" t="str">
        <f>VLOOKUP(A210,All!A:AM,2,0)</f>
        <v>LONDON</v>
      </c>
      <c r="C210" s="42">
        <f>VLOOKUP(A210,All!A:AM,11,0)</f>
        <v>45600</v>
      </c>
      <c r="D210" s="5"/>
      <c r="E210" s="17">
        <f>VLOOKUP(A210,All!A:AM,30,0)</f>
        <v>58.725490196078425</v>
      </c>
      <c r="F210" s="17">
        <f>VLOOKUP(A210,All!A:AM,28,0)</f>
        <v>32.645499999999998</v>
      </c>
      <c r="G210" s="17">
        <f>VLOOKUP(A210,All!A:AM,31,0)</f>
        <v>52.429378531073446</v>
      </c>
      <c r="H210" s="17">
        <f>VLOOKUP(A210,All!A:AM,29,0)</f>
        <v>25.288</v>
      </c>
      <c r="I210" s="6">
        <f>VLOOKUP(A210,All!A:AM,33,0)</f>
        <v>33.065824173259578</v>
      </c>
      <c r="J210" s="6">
        <f>VLOOKUP(A210,All!A:AM,32,0)</f>
        <v>11.3347</v>
      </c>
      <c r="K210" s="20">
        <f>VLOOKUP(A210,All!A:AM,39,0)</f>
        <v>78.148095238095223</v>
      </c>
      <c r="L210" s="20">
        <f>VLOOKUP(A210,All!A:AM,38,0)</f>
        <v>82.055499999999995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0</v>
      </c>
      <c r="S210" s="323"/>
    </row>
    <row r="211" spans="1:19">
      <c r="A211" s="35" t="s">
        <v>227</v>
      </c>
      <c r="B211" s="41" t="str">
        <f>VLOOKUP(A211,All!A:AM,2,0)</f>
        <v>NORTH EAST</v>
      </c>
      <c r="C211" s="42">
        <f>VLOOKUP(A211,All!A:AM,11,0)</f>
        <v>45356</v>
      </c>
      <c r="D211" s="5"/>
      <c r="E211" s="17">
        <f>VLOOKUP(A211,All!A:AM,30,0)</f>
        <v>61.920529801324513</v>
      </c>
      <c r="F211" s="17">
        <f>VLOOKUP(A211,All!A:AM,28,0)</f>
        <v>8.1532</v>
      </c>
      <c r="G211" s="17">
        <f>VLOOKUP(A211,All!A:AM,31,0)</f>
        <v>61.983471074380169</v>
      </c>
      <c r="H211" s="17">
        <f>VLOOKUP(A211,All!A:AM,29,0)</f>
        <v>8.1750000000000007</v>
      </c>
      <c r="I211" s="6">
        <f>VLOOKUP(A211,All!A:AM,33,0)</f>
        <v>4.0786654423018058</v>
      </c>
      <c r="J211" s="6">
        <f>VLOOKUP(A211,All!A:AM,32,0)</f>
        <v>0.2132</v>
      </c>
      <c r="K211" s="20">
        <f>VLOOKUP(A211,All!A:AM,39,0)</f>
        <v>88.85777777777777</v>
      </c>
      <c r="L211" s="20">
        <f>VLOOKUP(A211,All!A:AM,38,0)</f>
        <v>39.985999999999997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3"/>
    </row>
    <row r="212" spans="1:19">
      <c r="A212" s="35" t="s">
        <v>228</v>
      </c>
      <c r="B212" s="41" t="str">
        <f>VLOOKUP(A212,All!A:AM,2,0)</f>
        <v>MIDLANDS</v>
      </c>
      <c r="C212" s="42">
        <f>VLOOKUP(A212,All!A:AM,11,0)</f>
        <v>45600</v>
      </c>
      <c r="D212" s="5"/>
      <c r="E212" s="17">
        <f>VLOOKUP(A212,All!A:AM,30,0)</f>
        <v>61.36363636363636</v>
      </c>
      <c r="F212" s="17">
        <f>VLOOKUP(A212,All!A:AM,28,0)</f>
        <v>20.600999999999999</v>
      </c>
      <c r="G212" s="17">
        <f>VLOOKUP(A212,All!A:AM,31,0)</f>
        <v>35.675675675675677</v>
      </c>
      <c r="H212" s="17">
        <f>VLOOKUP(A212,All!A:AM,29,0)</f>
        <v>7.194</v>
      </c>
      <c r="I212" s="6">
        <f>VLOOKUP(A212,All!A:AM,33,0)</f>
        <v>63.517055938076588</v>
      </c>
      <c r="J212" s="6">
        <f>VLOOKUP(A212,All!A:AM,32,0)</f>
        <v>22.582599999999999</v>
      </c>
      <c r="K212" s="20">
        <f>VLOOKUP(A212,All!A:AM,39,0)</f>
        <v>71.175555555555547</v>
      </c>
      <c r="L212" s="20">
        <f>VLOOKUP(A212,All!A:AM,38,0)</f>
        <v>32.028999999999996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2</v>
      </c>
      <c r="S212" s="323"/>
    </row>
    <row r="213" spans="1:19">
      <c r="A213" s="35" t="s">
        <v>229</v>
      </c>
      <c r="B213" s="41" t="str">
        <f>VLOOKUP(A213,All!A:AM,2,0)</f>
        <v>ANGLIA</v>
      </c>
      <c r="C213" s="42">
        <f>VLOOKUP(A213,All!A:AM,11,0)</f>
        <v>44231</v>
      </c>
      <c r="D213" s="5"/>
      <c r="E213" s="17">
        <f>VLOOKUP(A213,All!A:AM,30,0)</f>
        <v>50.667880995749847</v>
      </c>
      <c r="F213" s="17">
        <f>VLOOKUP(A213,All!A:AM,28,0)</f>
        <v>7.27684</v>
      </c>
      <c r="G213" s="17">
        <f>VLOOKUP(A213,All!A:AM,31,0)</f>
        <v>18.444165621079044</v>
      </c>
      <c r="H213" s="17">
        <f>VLOOKUP(A213,All!A:AM,29,0)</f>
        <v>1.6023000000000001</v>
      </c>
      <c r="I213" s="6">
        <f>VLOOKUP(A213,All!A:AM,33,0)</f>
        <v>50.896817476158795</v>
      </c>
      <c r="J213" s="6">
        <f>VLOOKUP(A213,All!A:AM,32,0)</f>
        <v>7.3437999999999999</v>
      </c>
      <c r="K213" s="20">
        <f>VLOOKUP(A213,All!A:AM,39,0)</f>
        <v>63.666666666666657</v>
      </c>
      <c r="L213" s="20">
        <f>VLOOKUP(A213,All!A:AM,38,0)</f>
        <v>12.414999999999999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1</v>
      </c>
      <c r="S213" s="323"/>
    </row>
    <row r="214" spans="1:19">
      <c r="A214" s="35" t="s">
        <v>230</v>
      </c>
      <c r="B214" s="41" t="str">
        <f>VLOOKUP(A214,All!A:AM,2,0)</f>
        <v>MIDLANDS</v>
      </c>
      <c r="C214" s="42">
        <f>VLOOKUP(A214,All!A:AM,11,0)</f>
        <v>45600</v>
      </c>
      <c r="D214" s="5"/>
      <c r="E214" s="17">
        <f>VLOOKUP(A214,All!A:AM,30,0)</f>
        <v>44.423745653253846</v>
      </c>
      <c r="F214" s="17">
        <f>VLOOKUP(A214,All!A:AM,28,0)</f>
        <v>7.79786</v>
      </c>
      <c r="G214" s="17">
        <f>VLOOKUP(A214,All!A:AM,31,0)</f>
        <v>-10.08610086100861</v>
      </c>
      <c r="H214" s="17">
        <f>VLOOKUP(A214,All!A:AM,29,0)</f>
        <v>-0.89380000000000004</v>
      </c>
      <c r="I214" s="6">
        <f>VLOOKUP(A214,All!A:AM,33,0)</f>
        <v>53.819681133075825</v>
      </c>
      <c r="J214" s="6">
        <f>VLOOKUP(A214,All!A:AM,32,0)</f>
        <v>11.369300000000001</v>
      </c>
      <c r="K214" s="20">
        <f>VLOOKUP(A214,All!A:AM,39,0)</f>
        <v>45.802777777777784</v>
      </c>
      <c r="L214" s="20">
        <f>VLOOKUP(A214,All!A:AM,38,0)</f>
        <v>8.2445000000000004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1</v>
      </c>
      <c r="S214" s="323"/>
    </row>
    <row r="215" spans="1:19">
      <c r="A215" s="40" t="s">
        <v>231</v>
      </c>
      <c r="B215" s="41" t="str">
        <f>VLOOKUP(A215,All!A:AM,2,0)</f>
        <v>LONDON</v>
      </c>
      <c r="C215" s="42">
        <f>VLOOKUP(A215,All!A:AM,11,0)</f>
        <v>45600</v>
      </c>
      <c r="D215" s="5"/>
      <c r="E215" s="17">
        <f>VLOOKUP(A215,All!A:AM,30,0)</f>
        <v>83.045472287275572</v>
      </c>
      <c r="F215" s="17">
        <f>VLOOKUP(A215,All!A:AM,28,0)</f>
        <v>37.105780000000003</v>
      </c>
      <c r="G215" s="17">
        <f>VLOOKUP(A215,All!A:AM,31,0)</f>
        <v>75.817675713291592</v>
      </c>
      <c r="H215" s="17">
        <f>VLOOKUP(A215,All!A:AM,29,0)</f>
        <v>23.751100000000001</v>
      </c>
      <c r="I215" s="6">
        <f>VLOOKUP(A215,All!A:AM,33,0)</f>
        <v>81.052534165716239</v>
      </c>
      <c r="J215" s="6">
        <f>VLOOKUP(A215,All!A:AM,32,0)</f>
        <v>32.406100000000002</v>
      </c>
      <c r="K215" s="334">
        <f>VLOOKUP(A215,All!A:AM,39,0)</f>
        <v>52.795733333333338</v>
      </c>
      <c r="L215" s="334">
        <f>VLOOKUP(A215,All!A:AM,38,0)</f>
        <v>98.992000000000004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4</v>
      </c>
      <c r="S215" s="323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45600</v>
      </c>
      <c r="D216" s="5"/>
      <c r="E216" s="17">
        <f>VLOOKUP(A216,All!A:AM,30,0)</f>
        <v>42.79371584699453</v>
      </c>
      <c r="F216" s="17">
        <f>VLOOKUP(A216,All!A:AM,28,0)</f>
        <v>30.046939999999999</v>
      </c>
      <c r="G216" s="17">
        <f>VLOOKUP(A216,All!A:AM,31,0)</f>
        <v>24.051937345424566</v>
      </c>
      <c r="H216" s="17">
        <f>VLOOKUP(A216,All!A:AM,29,0)</f>
        <v>12.7203</v>
      </c>
      <c r="I216" s="6">
        <f>VLOOKUP(A216,All!A:AM,33,0)</f>
        <v>28.588318541275662</v>
      </c>
      <c r="J216" s="6">
        <f>VLOOKUP(A216,All!A:AM,32,0)</f>
        <v>16.079900000000102</v>
      </c>
      <c r="K216" s="336"/>
      <c r="L216" s="336"/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0</v>
      </c>
      <c r="S216" s="323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45600</v>
      </c>
      <c r="D217" s="5"/>
      <c r="E217" s="17">
        <f>VLOOKUP(A217,All!A:AM,30,0)</f>
        <v>58.796051471884375</v>
      </c>
      <c r="F217" s="17">
        <f>VLOOKUP(A217,All!A:AM,28,0)</f>
        <v>58.171120000000002</v>
      </c>
      <c r="G217" s="17">
        <f>VLOOKUP(A217,All!A:AM,31,0)</f>
        <v>55.188114066618738</v>
      </c>
      <c r="H217" s="17">
        <f>VLOOKUP(A217,All!A:AM,29,0)</f>
        <v>50.205399999999997</v>
      </c>
      <c r="I217" s="6">
        <f>VLOOKUP(A217,All!A:AM,33,0)</f>
        <v>23.559545775017625</v>
      </c>
      <c r="J217" s="6">
        <f>VLOOKUP(A217,All!A:AM,32,0)</f>
        <v>12.564399999999999</v>
      </c>
      <c r="K217" s="335"/>
      <c r="L217" s="335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3"/>
    </row>
    <row r="218" spans="1:19">
      <c r="A218" s="37" t="s">
        <v>234</v>
      </c>
      <c r="B218" s="41" t="str">
        <f>VLOOKUP(A218,All!A:AM,2,0)</f>
        <v>LONDON</v>
      </c>
      <c r="C218" s="42">
        <f>VLOOKUP(A218,All!A:AM,11,0)</f>
        <v>45600</v>
      </c>
      <c r="D218" s="19"/>
      <c r="E218" s="17">
        <f>VLOOKUP(A218,All!A:AM,30,0)</f>
        <v>56.7028027498678</v>
      </c>
      <c r="F218" s="17">
        <f>VLOOKUP(A218,All!A:AM,28,0)</f>
        <v>56.100119999999997</v>
      </c>
      <c r="G218" s="17">
        <f>VLOOKUP(A218,All!A:AM,31,0)</f>
        <v>46.042424658474637</v>
      </c>
      <c r="H218" s="17">
        <f>VLOOKUP(A218,All!A:AM,29,0)</f>
        <v>36.553150000000002</v>
      </c>
      <c r="I218" s="6">
        <f>VLOOKUP(A218,All!A:AM,33,0)</f>
        <v>40.622920825016628</v>
      </c>
      <c r="J218" s="6">
        <f>VLOOKUP(A218,All!A:AM,32,0)</f>
        <v>29.306999999999999</v>
      </c>
      <c r="K218" s="334">
        <f>VLOOKUP(A218,All!A:AM,39,0)</f>
        <v>51.92034805890227</v>
      </c>
      <c r="L218" s="334">
        <f>VLOOKUP(A218,All!A:AM,38,0)</f>
        <v>193.92249999999999</v>
      </c>
      <c r="M218" s="96" t="str">
        <f>VLOOKUP(A218,'SYS Allocations'!A:G,2,0)</f>
        <v>P-Core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15.85</v>
      </c>
      <c r="S218" s="323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45600</v>
      </c>
      <c r="D219" s="19"/>
      <c r="E219" s="17">
        <f>VLOOKUP(A219,All!A:AM,30,0)</f>
        <v>59.124815682192732</v>
      </c>
      <c r="F219" s="17">
        <f>VLOOKUP(A219,All!A:AM,28,0)</f>
        <v>59.439880000000002</v>
      </c>
      <c r="G219" s="17">
        <f>VLOOKUP(A219,All!A:AM,31,0)</f>
        <v>42.257619849900443</v>
      </c>
      <c r="H219" s="17">
        <f>VLOOKUP(A219,All!A:AM,29,0)</f>
        <v>30.0731</v>
      </c>
      <c r="I219" s="6">
        <f>VLOOKUP(A219,All!A:AM,33,0)</f>
        <v>53.767832230772804</v>
      </c>
      <c r="J219" s="6">
        <f>VLOOKUP(A219,All!A:AM,32,0)</f>
        <v>47.791000000000203</v>
      </c>
      <c r="K219" s="336"/>
      <c r="L219" s="336"/>
      <c r="M219" s="96" t="str">
        <f>VLOOKUP(A219,'SYS Allocations'!A:G,2,0)</f>
        <v>P-Core</v>
      </c>
      <c r="N219" s="96" t="str">
        <f>VLOOKUP(A219,'SYS Allocations'!A:G,3,0)</f>
        <v>RA</v>
      </c>
      <c r="O219" s="96" t="str">
        <f>VLOOKUP(A219,'SYS Allocations'!A:G,4,0)</f>
        <v>PX</v>
      </c>
      <c r="P219" s="96">
        <f>VLOOKUP(A219,'SYS Allocations'!A:G,5,0)</f>
        <v>0</v>
      </c>
      <c r="Q219" s="96" t="str">
        <f>VLOOKUP(A219,'SYS Allocations'!A:G,6,0)</f>
        <v>OPEX</v>
      </c>
      <c r="R219" s="12">
        <f>VLOOKUP(A219,'SYS Allocations'!A:G,7,0)</f>
        <v>15.85</v>
      </c>
      <c r="S219" s="323"/>
    </row>
    <row r="220" spans="1:19">
      <c r="A220" s="38" t="s">
        <v>236</v>
      </c>
      <c r="B220" s="41" t="str">
        <f>VLOOKUP(A220,All!A:AM,2,0)</f>
        <v>LONDON</v>
      </c>
      <c r="C220" s="42">
        <f>VLOOKUP(A220,All!A:AM,11,0)</f>
        <v>45600</v>
      </c>
      <c r="D220" s="19"/>
      <c r="E220" s="17">
        <f>VLOOKUP(A220,All!A:AM,30,0)</f>
        <v>55.552990071577007</v>
      </c>
      <c r="F220" s="17">
        <f>VLOOKUP(A220,All!A:AM,28,0)</f>
        <v>62.940959999999997</v>
      </c>
      <c r="G220" s="17">
        <f>VLOOKUP(A220,All!A:AM,31,0)</f>
        <v>33.933933933933936</v>
      </c>
      <c r="H220" s="17">
        <f>VLOOKUP(A220,All!A:AM,29,0)</f>
        <v>25.8657</v>
      </c>
      <c r="I220" s="6">
        <f>VLOOKUP(A220,All!A:AM,33,0)</f>
        <v>52.786778272805094</v>
      </c>
      <c r="J220" s="6">
        <f>VLOOKUP(A220,All!A:AM,32,0)</f>
        <v>56.302800000000097</v>
      </c>
      <c r="K220" s="336"/>
      <c r="L220" s="336"/>
      <c r="M220" s="96" t="str">
        <f>VLOOKUP(A220,'SYS Allocations'!A:G,2,0)</f>
        <v>P-Core</v>
      </c>
      <c r="N220" s="96">
        <f>VLOOKUP(A220,'SYS Allocations'!A:G,3,0)</f>
        <v>0</v>
      </c>
      <c r="O220" s="96">
        <f>VLOOKUP(A220,'SYS Allocations'!A:G,4,0)</f>
        <v>0</v>
      </c>
      <c r="P220" s="96">
        <f>VLOOKUP(A220,'SYS Allocations'!A:G,5,0)</f>
        <v>0</v>
      </c>
      <c r="Q220" s="96">
        <f>VLOOKUP(A220,'SYS Allocations'!A:G,6,0)</f>
        <v>0</v>
      </c>
      <c r="R220" s="12">
        <f>VLOOKUP(A220,'SYS Allocations'!A:G,7,0)</f>
        <v>5.75</v>
      </c>
      <c r="S220" s="323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45600</v>
      </c>
      <c r="D221" s="19"/>
      <c r="E221" s="17">
        <f>VLOOKUP(A221,All!A:AM,30,0)</f>
        <v>60.026552759178024</v>
      </c>
      <c r="F221" s="17">
        <f>VLOOKUP(A221,All!A:AM,28,0)</f>
        <v>68.009460000000004</v>
      </c>
      <c r="G221" s="17">
        <f>VLOOKUP(A221,All!A:AM,31,0)</f>
        <v>40.583440583440584</v>
      </c>
      <c r="H221" s="17">
        <f>VLOOKUP(A221,All!A:AM,29,0)</f>
        <v>30.934200000000001</v>
      </c>
      <c r="I221" s="6">
        <f>VLOOKUP(A221,All!A:AM,33,0)</f>
        <v>57.538758381711084</v>
      </c>
      <c r="J221" s="6">
        <f>VLOOKUP(A221,All!A:AM,32,0)</f>
        <v>61.371300000000097</v>
      </c>
      <c r="K221" s="335"/>
      <c r="L221" s="335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3"/>
    </row>
    <row r="222" spans="1:19">
      <c r="A222" s="35" t="s">
        <v>238</v>
      </c>
      <c r="B222" s="41" t="str">
        <f>VLOOKUP(A222,All!A:AM,2,0)</f>
        <v>NORTHERN HOME COUNTIES</v>
      </c>
      <c r="C222" s="42">
        <f>VLOOKUP(A222,All!A:AM,11,0)</f>
        <v>45600</v>
      </c>
      <c r="D222" s="19"/>
      <c r="E222" s="17">
        <f>VLOOKUP(A222,All!A:AM,30,0)</f>
        <v>69.572776949826121</v>
      </c>
      <c r="F222" s="17">
        <f>VLOOKUP(A222,All!A:AM,28,0)</f>
        <v>12.21236</v>
      </c>
      <c r="G222" s="17">
        <f>VLOOKUP(A222,All!A:AM,31,0)</f>
        <v>74.755280783101483</v>
      </c>
      <c r="H222" s="17">
        <f>VLOOKUP(A222,All!A:AM,29,0)</f>
        <v>15.815899999999999</v>
      </c>
      <c r="I222" s="6">
        <f>VLOOKUP(A222,All!A:AM,33,0)</f>
        <v>58.685293480615272</v>
      </c>
      <c r="J222" s="6">
        <f>VLOOKUP(A222,All!A:AM,32,0)</f>
        <v>7.5866000000000202</v>
      </c>
      <c r="K222" s="20">
        <f>VLOOKUP(A222,All!A:AM,39,0)</f>
        <v>52.524444444444441</v>
      </c>
      <c r="L222" s="20">
        <f>VLOOKUP(A222,All!A:AM,38,0)</f>
        <v>5.9089999999999998</v>
      </c>
      <c r="M222" s="96">
        <f>VLOOKUP(A222,'SYS Allocations'!A:G,2,0)</f>
        <v>0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0</v>
      </c>
      <c r="S222" s="323"/>
    </row>
    <row r="223" spans="1:19">
      <c r="A223" s="35" t="s">
        <v>239</v>
      </c>
      <c r="B223" s="41" t="str">
        <f>VLOOKUP(A223,All!A:AM,2,0)</f>
        <v>SCOTLAND</v>
      </c>
      <c r="C223" s="42">
        <f>VLOOKUP(A223,All!A:AM,11,0)</f>
        <v>44873</v>
      </c>
      <c r="D223" s="19"/>
      <c r="E223" s="17">
        <f>VLOOKUP(A223,All!A:AM,30,0)</f>
        <v>58.333333333333329</v>
      </c>
      <c r="F223" s="17">
        <f>VLOOKUP(A223,All!A:AM,28,0)</f>
        <v>9.5374999999999996</v>
      </c>
      <c r="G223" s="17">
        <f>VLOOKUP(A223,All!A:AM,31,0)</f>
        <v>51.171875</v>
      </c>
      <c r="H223" s="17">
        <f>VLOOKUP(A223,All!A:AM,29,0)</f>
        <v>7.1395</v>
      </c>
      <c r="I223" s="6">
        <f>VLOOKUP(A223,All!A:AM,33,0)</f>
        <v>32.608222538777895</v>
      </c>
      <c r="J223" s="6">
        <f>VLOOKUP(A223,All!A:AM,32,0)</f>
        <v>3.29629999999998</v>
      </c>
      <c r="K223" s="20">
        <f>VLOOKUP(A223,All!A:AM,39,0)</f>
        <v>54.583333333333336</v>
      </c>
      <c r="L223" s="20">
        <f>VLOOKUP(A223,All!A:AM,38,0)</f>
        <v>8.1875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3"/>
    </row>
    <row r="224" spans="1:19">
      <c r="A224" s="35" t="s">
        <v>240</v>
      </c>
      <c r="B224" s="41" t="str">
        <f>VLOOKUP(A224,All!A:AM,2,0)</f>
        <v>WALES</v>
      </c>
      <c r="C224" s="42">
        <f>VLOOKUP(A224,All!A:AM,11,0)</f>
        <v>45600</v>
      </c>
      <c r="D224" s="19"/>
      <c r="E224" s="17">
        <f>VLOOKUP(A224,All!A:AM,30,0)</f>
        <v>54.869242779078839</v>
      </c>
      <c r="F224" s="17">
        <f>VLOOKUP(A224,All!A:AM,28,0)</f>
        <v>12.258139999999999</v>
      </c>
      <c r="G224" s="17">
        <f>VLOOKUP(A224,All!A:AM,31,0)</f>
        <v>40.012970168612192</v>
      </c>
      <c r="H224" s="17">
        <f>VLOOKUP(A224,All!A:AM,29,0)</f>
        <v>6.7252999999999998</v>
      </c>
      <c r="I224" s="6">
        <f>VLOOKUP(A224,All!A:AM,33,0)</f>
        <v>42.086549949453058</v>
      </c>
      <c r="J224" s="6">
        <f>VLOOKUP(A224,All!A:AM,32,0)</f>
        <v>7.3270999999999802</v>
      </c>
      <c r="K224" s="20">
        <f>VLOOKUP(A224,All!A:AM,39,0)</f>
        <v>66.391666666666666</v>
      </c>
      <c r="L224" s="20">
        <f>VLOOKUP(A224,All!A:AM,38,0)</f>
        <v>19.9175</v>
      </c>
      <c r="M224" s="96">
        <f>VLOOKUP(A224,'SYS Allocations'!A:G,2,0)</f>
        <v>0</v>
      </c>
      <c r="N224" s="96" t="str">
        <f>VLOOKUP(A224,'SYS Allocations'!A:G,3,0)</f>
        <v>RA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3.4</v>
      </c>
      <c r="S224" s="323"/>
    </row>
    <row r="225" spans="1:19">
      <c r="A225" s="35" t="s">
        <v>241</v>
      </c>
      <c r="B225" s="41" t="str">
        <f>VLOOKUP(A225,All!A:AM,2,0)</f>
        <v>MIDLANDS</v>
      </c>
      <c r="C225" s="42">
        <f>VLOOKUP(A225,All!A:AM,11,0)</f>
        <v>44502.416666666701</v>
      </c>
      <c r="D225" s="5"/>
      <c r="E225" s="17">
        <f>VLOOKUP(A225,All!A:AM,30,0)</f>
        <v>53.415300546448094</v>
      </c>
      <c r="F225" s="17">
        <f>VLOOKUP(A225,All!A:AM,28,0)</f>
        <v>21.3095</v>
      </c>
      <c r="G225" s="17">
        <f>VLOOKUP(A225,All!A:AM,31,0)</f>
        <v>44.768383543893755</v>
      </c>
      <c r="H225" s="17">
        <f>VLOOKUP(A225,All!A:AM,29,0)</f>
        <v>15.063800000000001</v>
      </c>
      <c r="I225" s="6">
        <f>VLOOKUP(A225,All!A:AM,33,0)</f>
        <v>44.3471204063054</v>
      </c>
      <c r="J225" s="6">
        <f>VLOOKUP(A225,All!A:AM,32,0)</f>
        <v>14.809100000000001</v>
      </c>
      <c r="K225" s="20">
        <f>VLOOKUP(A225,All!A:AM,39,0)</f>
        <v>59.210973936899869</v>
      </c>
      <c r="L225" s="20">
        <f>VLOOKUP(A225,All!A:AM,38,0)</f>
        <v>26.978000000000002</v>
      </c>
      <c r="M225" s="96">
        <f>VLOOKUP(A225,'SYS Allocations'!A:G,2,0)</f>
        <v>0</v>
      </c>
      <c r="N225" s="96">
        <f>VLOOKUP(A225,'SYS Allocations'!A:G,3,0)</f>
        <v>0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</v>
      </c>
      <c r="S225" s="323"/>
    </row>
    <row r="226" spans="1:19">
      <c r="A226" s="40" t="s">
        <v>242</v>
      </c>
      <c r="B226" s="41" t="str">
        <f>VLOOKUP(A226,All!A:AM,2,0)</f>
        <v>LONDON</v>
      </c>
      <c r="C226" s="42">
        <f>VLOOKUP(A226,All!A:AM,11,0)</f>
        <v>44587.444444444402</v>
      </c>
      <c r="D226" s="5"/>
      <c r="E226" s="17">
        <f>VLOOKUP(A226,All!A:AM,30,0)</f>
        <v>20.5</v>
      </c>
      <c r="F226" s="17">
        <f>VLOOKUP(A226,All!A:AM,28,0)</f>
        <v>2.2345000000000002</v>
      </c>
      <c r="G226" s="17">
        <f>VLOOKUP(A226,All!A:AM,31,0)</f>
        <v>-31.404969537600788</v>
      </c>
      <c r="H226" s="17">
        <f>VLOOKUP(A226,All!A:AM,29,0)</f>
        <v>-2.071000545</v>
      </c>
      <c r="I226" s="6">
        <f>VLOOKUP(A226,All!A:AM,33,0)</f>
        <v>38.27991452991467</v>
      </c>
      <c r="J226" s="6">
        <f>VLOOKUP(A226,All!A:AM,32,0)</f>
        <v>5.3745000000000198</v>
      </c>
      <c r="K226" s="334">
        <f>VLOOKUP(A226,All!A:AM,39,0)</f>
        <v>21.883333333333329</v>
      </c>
      <c r="L226" s="334">
        <f>VLOOKUP(A226,All!A:AM,38,0)</f>
        <v>5.5802499999999995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1.1000000000000001</v>
      </c>
      <c r="S226" s="323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44504.541666666701</v>
      </c>
      <c r="D227" s="5"/>
      <c r="E227" s="17">
        <f>VLOOKUP(A227,All!A:AM,30,0)</f>
        <v>34.25</v>
      </c>
      <c r="F227" s="17">
        <f>VLOOKUP(A227,All!A:AM,28,0)</f>
        <v>3.73325</v>
      </c>
      <c r="G227" s="17">
        <f>VLOOKUP(A227,All!A:AM,31,0)</f>
        <v>-8.6776949320409056</v>
      </c>
      <c r="H227" s="17">
        <f>VLOOKUP(A227,All!A:AM,29,0)</f>
        <v>-0.57225054500000005</v>
      </c>
      <c r="I227" s="6">
        <f>VLOOKUP(A227,All!A:AM,33,0)</f>
        <v>48.954772079772226</v>
      </c>
      <c r="J227" s="6">
        <f>VLOOKUP(A227,All!A:AM,32,0)</f>
        <v>6.8732500000000201</v>
      </c>
      <c r="K227" s="336"/>
      <c r="L227" s="336"/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0</v>
      </c>
      <c r="S227" s="323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45058</v>
      </c>
      <c r="D228" s="5"/>
      <c r="E228" s="17">
        <f>VLOOKUP(A228,All!A:AM,30,0)</f>
        <v>73.5</v>
      </c>
      <c r="F228" s="17">
        <f>VLOOKUP(A228,All!A:AM,28,0)</f>
        <v>8.0114999999999998</v>
      </c>
      <c r="G228" s="17">
        <f>VLOOKUP(A228,All!A:AM,31,0)</f>
        <v>44.327724074923204</v>
      </c>
      <c r="H228" s="17">
        <f>VLOOKUP(A228,All!A:AM,29,0)</f>
        <v>2.2998993460000001</v>
      </c>
      <c r="I228" s="6">
        <f>VLOOKUP(A228,All!A:AM,33,0)</f>
        <v>82.855531813865156</v>
      </c>
      <c r="J228" s="6">
        <f>VLOOKUP(A228,All!A:AM,32,0)</f>
        <v>13.9595</v>
      </c>
      <c r="K228" s="336"/>
      <c r="L228" s="336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3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19"/>
      <c r="E229" s="17">
        <f>VLOOKUP(A229,All!A:AM,30,0)</f>
        <v>81.666666666666671</v>
      </c>
      <c r="F229" s="17">
        <f>VLOOKUP(A229,All!A:AM,28,0)</f>
        <v>5.3410000000000002</v>
      </c>
      <c r="G229" s="17">
        <f>VLOOKUP(A229,All!A:AM,31,0)</f>
        <v>52.991444955802557</v>
      </c>
      <c r="H229" s="17">
        <f>VLOOKUP(A229,All!A:AM,29,0)</f>
        <v>1.351599564</v>
      </c>
      <c r="I229" s="6">
        <f>VLOOKUP(A229,All!A:AM,33,0)</f>
        <v>89.325142450142451</v>
      </c>
      <c r="J229" s="6">
        <f>VLOOKUP(A229,All!A:AM,32,0)</f>
        <v>10.032999999999999</v>
      </c>
      <c r="K229" s="335"/>
      <c r="L229" s="335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3"/>
    </row>
    <row r="230" spans="1:19">
      <c r="A230" s="35" t="s">
        <v>246</v>
      </c>
      <c r="B230" s="41" t="str">
        <f>VLOOKUP(A230,All!A:AM,2,0)</f>
        <v>LONDON</v>
      </c>
      <c r="C230" s="42">
        <f>VLOOKUP(A230,All!A:AM,11,0)</f>
        <v>45600</v>
      </c>
      <c r="D230" s="19"/>
      <c r="E230" s="17">
        <f>VLOOKUP(A230,All!A:AM,30,0)</f>
        <v>40.74074074074074</v>
      </c>
      <c r="F230" s="17">
        <f>VLOOKUP(A230,All!A:AM,28,0)</f>
        <v>5.9950000000000001</v>
      </c>
      <c r="G230" s="17">
        <f>VLOOKUP(A230,All!A:AM,31,0)</f>
        <v>23.627684964200476</v>
      </c>
      <c r="H230" s="17">
        <f>VLOOKUP(A230,All!A:AM,29,0)</f>
        <v>2.6977500000000001</v>
      </c>
      <c r="I230" s="6">
        <f>VLOOKUP(A230,All!A:AM,33,0)</f>
        <v>8.0820346758416406</v>
      </c>
      <c r="J230" s="6">
        <f>VLOOKUP(A230,All!A:AM,32,0)</f>
        <v>0.76672000000000495</v>
      </c>
      <c r="K230" s="20">
        <f>VLOOKUP(A230,All!A:AM,39,0)</f>
        <v>35.407407407407398</v>
      </c>
      <c r="L230" s="20">
        <f>VLOOKUP(A230,All!A:AM,38,0)</f>
        <v>4.7799999999999994</v>
      </c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3"/>
    </row>
    <row r="231" spans="1:19">
      <c r="A231" s="37" t="s">
        <v>247</v>
      </c>
      <c r="B231" s="41" t="str">
        <f>VLOOKUP(A231,All!A:AM,2,0)</f>
        <v>NORTH EAST</v>
      </c>
      <c r="C231" s="42">
        <f>VLOOKUP(A231,All!A:AM,11,0)</f>
        <v>45600</v>
      </c>
      <c r="D231" s="19"/>
      <c r="E231" s="17">
        <f>VLOOKUP(A231,All!A:AM,30,0)</f>
        <v>62.363387978142079</v>
      </c>
      <c r="F231" s="17">
        <f>VLOOKUP(A231,All!A:AM,28,0)</f>
        <v>49.758499999999998</v>
      </c>
      <c r="G231" s="17">
        <f>VLOOKUP(A231,All!A:AM,31,0)</f>
        <v>55.203252032520325</v>
      </c>
      <c r="H231" s="17">
        <f>VLOOKUP(A231,All!A:AM,29,0)</f>
        <v>37.005499999999998</v>
      </c>
      <c r="I231" s="6">
        <f>VLOOKUP(A231,All!A:AM,33,0)</f>
        <v>43.691590537479556</v>
      </c>
      <c r="J231" s="6">
        <f>VLOOKUP(A231,All!A:AM,32,0)</f>
        <v>23.300899999999999</v>
      </c>
      <c r="K231" s="334">
        <f>VLOOKUP(A231,All!A:AM,39,0)</f>
        <v>29.242474001094696</v>
      </c>
      <c r="L231" s="334">
        <f>VLOOKUP(A231,All!A:AM,38,0)</f>
        <v>26.713000000000008</v>
      </c>
      <c r="M231" s="96" t="str">
        <f>VLOOKUP(A231,'SYS Allocations'!A:G,2,0)</f>
        <v>P-Core</v>
      </c>
      <c r="N231" s="96">
        <f>VLOOKUP(A231,'SYS Allocations'!A:G,3,0)</f>
        <v>0</v>
      </c>
      <c r="O231" s="96" t="str">
        <f>VLOOKUP(A231,'SYS Allocations'!A:G,4,0)</f>
        <v>PX</v>
      </c>
      <c r="P231" s="96">
        <f>VLOOKUP(A231,'SYS Allocations'!A:G,5,0)</f>
        <v>0</v>
      </c>
      <c r="Q231" s="96" t="str">
        <f>VLOOKUP(A231,'SYS Allocations'!A:G,6,0)</f>
        <v>OPEX</v>
      </c>
      <c r="R231" s="12">
        <f>VLOOKUP(A231,'SYS Allocations'!A:G,7,0)</f>
        <v>8.2050000000000001</v>
      </c>
      <c r="S231" s="323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45600</v>
      </c>
      <c r="D232" s="19"/>
      <c r="E232" s="17">
        <f>VLOOKUP(A232,All!A:AM,30,0)</f>
        <v>56.625683060109296</v>
      </c>
      <c r="F232" s="17">
        <f>VLOOKUP(A232,All!A:AM,28,0)</f>
        <v>45.180500000000002</v>
      </c>
      <c r="G232" s="17">
        <f>VLOOKUP(A232,All!A:AM,31,0)</f>
        <v>48.373983739837399</v>
      </c>
      <c r="H232" s="17">
        <f>VLOOKUP(A232,All!A:AM,29,0)</f>
        <v>32.427500000000002</v>
      </c>
      <c r="I232" s="6">
        <f>VLOOKUP(A232,All!A:AM,33,0)</f>
        <v>35.107368405262285</v>
      </c>
      <c r="J232" s="6">
        <f>VLOOKUP(A232,All!A:AM,32,0)</f>
        <v>18.722899999999999</v>
      </c>
      <c r="K232" s="335"/>
      <c r="L232" s="335"/>
      <c r="M232" s="96">
        <f>VLOOKUP(A232,'SYS Allocations'!A:G,2,0)</f>
        <v>0</v>
      </c>
      <c r="N232" s="96">
        <f>VLOOKUP(A232,'SYS Allocations'!A:G,3,0)</f>
        <v>0</v>
      </c>
      <c r="O232" s="96">
        <f>VLOOKUP(A232,'SYS Allocations'!A:G,4,0)</f>
        <v>0</v>
      </c>
      <c r="P232" s="96">
        <f>VLOOKUP(A232,'SYS Allocations'!A:G,5,0)</f>
        <v>0</v>
      </c>
      <c r="Q232" s="96">
        <f>VLOOKUP(A232,'SYS Allocations'!A:G,6,0)</f>
        <v>0</v>
      </c>
      <c r="R232" s="12">
        <f>VLOOKUP(A232,'SYS Allocations'!A:G,7,0)</f>
        <v>8.2050000000000001</v>
      </c>
      <c r="S232" s="323"/>
    </row>
    <row r="233" spans="1:19">
      <c r="A233" s="35" t="s">
        <v>249</v>
      </c>
      <c r="B233" s="41" t="str">
        <f>VLOOKUP(A233,All!A:AM,2,0)</f>
        <v xml:space="preserve">SCOTTISH HIGHLANDS &amp; ISLANDS </v>
      </c>
      <c r="C233" s="42">
        <f>VLOOKUP(A233,All!A:AM,11,0)</f>
        <v>44481.701388888898</v>
      </c>
      <c r="D233" s="19"/>
      <c r="E233" s="17">
        <f>VLOOKUP(A233,All!A:AM,30,0)</f>
        <v>86.666666666666671</v>
      </c>
      <c r="F233" s="17">
        <f>VLOOKUP(A233,All!A:AM,28,0)</f>
        <v>2.8340000000000001</v>
      </c>
      <c r="G233" s="17">
        <f>VLOOKUP(A233,All!A:AM,31,0)</f>
        <v>84.313725490196077</v>
      </c>
      <c r="H233" s="17">
        <f>VLOOKUP(A233,All!A:AM,29,0)</f>
        <v>2.3435000000000001</v>
      </c>
      <c r="I233" s="6">
        <f>VLOOKUP(A233,All!A:AM,33,0)</f>
        <v>85.114170217415065</v>
      </c>
      <c r="J233" s="6">
        <f>VLOOKUP(A233,All!A:AM,32,0)</f>
        <v>2.4929600000000001</v>
      </c>
      <c r="K233" s="20">
        <f>VLOOKUP(A233,All!A:AM,39,0)</f>
        <v>88.373333333333335</v>
      </c>
      <c r="L233" s="20">
        <f>VLOOKUP(A233,All!A:AM,38,0)</f>
        <v>3.3140000000000001</v>
      </c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0</v>
      </c>
      <c r="S233" s="323"/>
    </row>
    <row r="234" spans="1:19">
      <c r="A234" s="98" t="s">
        <v>250</v>
      </c>
      <c r="B234" s="41" t="str">
        <f>VLOOKUP(A234,All!A:AM,2,0)</f>
        <v>SOUTH WEST</v>
      </c>
      <c r="C234" s="42">
        <f>VLOOKUP(A234,All!A:AM,11,0)</f>
        <v>45600</v>
      </c>
      <c r="D234" s="5"/>
      <c r="E234" s="17">
        <f>VLOOKUP(A234,All!A:AM,30,0)</f>
        <v>84.061930783242275</v>
      </c>
      <c r="F234" s="17">
        <f>VLOOKUP(A234,All!A:AM,28,0)</f>
        <v>28.16996</v>
      </c>
      <c r="G234" s="17">
        <f>VLOOKUP(A234,All!A:AM,31,0)</f>
        <v>80.2658074909384</v>
      </c>
      <c r="H234" s="17">
        <f>VLOOKUP(A234,All!A:AM,29,0)</f>
        <v>21.723700000000001</v>
      </c>
      <c r="I234" s="6">
        <f>VLOOKUP(A234,All!A:AM,33,0)</f>
        <v>76.760477582846022</v>
      </c>
      <c r="J234" s="6">
        <f>VLOOKUP(A234,All!A:AM,32,0)</f>
        <v>17.641400000000001</v>
      </c>
      <c r="K234" s="20">
        <f>VLOOKUP(A234,All!A:AM,39,0)</f>
        <v>84.174814814814809</v>
      </c>
      <c r="L234" s="20">
        <f>VLOOKUP(A234,All!A:AM,38,0)</f>
        <v>28.408999999999999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7.5</v>
      </c>
      <c r="S234" s="323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45600</v>
      </c>
      <c r="D235" s="5"/>
      <c r="E235" s="17">
        <f>VLOOKUP(A235,All!A:AM,30,0)</f>
        <v>85.850897736143651</v>
      </c>
      <c r="F235" s="17">
        <f>VLOOKUP(A235,All!A:AM,28,0)</f>
        <v>28.769459999999999</v>
      </c>
      <c r="G235" s="17">
        <f>VLOOKUP(A235,All!A:AM,31,0)</f>
        <v>82.480869915424904</v>
      </c>
      <c r="H235" s="17">
        <f>VLOOKUP(A235,All!A:AM,29,0)</f>
        <v>22.3232</v>
      </c>
      <c r="I235" s="6">
        <f>VLOOKUP(A235,All!A:AM,33,0)</f>
        <v>79.368995405179618</v>
      </c>
      <c r="J235" s="6">
        <f>VLOOKUP(A235,All!A:AM,32,0)</f>
        <v>18.2409</v>
      </c>
      <c r="K235" s="20">
        <f>VLOOKUP(A235,All!A:AM,39,0)</f>
        <v>85.951111111111103</v>
      </c>
      <c r="L235" s="20">
        <f>VLOOKUP(A235,All!A:AM,38,0)</f>
        <v>29.008499999999998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7.6000000000000005</v>
      </c>
      <c r="S235" s="323"/>
    </row>
    <row r="236" spans="1:19">
      <c r="A236" s="35" t="s">
        <v>252</v>
      </c>
      <c r="B236" s="41" t="str">
        <f>VLOOKUP(A236,All!A:AM,2,0)</f>
        <v>SOUTH WEST</v>
      </c>
      <c r="C236" s="42">
        <f>VLOOKUP(A236,All!A:AM,11,0)</f>
        <v>45600</v>
      </c>
      <c r="D236" s="5"/>
      <c r="E236" s="17">
        <f>VLOOKUP(A236,All!A:AM,30,0)</f>
        <v>67.896174863387984</v>
      </c>
      <c r="F236" s="17">
        <f>VLOOKUP(A236,All!A:AM,28,0)</f>
        <v>5.4173</v>
      </c>
      <c r="G236" s="17">
        <f>VLOOKUP(A236,All!A:AM,31,0)</f>
        <v>62.69841269841271</v>
      </c>
      <c r="H236" s="17">
        <f>VLOOKUP(A236,All!A:AM,29,0)</f>
        <v>4.3055000000000003</v>
      </c>
      <c r="I236" s="6">
        <f>VLOOKUP(A236,All!A:AM,33,0)</f>
        <v>54.195456561234934</v>
      </c>
      <c r="J236" s="6">
        <f>VLOOKUP(A236,All!A:AM,32,0)</f>
        <v>3.03074000000001</v>
      </c>
      <c r="K236" s="20">
        <f>VLOOKUP(A236,All!A:AM,39,0)</f>
        <v>85.769444444444446</v>
      </c>
      <c r="L236" s="20">
        <f>VLOOKUP(A236,All!A:AM,38,0)</f>
        <v>15.438499999999999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0</v>
      </c>
      <c r="S236" s="323"/>
    </row>
    <row r="237" spans="1:19">
      <c r="A237" s="35" t="s">
        <v>253</v>
      </c>
      <c r="B237" s="41" t="str">
        <f>VLOOKUP(A237,All!A:AM,2,0)</f>
        <v>LONDON</v>
      </c>
      <c r="C237" s="42">
        <f>VLOOKUP(A237,All!A:AM,11,0)</f>
        <v>45448</v>
      </c>
      <c r="D237" s="5"/>
      <c r="E237" s="17">
        <f>VLOOKUP(A237,All!A:AM,30,0)</f>
        <v>50.751366120218584</v>
      </c>
      <c r="F237" s="17">
        <f>VLOOKUP(A237,All!A:AM,28,0)</f>
        <v>40.493499999999997</v>
      </c>
      <c r="G237" s="17">
        <f>VLOOKUP(A237,All!A:AM,31,0)</f>
        <v>29.999999999999996</v>
      </c>
      <c r="H237" s="17">
        <f>VLOOKUP(A237,All!A:AM,29,0)</f>
        <v>16.840499999999999</v>
      </c>
      <c r="I237" s="6">
        <f>VLOOKUP(A237,All!A:AM,33,0)</f>
        <v>44.739070023851461</v>
      </c>
      <c r="J237" s="6">
        <f>VLOOKUP(A237,All!A:AM,32,0)</f>
        <v>31.812700000000198</v>
      </c>
      <c r="K237" s="20">
        <f>VLOOKUP(A237,All!A:AM,39,0)</f>
        <v>41.785925925925923</v>
      </c>
      <c r="L237" s="20">
        <f>VLOOKUP(A237,All!A:AM,38,0)</f>
        <v>28.205500000000001</v>
      </c>
      <c r="M237" s="96">
        <f>VLOOKUP(A237,'SYS Allocations'!A:G,2,0)</f>
        <v>0</v>
      </c>
      <c r="N237" s="96" t="str">
        <f>VLOOKUP(A237,'SYS Allocations'!A:G,3,0)</f>
        <v>RA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7.4</v>
      </c>
      <c r="S237" s="323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45498</v>
      </c>
      <c r="D238" s="5"/>
      <c r="E238" s="17">
        <f>VLOOKUP(A238,All!A:AM,30,0)</f>
        <v>91.67520491803279</v>
      </c>
      <c r="F238" s="17">
        <f>VLOOKUP(A238,All!A:AM,28,0)</f>
        <v>117.0333</v>
      </c>
      <c r="G238" s="17">
        <f>VLOOKUP(A238,All!A:AM,31,0)</f>
        <v>92.6911544227886</v>
      </c>
      <c r="H238" s="17">
        <f>VLOOKUP(A238,All!A:AM,29,0)</f>
        <v>134.77850000000001</v>
      </c>
      <c r="I238" s="6">
        <f>VLOOKUP(A238,All!A:AM,33,0)</f>
        <v>53.495851711825253</v>
      </c>
      <c r="J238" s="6">
        <f>VLOOKUP(A238,All!A:AM,32,0)</f>
        <v>12.225300000000001</v>
      </c>
      <c r="K238" s="20">
        <f>VLOOKUP(A238,All!A:AM,39,0)</f>
        <v>88.191666666666663</v>
      </c>
      <c r="L238" s="20">
        <f>VLOOKUP(A238,All!A:AM,38,0)</f>
        <v>79.372500000000002</v>
      </c>
      <c r="M238" s="96">
        <f>VLOOKUP(A238,'SYS Allocations'!A:G,2,0)</f>
        <v>0</v>
      </c>
      <c r="N238" s="96">
        <f>VLOOKUP(A238,'SYS Allocations'!A:G,3,0)</f>
        <v>0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0</v>
      </c>
      <c r="S238" s="323"/>
    </row>
    <row r="239" spans="1:19">
      <c r="A239" s="37" t="s">
        <v>255</v>
      </c>
      <c r="B239" s="41" t="str">
        <f>VLOOKUP(A239,All!A:AM,2,0)</f>
        <v>LONDON</v>
      </c>
      <c r="C239" s="42">
        <f>VLOOKUP(A239,All!A:AM,11,0)</f>
        <v>45600</v>
      </c>
      <c r="D239" s="5"/>
      <c r="E239" s="17">
        <f>VLOOKUP(A239,All!A:AM,30,0)</f>
        <v>51.150852790197057</v>
      </c>
      <c r="F239" s="17">
        <f>VLOOKUP(A239,All!A:AM,28,0)</f>
        <v>53.872160000000001</v>
      </c>
      <c r="G239" s="17">
        <f>VLOOKUP(A239,All!A:AM,31,0)</f>
        <v>33.314495620231703</v>
      </c>
      <c r="H239" s="17">
        <f>VLOOKUP(A239,All!A:AM,29,0)</f>
        <v>25.702200000000001</v>
      </c>
      <c r="I239" s="6">
        <f>VLOOKUP(A239,All!A:AM,33,0)</f>
        <v>42.117816479906523</v>
      </c>
      <c r="J239" s="6">
        <f>VLOOKUP(A239,All!A:AM,32,0)</f>
        <v>37.436000000000199</v>
      </c>
      <c r="K239" s="334">
        <f>VLOOKUP(A239,All!A:AM,39,0)</f>
        <v>11.540444444444448</v>
      </c>
      <c r="L239" s="334">
        <f>VLOOKUP(A239,All!A:AM,38,0)</f>
        <v>12.983000000000004</v>
      </c>
      <c r="M239" s="96" t="str">
        <f>VLOOKUP(A239,'SYS Allocations'!A:G,2,0)</f>
        <v>P-Core</v>
      </c>
      <c r="N239" s="96" t="str">
        <f>VLOOKUP(A239,'SYS Allocations'!A:G,3,0)</f>
        <v>RA</v>
      </c>
      <c r="O239" s="96" t="str">
        <f>VLOOKUP(A239,'SYS Allocations'!A:G,4,0)</f>
        <v>PX</v>
      </c>
      <c r="P239" s="96">
        <f>VLOOKUP(A239,'SYS Allocations'!A:G,5,0)</f>
        <v>0</v>
      </c>
      <c r="Q239" s="96" t="str">
        <f>VLOOKUP(A239,'SYS Allocations'!A:G,6,0)</f>
        <v>OPEX</v>
      </c>
      <c r="R239" s="12">
        <f>VLOOKUP(A239,'SYS Allocations'!A:G,7,0)</f>
        <v>10.024999999999999</v>
      </c>
      <c r="S239" s="323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45600</v>
      </c>
      <c r="D240" s="5"/>
      <c r="E240" s="17">
        <f>VLOOKUP(A240,All!A:AM,30,0)</f>
        <v>54.359165424739196</v>
      </c>
      <c r="F240" s="17">
        <f>VLOOKUP(A240,All!A:AM,28,0)</f>
        <v>57.251159999999999</v>
      </c>
      <c r="G240" s="17">
        <f>VLOOKUP(A240,All!A:AM,31,0)</f>
        <v>37.694263916360555</v>
      </c>
      <c r="H240" s="17">
        <f>VLOOKUP(A240,All!A:AM,29,0)</f>
        <v>29.081199999999999</v>
      </c>
      <c r="I240" s="6">
        <f>VLOOKUP(A240,All!A:AM,33,0)</f>
        <v>45.919400567031303</v>
      </c>
      <c r="J240" s="6">
        <f>VLOOKUP(A240,All!A:AM,32,0)</f>
        <v>40.815000000000197</v>
      </c>
      <c r="K240" s="335"/>
      <c r="L240" s="335"/>
      <c r="M240" s="96">
        <f>VLOOKUP(A240,'SYS Allocations'!A:G,2,0)</f>
        <v>0</v>
      </c>
      <c r="N240" s="96">
        <f>VLOOKUP(A240,'SYS Allocations'!A:G,3,0)</f>
        <v>0</v>
      </c>
      <c r="O240" s="96">
        <f>VLOOKUP(A240,'SYS Allocations'!A:G,4,0)</f>
        <v>0</v>
      </c>
      <c r="P240" s="96">
        <f>VLOOKUP(A240,'SYS Allocations'!A:G,5,0)</f>
        <v>0</v>
      </c>
      <c r="Q240" s="96">
        <f>VLOOKUP(A240,'SYS Allocations'!A:G,6,0)</f>
        <v>0</v>
      </c>
      <c r="R240" s="12">
        <f>VLOOKUP(A240,'SYS Allocations'!A:G,7,0)</f>
        <v>10.024999999999999</v>
      </c>
      <c r="S240" s="323"/>
    </row>
    <row r="241" spans="1:19">
      <c r="A241" s="38" t="s">
        <v>257</v>
      </c>
      <c r="B241" s="41" t="str">
        <f>VLOOKUP(A241,All!A:AM,2,0)</f>
        <v>LONDON</v>
      </c>
      <c r="C241" s="42">
        <f>VLOOKUP(A241,All!A:AM,11,0)</f>
        <v>45600</v>
      </c>
      <c r="D241" s="5"/>
      <c r="E241" s="17">
        <f>VLOOKUP(A241,All!A:AM,30,0)</f>
        <v>79.1029915717329</v>
      </c>
      <c r="F241" s="17">
        <f>VLOOKUP(A241,All!A:AM,28,0)</f>
        <v>74.475340000000003</v>
      </c>
      <c r="G241" s="17">
        <f>VLOOKUP(A241,All!A:AM,31,0)</f>
        <v>79.597603707471464</v>
      </c>
      <c r="H241" s="17">
        <f>VLOOKUP(A241,All!A:AM,29,0)</f>
        <v>76.757800000000003</v>
      </c>
      <c r="I241" s="6">
        <f>VLOOKUP(A241,All!A:AM,33,0)</f>
        <v>42.605136642628757</v>
      </c>
      <c r="J241" s="6">
        <f>VLOOKUP(A241,All!A:AM,32,0)</f>
        <v>14.604699999999999</v>
      </c>
      <c r="K241" s="334">
        <f>VLOOKUP(A241,All!A:AM,39,0)</f>
        <v>57.187222222222225</v>
      </c>
      <c r="L241" s="334">
        <f>VLOOKUP(A241,All!A:AM,38,0)</f>
        <v>51.468500000000006</v>
      </c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11.83</v>
      </c>
      <c r="S241" s="323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45600</v>
      </c>
      <c r="D242" s="5"/>
      <c r="E242" s="17">
        <f>VLOOKUP(A242,All!A:AM,30,0)</f>
        <v>79.971288320829856</v>
      </c>
      <c r="F242" s="17">
        <f>VLOOKUP(A242,All!A:AM,28,0)</f>
        <v>75.292839999999998</v>
      </c>
      <c r="G242" s="17">
        <f>VLOOKUP(A242,All!A:AM,31,0)</f>
        <v>80.44534870577597</v>
      </c>
      <c r="H242" s="17">
        <f>VLOOKUP(A242,All!A:AM,29,0)</f>
        <v>77.575299999999999</v>
      </c>
      <c r="I242" s="6">
        <f>VLOOKUP(A242,All!A:AM,33,0)</f>
        <v>44.989964759971059</v>
      </c>
      <c r="J242" s="6">
        <f>VLOOKUP(A242,All!A:AM,32,0)</f>
        <v>15.4222</v>
      </c>
      <c r="K242" s="335"/>
      <c r="L242" s="335"/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3"/>
    </row>
    <row r="243" spans="1:19">
      <c r="A243" s="35" t="s">
        <v>259</v>
      </c>
      <c r="B243" s="41" t="str">
        <f>VLOOKUP(A243,All!A:AM,2,0)</f>
        <v>LONDON</v>
      </c>
      <c r="C243" s="42">
        <f>VLOOKUP(A243,All!A:AM,11,0)</f>
        <v>44673.604166666701</v>
      </c>
      <c r="D243" s="5"/>
      <c r="E243" s="17">
        <f>VLOOKUP(A243,All!A:AM,30,0)</f>
        <v>80.194805194805184</v>
      </c>
      <c r="F243" s="17">
        <f>VLOOKUP(A243,All!A:AM,28,0)</f>
        <v>13.461499999999999</v>
      </c>
      <c r="G243" s="17">
        <f>VLOOKUP(A243,All!A:AM,31,0)</f>
        <v>83.287671232876718</v>
      </c>
      <c r="H243" s="17">
        <f>VLOOKUP(A243,All!A:AM,29,0)</f>
        <v>16.568000000000001</v>
      </c>
      <c r="I243" s="6">
        <f>VLOOKUP(A243,All!A:AM,33,0)</f>
        <v>-47.708288903106563</v>
      </c>
      <c r="J243" s="6">
        <f>VLOOKUP(A243,All!A:AM,32,0)</f>
        <v>-1.07378</v>
      </c>
      <c r="K243" s="20">
        <f>VLOOKUP(A243,All!A:AM,39,0)</f>
        <v>97.044888888888892</v>
      </c>
      <c r="L243" s="20">
        <f>VLOOKUP(A243,All!A:AM,38,0)</f>
        <v>109.1755</v>
      </c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0</v>
      </c>
      <c r="S243" s="323"/>
    </row>
    <row r="244" spans="1:19">
      <c r="A244" s="35" t="s">
        <v>260</v>
      </c>
      <c r="B244" s="41" t="str">
        <f>VLOOKUP(A244,All!A:AM,2,0)</f>
        <v xml:space="preserve">SCOTTISH HIGHLANDS &amp; ISLANDS </v>
      </c>
      <c r="C244" s="42">
        <f>VLOOKUP(A244,All!A:AM,11,0)</f>
        <v>45600</v>
      </c>
      <c r="D244" s="5"/>
      <c r="E244" s="17">
        <f>VLOOKUP(A244,All!A:AM,30,0)</f>
        <v>61.293260473588347</v>
      </c>
      <c r="F244" s="17">
        <f>VLOOKUP(A244,All!A:AM,28,0)</f>
        <v>2.9342800000000002</v>
      </c>
      <c r="G244" s="17">
        <f>VLOOKUP(A244,All!A:AM,31,0)</f>
        <v>52.180026111674813</v>
      </c>
      <c r="H244" s="17">
        <f>VLOOKUP(A244,All!A:AM,29,0)</f>
        <v>2.0219498365000002</v>
      </c>
      <c r="I244" s="6">
        <f>VLOOKUP(A244,All!A:AM,33,0)</f>
        <v>56.00664767331434</v>
      </c>
      <c r="J244" s="6">
        <f>VLOOKUP(A244,All!A:AM,32,0)</f>
        <v>2.359</v>
      </c>
      <c r="K244" s="20">
        <f>VLOOKUP(A244,All!A:AM,39,0)</f>
        <v>63.124378109452742</v>
      </c>
      <c r="L244" s="20">
        <f>VLOOKUP(A244,All!A:AM,38,0)</f>
        <v>3.1720000000000006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1.5</v>
      </c>
      <c r="S244" s="323"/>
    </row>
    <row r="245" spans="1:19">
      <c r="A245" s="35" t="s">
        <v>261</v>
      </c>
      <c r="B245" s="41" t="str">
        <f>VLOOKUP(A245,All!A:AM,2,0)</f>
        <v>NORTHERN IRELAND</v>
      </c>
      <c r="C245" s="42">
        <f>VLOOKUP(A245,All!A:AM,11,0)</f>
        <v>0</v>
      </c>
      <c r="D245" s="5"/>
      <c r="E245" s="17">
        <f>VLOOKUP(A245,All!A:AM,30,0)</f>
        <v>100</v>
      </c>
      <c r="F245" s="17">
        <f>VLOOKUP(A245,All!A:AM,28,0)</f>
        <v>1.744</v>
      </c>
      <c r="G245" s="17">
        <f>VLOOKUP(A245,All!A:AM,31,0)</f>
        <v>100.00000000000001</v>
      </c>
      <c r="H245" s="17">
        <f>VLOOKUP(A245,All!A:AM,29,0)</f>
        <v>0.54500000000000004</v>
      </c>
      <c r="I245" s="6">
        <f>VLOOKUP(A245,All!A:AM,33,0)</f>
        <v>100</v>
      </c>
      <c r="J245" s="6">
        <f>VLOOKUP(A245,All!A:AM,32,0)</f>
        <v>2.8252799999999998</v>
      </c>
      <c r="K245" s="20">
        <f>VLOOKUP(A245,All!A:AM,39,0)</f>
        <v>100</v>
      </c>
      <c r="L245" s="20">
        <f>VLOOKUP(A245,All!A:AM,38,0)</f>
        <v>6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0</v>
      </c>
      <c r="S245" s="323"/>
    </row>
    <row r="246" spans="1:19">
      <c r="A246" s="35" t="s">
        <v>262</v>
      </c>
      <c r="B246" s="41" t="str">
        <f>VLOOKUP(A246,All!A:AM,2,0)</f>
        <v>THAMES VALLEY</v>
      </c>
      <c r="C246" s="42">
        <f>VLOOKUP(A246,All!A:AM,11,0)</f>
        <v>44840</v>
      </c>
      <c r="D246" s="5"/>
      <c r="E246" s="17">
        <f>VLOOKUP(A246,All!A:AM,30,0)</f>
        <v>23.211781206171111</v>
      </c>
      <c r="F246" s="17">
        <f>VLOOKUP(A246,All!A:AM,28,0)</f>
        <v>7.2157999999999998</v>
      </c>
      <c r="G246" s="17">
        <f>VLOOKUP(A246,All!A:AM,31,0)</f>
        <v>-29.20353982300885</v>
      </c>
      <c r="H246" s="17">
        <f>VLOOKUP(A246,All!A:AM,29,0)</f>
        <v>-5.3955000000000002</v>
      </c>
      <c r="I246" s="6">
        <f>VLOOKUP(A246,All!A:AM,33,0)</f>
        <v>27.293494152046843</v>
      </c>
      <c r="J246" s="6">
        <f>VLOOKUP(A246,All!A:AM,32,0)</f>
        <v>8.9610000000000198</v>
      </c>
      <c r="K246" s="20">
        <f>VLOOKUP(A246,All!A:AM,39,0)</f>
        <v>86.73833333333333</v>
      </c>
      <c r="L246" s="20">
        <f>VLOOKUP(A246,All!A:AM,38,0)</f>
        <v>156.12899999999999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1</v>
      </c>
      <c r="S246" s="323"/>
    </row>
    <row r="247" spans="1:19">
      <c r="A247" s="35" t="s">
        <v>263</v>
      </c>
      <c r="B247" s="41" t="str">
        <f>VLOOKUP(A247,All!A:AM,2,0)</f>
        <v>SOUTH</v>
      </c>
      <c r="C247" s="42">
        <f>VLOOKUP(A247,All!A:AM,11,0)</f>
        <v>44589</v>
      </c>
      <c r="D247" s="5"/>
      <c r="E247" s="17">
        <f>VLOOKUP(A247,All!A:AM,30,0)</f>
        <v>86.439247830279655</v>
      </c>
      <c r="F247" s="17">
        <f>VLOOKUP(A247,All!A:AM,28,0)</f>
        <v>46.898339999999997</v>
      </c>
      <c r="G247" s="17">
        <f>VLOOKUP(A247,All!A:AM,31,0)</f>
        <v>84.01231643770727</v>
      </c>
      <c r="H247" s="17">
        <f>VLOOKUP(A247,All!A:AM,29,0)</f>
        <v>38.662300000000002</v>
      </c>
      <c r="I247" s="6">
        <f>VLOOKUP(A247,All!A:AM,33,0)</f>
        <v>79.305893074119069</v>
      </c>
      <c r="J247" s="6">
        <f>VLOOKUP(A247,All!A:AM,32,0)</f>
        <v>28.196100000000001</v>
      </c>
      <c r="K247" s="20">
        <f>VLOOKUP(A247,All!A:AM,39,0)</f>
        <v>88.85227272727272</v>
      </c>
      <c r="L247" s="20">
        <f>VLOOKUP(A247,All!A:AM,38,0)</f>
        <v>58.642499999999998</v>
      </c>
      <c r="M247" s="96">
        <f>VLOOKUP(A247,'SYS Allocations'!A:G,2,0)</f>
        <v>0</v>
      </c>
      <c r="N247" s="96" t="str">
        <f>VLOOKUP(A247,'SYS Allocations'!A:G,3,0)</f>
        <v>RA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2.4</v>
      </c>
      <c r="S247" s="323"/>
    </row>
    <row r="248" spans="1:19">
      <c r="A248" s="35" t="s">
        <v>264</v>
      </c>
      <c r="B248" s="41" t="str">
        <f>VLOOKUP(A248,All!A:AM,2,0)</f>
        <v>NORTH WEST</v>
      </c>
      <c r="C248" s="42">
        <f>VLOOKUP(A248,All!A:AM,11,0)</f>
        <v>0</v>
      </c>
      <c r="D248" s="5"/>
      <c r="E248" s="17">
        <f>VLOOKUP(A248,All!A:AM,30,0)</f>
        <v>100</v>
      </c>
      <c r="F248" s="17">
        <f>VLOOKUP(A248,All!A:AM,28,0)</f>
        <v>6.758</v>
      </c>
      <c r="G248" s="17">
        <f>VLOOKUP(A248,All!A:AM,31,0)</f>
        <v>100</v>
      </c>
      <c r="H248" s="17">
        <f>VLOOKUP(A248,All!A:AM,29,0)</f>
        <v>5.9950000000000001</v>
      </c>
      <c r="I248" s="6">
        <f>VLOOKUP(A248,All!A:AM,33,0)</f>
        <v>100</v>
      </c>
      <c r="J248" s="6">
        <f>VLOOKUP(A248,All!A:AM,32,0)</f>
        <v>11.689920000000001</v>
      </c>
      <c r="K248" s="20">
        <f>VLOOKUP(A248,All!A:AM,39,0)</f>
        <v>100</v>
      </c>
      <c r="L248" s="20">
        <f>VLOOKUP(A248,All!A:AM,38,0)</f>
        <v>6</v>
      </c>
      <c r="M248" s="96">
        <f>VLOOKUP(A248,'SYS Allocations'!A:G,2,0)</f>
        <v>0</v>
      </c>
      <c r="N248" s="96">
        <f>VLOOKUP(A248,'SYS Allocations'!A:G,3,0)</f>
        <v>0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0.9</v>
      </c>
      <c r="S248" s="323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44645.666666666701</v>
      </c>
      <c r="D249" s="5"/>
      <c r="E249" s="17">
        <f>VLOOKUP(A249,All!A:AM,30,0)</f>
        <v>37.18181818181818</v>
      </c>
      <c r="F249" s="17">
        <f>VLOOKUP(A249,All!A:AM,28,0)</f>
        <v>22.290500000000002</v>
      </c>
      <c r="G249" s="17">
        <f>VLOOKUP(A249,All!A:AM,31,0)</f>
        <v>10.838709677419358</v>
      </c>
      <c r="H249" s="17">
        <f>VLOOKUP(A249,All!A:AM,29,0)</f>
        <v>4.5780000000000003</v>
      </c>
      <c r="I249" s="6">
        <f>VLOOKUP(A249,All!A:AM,33,0)</f>
        <v>29.384553650450773</v>
      </c>
      <c r="J249" s="6">
        <f>VLOOKUP(A249,All!A:AM,32,0)</f>
        <v>15.6709</v>
      </c>
      <c r="K249" s="20">
        <f>VLOOKUP(A249,All!A:AM,39,0)</f>
        <v>46.582269503546101</v>
      </c>
      <c r="L249" s="20">
        <f>VLOOKUP(A249,All!A:AM,38,0)</f>
        <v>32.840499999999999</v>
      </c>
      <c r="M249" s="96">
        <f>VLOOKUP(A249,'SYS Allocations'!A:G,2,0)</f>
        <v>0</v>
      </c>
      <c r="N249" s="96" t="str">
        <f>VLOOKUP(A249,'SYS Allocations'!A:G,3,0)</f>
        <v>RA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6.9</v>
      </c>
      <c r="S249" s="323"/>
    </row>
    <row r="250" spans="1:19">
      <c r="A250" s="35" t="s">
        <v>266</v>
      </c>
      <c r="B250" s="41" t="str">
        <f>VLOOKUP(A250,All!A:AM,2,0)</f>
        <v>ANGLIA</v>
      </c>
      <c r="C250" s="42">
        <f>VLOOKUP(A250,All!A:AM,11,0)</f>
        <v>44251</v>
      </c>
      <c r="D250" s="5"/>
      <c r="E250" s="17">
        <f>VLOOKUP(A250,All!A:AM,30,0)</f>
        <v>66.578844652615146</v>
      </c>
      <c r="F250" s="17">
        <f>VLOOKUP(A250,All!A:AM,28,0)</f>
        <v>14.874140000000001</v>
      </c>
      <c r="G250" s="17">
        <f>VLOOKUP(A250,All!A:AM,31,0)</f>
        <v>49.706314243759174</v>
      </c>
      <c r="H250" s="17">
        <f>VLOOKUP(A250,All!A:AM,29,0)</f>
        <v>7.3792999999999997</v>
      </c>
      <c r="I250" s="6">
        <f>VLOOKUP(A250,All!A:AM,33,0)</f>
        <v>64.655286677270325</v>
      </c>
      <c r="J250" s="6">
        <f>VLOOKUP(A250,All!A:AM,32,0)</f>
        <v>13.658300000000001</v>
      </c>
      <c r="K250" s="20">
        <f>VLOOKUP(A250,All!A:AM,39,0)</f>
        <v>73.663139329806</v>
      </c>
      <c r="L250" s="20">
        <f>VLOOKUP(A250,All!A:AM,38,0)</f>
        <v>20.883500000000002</v>
      </c>
      <c r="M250" s="96">
        <f>VLOOKUP(A250,'SYS Allocations'!A:G,2,0)</f>
        <v>0</v>
      </c>
      <c r="N250" s="96">
        <f>VLOOKUP(A250,'SYS Allocations'!A:G,3,0)</f>
        <v>0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1</v>
      </c>
      <c r="S250" s="323"/>
    </row>
    <row r="251" spans="1:19">
      <c r="A251" s="35" t="s">
        <v>267</v>
      </c>
      <c r="B251" s="41" t="str">
        <f>VLOOKUP(A251,All!A:AM,2,0)</f>
        <v>MIDLANDS</v>
      </c>
      <c r="C251" s="42">
        <f>VLOOKUP(A251,All!A:AM,11,0)</f>
        <v>44627.458333333299</v>
      </c>
      <c r="D251" s="5"/>
      <c r="E251" s="17">
        <f>VLOOKUP(A251,All!A:AM,30,0)</f>
        <v>56.576893052302886</v>
      </c>
      <c r="F251" s="17">
        <f>VLOOKUP(A251,All!A:AM,28,0)</f>
        <v>12.63964</v>
      </c>
      <c r="G251" s="17">
        <f>VLOOKUP(A251,All!A:AM,31,0)</f>
        <v>13.759689922480622</v>
      </c>
      <c r="H251" s="17">
        <f>VLOOKUP(A251,All!A:AM,29,0)</f>
        <v>1.5478000000000001</v>
      </c>
      <c r="I251" s="6">
        <f>VLOOKUP(A251,All!A:AM,33,0)</f>
        <v>62.851913120730323</v>
      </c>
      <c r="J251" s="6">
        <f>VLOOKUP(A251,All!A:AM,32,0)</f>
        <v>16.413399999999999</v>
      </c>
      <c r="K251" s="20">
        <f>VLOOKUP(A251,All!A:AM,39,0)</f>
        <v>12.603603603603595</v>
      </c>
      <c r="L251" s="20">
        <f>VLOOKUP(A251,All!A:AM,38,0)</f>
        <v>1.3989999999999991</v>
      </c>
      <c r="M251" s="96">
        <f>VLOOKUP(A251,'SYS Allocations'!A:G,2,0)</f>
        <v>0</v>
      </c>
      <c r="N251" s="96" t="str">
        <f>VLOOKUP(A251,'SYS Allocations'!A:G,3,0)</f>
        <v>RA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2.4</v>
      </c>
      <c r="S251" s="323"/>
    </row>
    <row r="252" spans="1:19">
      <c r="A252" s="35" t="s">
        <v>268</v>
      </c>
      <c r="B252" s="41" t="str">
        <f>VLOOKUP(A252,All!A:AM,2,0)</f>
        <v>NORTH EAST</v>
      </c>
      <c r="C252" s="42">
        <f>VLOOKUP(A252,All!A:AM,11,0)</f>
        <v>44049</v>
      </c>
      <c r="D252" s="5"/>
      <c r="E252" s="17">
        <f>VLOOKUP(A252,All!A:AM,30,0)</f>
        <v>50</v>
      </c>
      <c r="F252" s="17">
        <f>VLOOKUP(A252,All!A:AM,28,0)</f>
        <v>13.08</v>
      </c>
      <c r="G252" s="17">
        <f>VLOOKUP(A252,All!A:AM,31,0)</f>
        <v>33.333333333333329</v>
      </c>
      <c r="H252" s="17">
        <f>VLOOKUP(A252,All!A:AM,29,0)</f>
        <v>6.54</v>
      </c>
      <c r="I252" s="6">
        <f>VLOOKUP(A252,All!A:AM,33,0)</f>
        <v>38.082254033174323</v>
      </c>
      <c r="J252" s="6">
        <f>VLOOKUP(A252,All!A:AM,32,0)</f>
        <v>8.0448000000000093</v>
      </c>
      <c r="K252" s="20">
        <f>VLOOKUP(A252,All!A:AM,39,0)</f>
        <v>60.363636363636367</v>
      </c>
      <c r="L252" s="20">
        <f>VLOOKUP(A252,All!A:AM,38,0)</f>
        <v>19.920000000000002</v>
      </c>
      <c r="M252" s="96">
        <f>VLOOKUP(A252,'SYS Allocations'!A:G,2,0)</f>
        <v>0</v>
      </c>
      <c r="N252" s="96">
        <f>VLOOKUP(A252,'SYS Allocations'!A:G,3,0)</f>
        <v>0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1</v>
      </c>
      <c r="S252" s="323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44739.411111111098</v>
      </c>
      <c r="D253" s="5"/>
      <c r="E253" s="17">
        <f>VLOOKUP(A253,All!A:AM,30,0)</f>
        <v>48.875</v>
      </c>
      <c r="F253" s="17">
        <f>VLOOKUP(A253,All!A:AM,28,0)</f>
        <v>4.2618999999999998</v>
      </c>
      <c r="G253" s="17">
        <f>VLOOKUP(A253,All!A:AM,31,0)</f>
        <v>-0.98765432098764971</v>
      </c>
      <c r="H253" s="17">
        <f>VLOOKUP(A253,All!A:AM,29,0)</f>
        <v>-4.3599999999999799E-2</v>
      </c>
      <c r="I253" s="6">
        <f>VLOOKUP(A253,All!A:AM,33,0)</f>
        <v>55.898820829376184</v>
      </c>
      <c r="J253" s="6">
        <f>VLOOKUP(A253,All!A:AM,32,0)</f>
        <v>5.6506999999999801</v>
      </c>
      <c r="K253" s="20">
        <f>VLOOKUP(A253,All!A:AM,39,0)</f>
        <v>80.186222222222213</v>
      </c>
      <c r="L253" s="20">
        <f>VLOOKUP(A253,All!A:AM,38,0)</f>
        <v>18.041899999999998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0</v>
      </c>
      <c r="S253" s="323"/>
    </row>
    <row r="254" spans="1:19">
      <c r="A254" s="35"/>
      <c r="B254" s="41" t="e">
        <f>VLOOKUP(A254,All!A:AM,2,0)</f>
        <v>#N/A</v>
      </c>
      <c r="C254" s="42" t="e">
        <f>VLOOKUP(A254,All!A:AM,11,0)</f>
        <v>#N/A</v>
      </c>
      <c r="D254" s="5"/>
      <c r="E254" s="17" t="e">
        <f>VLOOKUP(A254,All!A:AM,30,0)</f>
        <v>#N/A</v>
      </c>
      <c r="F254" s="17" t="e">
        <f>VLOOKUP(A254,All!A:AM,28,0)</f>
        <v>#N/A</v>
      </c>
      <c r="G254" s="17" t="e">
        <f>VLOOKUP(A254,All!A:AM,31,0)</f>
        <v>#N/A</v>
      </c>
      <c r="H254" s="17" t="e">
        <f>VLOOKUP(A254,All!A:AM,29,0)</f>
        <v>#N/A</v>
      </c>
      <c r="I254" s="6" t="e">
        <f>VLOOKUP(A254,All!A:AM,33,0)</f>
        <v>#N/A</v>
      </c>
      <c r="J254" s="6" t="e">
        <f>VLOOKUP(A254,All!A:AM,32,0)</f>
        <v>#N/A</v>
      </c>
      <c r="K254" s="20" t="e">
        <f>VLOOKUP(A254,All!A:AM,39,0)</f>
        <v>#N/A</v>
      </c>
      <c r="L254" s="20" t="e">
        <f>VLOOKUP(A254,All!A:AM,38,0)</f>
        <v>#N/A</v>
      </c>
      <c r="M254" s="2" t="e">
        <f>VLOOKUP(A254,'SYS Allocations'!A:G,2,0)</f>
        <v>#N/A</v>
      </c>
      <c r="N254" s="96" t="e">
        <f>VLOOKUP(A254,'SYS Allocations'!A:G,3,0)</f>
        <v>#N/A</v>
      </c>
      <c r="O254" s="96" t="e">
        <f>VLOOKUP(A254,'SYS Allocations'!A:G,4,0)</f>
        <v>#N/A</v>
      </c>
      <c r="P254" s="96" t="e">
        <f>VLOOKUP(A254,'SYS Allocations'!A:G,5,0)</f>
        <v>#N/A</v>
      </c>
      <c r="Q254" s="96" t="e">
        <f>VLOOKUP(A254,'SYS Allocations'!A:G,6,0)</f>
        <v>#N/A</v>
      </c>
      <c r="R254" s="12" t="e">
        <f>VLOOKUP(A254,'SYS Allocations'!A:G,7,0)</f>
        <v>#N/A</v>
      </c>
      <c r="S254" s="323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E255" s="2" t="e">
        <f>VLOOKUP(A255,All!A:AM,30,0)</f>
        <v>#N/A</v>
      </c>
      <c r="F255" s="2" t="e">
        <f>VLOOKUP(A255,All!A:AM,28,0)</f>
        <v>#N/A</v>
      </c>
      <c r="G255" s="2" t="e">
        <f>VLOOKUP(A255,All!A:AM,31,0)</f>
        <v>#N/A</v>
      </c>
      <c r="H255" s="2" t="e">
        <f>VLOOKUP(A255,All!A:AM,29,0)</f>
        <v>#N/A</v>
      </c>
      <c r="I255" s="2" t="e">
        <f>VLOOKUP(A255,All!A:AM,33,0)</f>
        <v>#N/A</v>
      </c>
      <c r="J255" s="2" t="e">
        <f>VLOOKUP(A255,All!A:AM,32,0)</f>
        <v>#N/A</v>
      </c>
      <c r="K255" s="21" t="e">
        <f>VLOOKUP(A255,All!A:AM,39,0)</f>
        <v>#N/A</v>
      </c>
      <c r="L255" s="21" t="e">
        <f>VLOOKUP(A255,All!A:AM,38,0)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/>
      <c r="Q255" s="96" t="e">
        <f>VLOOKUP(A255,'SYS Allocations'!A:G,6,0)</f>
        <v>#N/A</v>
      </c>
      <c r="R255" s="12" t="e">
        <f>VLOOKUP(A255,'SYS Allocations'!A:G,7,0)</f>
        <v>#N/A</v>
      </c>
      <c r="S255" s="323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3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3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3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3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3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3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3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3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3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3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3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3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3"/>
    </row>
    <row r="269" spans="1:19">
      <c r="B269" s="35" t="e">
        <f>VLOOKUP(A269,All!A:AM,2,0)</f>
        <v>#N/A</v>
      </c>
      <c r="C269" s="3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3"/>
    </row>
    <row r="270" spans="1:19">
      <c r="A270" s="25"/>
      <c r="N270" s="2" t="e">
        <f>VLOOKUP(A270,'SYS Allocations'!A:G,3,0)</f>
        <v>#N/A</v>
      </c>
      <c r="O270" s="2" t="e">
        <f>VLOOKUP(A270,'SYS Allocations'!A:G,4,0)</f>
        <v>#N/A</v>
      </c>
      <c r="Q270" s="96" t="e">
        <f>VLOOKUP(A270,'SYS Allocations'!A:G,6,0)</f>
        <v>#N/A</v>
      </c>
      <c r="R270" s="12" t="e">
        <f>VLOOKUP(A270,'SYS Allocations'!A:G,7,0)</f>
        <v>#N/A</v>
      </c>
      <c r="S270" s="323"/>
    </row>
    <row r="271" spans="1:19">
      <c r="S271" s="323"/>
    </row>
    <row r="272" spans="1:19">
      <c r="S272" s="323"/>
    </row>
    <row r="273" spans="19:19">
      <c r="S273" s="323"/>
    </row>
    <row r="274" spans="19:19">
      <c r="S274" s="323"/>
    </row>
    <row r="275" spans="19:19">
      <c r="S275" s="323"/>
    </row>
    <row r="276" spans="19:19">
      <c r="S276" s="323"/>
    </row>
    <row r="277" spans="19:19">
      <c r="S277" s="323"/>
    </row>
    <row r="278" spans="19:19">
      <c r="S278" s="323"/>
    </row>
    <row r="279" spans="19:19">
      <c r="S279" s="323"/>
    </row>
    <row r="280" spans="19:19">
      <c r="S280" s="323"/>
    </row>
    <row r="281" spans="19:19">
      <c r="S281" s="323"/>
    </row>
    <row r="282" spans="19:19">
      <c r="S282" s="323"/>
    </row>
    <row r="283" spans="19:19">
      <c r="S283" s="323"/>
    </row>
    <row r="284" spans="19:19">
      <c r="S284" s="323"/>
    </row>
    <row r="285" spans="19:19">
      <c r="S285" s="323"/>
    </row>
    <row r="286" spans="19:19">
      <c r="S286" s="323"/>
    </row>
    <row r="287" spans="19:19">
      <c r="S287" s="323"/>
    </row>
    <row r="288" spans="19:19">
      <c r="S288" s="323"/>
    </row>
    <row r="289" spans="19:19">
      <c r="S289" s="323"/>
    </row>
    <row r="290" spans="19:19">
      <c r="S290" s="323"/>
    </row>
  </sheetData>
  <sheetProtection algorithmName="SHA-512" hashValue="wutB5Qz7IqVPy6hMd2sr/DBL6jq7dw8TY1eQvpczurURpQqrjc5Q1eJodeGuJXXpOGnMSC2XhvhcRsbFyAWR8w==" saltValue="Dp0JKGWAiVUkBFZ4w1cmvw==" spinCount="100000" sheet="1" autoFilter="0"/>
  <autoFilter ref="A7:R270" xr:uid="{00000000-0009-0000-0000-000000000000}"/>
  <mergeCells count="57">
    <mergeCell ref="K48:K49"/>
    <mergeCell ref="K12:K13"/>
    <mergeCell ref="L12:L13"/>
    <mergeCell ref="K171:K172"/>
    <mergeCell ref="L171:L172"/>
    <mergeCell ref="K75:K76"/>
    <mergeCell ref="L75:L76"/>
    <mergeCell ref="K103:K104"/>
    <mergeCell ref="L156:L157"/>
    <mergeCell ref="K108:K109"/>
    <mergeCell ref="L158:L159"/>
    <mergeCell ref="K22:K23"/>
    <mergeCell ref="L22:L23"/>
    <mergeCell ref="L41:L42"/>
    <mergeCell ref="L69:L70"/>
    <mergeCell ref="K41:K42"/>
    <mergeCell ref="K69:K70"/>
    <mergeCell ref="L175:L176"/>
    <mergeCell ref="L179:L182"/>
    <mergeCell ref="L194:L195"/>
    <mergeCell ref="L108:L109"/>
    <mergeCell ref="L116:L117"/>
    <mergeCell ref="L140:L141"/>
    <mergeCell ref="L142:L143"/>
    <mergeCell ref="L153:L154"/>
    <mergeCell ref="L71:L72"/>
    <mergeCell ref="K71:K72"/>
    <mergeCell ref="K116:K117"/>
    <mergeCell ref="L103:L104"/>
    <mergeCell ref="K118:K119"/>
    <mergeCell ref="L118:L119"/>
    <mergeCell ref="K140:K141"/>
    <mergeCell ref="K50:K51"/>
    <mergeCell ref="L50:L51"/>
    <mergeCell ref="K37:K39"/>
    <mergeCell ref="L37:L39"/>
    <mergeCell ref="K241:K242"/>
    <mergeCell ref="L241:L242"/>
    <mergeCell ref="K231:K232"/>
    <mergeCell ref="K202:K203"/>
    <mergeCell ref="K215:K217"/>
    <mergeCell ref="K218:K221"/>
    <mergeCell ref="K226:K229"/>
    <mergeCell ref="L226:L229"/>
    <mergeCell ref="L231:L232"/>
    <mergeCell ref="L202:L203"/>
    <mergeCell ref="L215:L217"/>
    <mergeCell ref="L218:L221"/>
    <mergeCell ref="K142:K143"/>
    <mergeCell ref="K239:K240"/>
    <mergeCell ref="L239:L240"/>
    <mergeCell ref="K153:K154"/>
    <mergeCell ref="K179:K182"/>
    <mergeCell ref="K175:K176"/>
    <mergeCell ref="K156:K157"/>
    <mergeCell ref="K158:K159"/>
    <mergeCell ref="K194:K195"/>
  </mergeCells>
  <phoneticPr fontId="17" type="noConversion"/>
  <conditionalFormatting sqref="C8:C268">
    <cfRule type="expression" dxfId="191" priority="4">
      <formula>C8&lt;=TODAY()-365</formula>
    </cfRule>
  </conditionalFormatting>
  <conditionalFormatting sqref="D8:E254 G8:G254 I8:I254 K43:K48 K50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8:K12 K14:K22 K24:K36 K40:K41 K52:K69 K71 K73:K75 K77:K103 K105:K108 K110:K116 K118 K120:K140 K142 K144:K153 K156 K158 K160:K171 K173:K175 K177:K179 K183:K194 K196:K202 K204:K215 K218 K222:K226 K230:K231 K233:K239 K241 K243:K254 D255:L269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1 Q9:Q270 M39 O39:O71 M41:N71 M72:Q197 M198:O239 P198:Q253 M241:O253 N254:Q269">
    <cfRule type="cellIs" dxfId="182" priority="12" operator="equal">
      <formula>"OPEX"</formula>
    </cfRule>
  </conditionalFormatting>
  <conditionalFormatting sqref="M8:Q8 M9:O38 P9:Q71 Q9:Q270 M39 O39:O71 M41:N71 M72:Q253 N254:Q269">
    <cfRule type="cellIs" dxfId="181" priority="1" operator="equal">
      <formula>"PX"</formula>
    </cfRule>
  </conditionalFormatting>
  <conditionalFormatting sqref="M8:Q253 Q9:Q270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N254:Q269">
    <cfRule type="cellIs" dxfId="177" priority="21" operator="equal">
      <formula>0</formula>
    </cfRule>
    <cfRule type="cellIs" dxfId="176" priority="22" operator="equal">
      <formula>"RA"</formula>
    </cfRule>
    <cfRule type="cellIs" dxfId="175" priority="23" operator="equal">
      <formula>"P-Core"</formula>
    </cfRule>
  </conditionalFormatting>
  <conditionalFormatting sqref="P8:Q404">
    <cfRule type="cellIs" dxfId="174" priority="2" operator="equal">
      <formula>"AM"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8"/>
  <sheetViews>
    <sheetView zoomScale="80" zoomScaleNormal="80" workbookViewId="0">
      <pane xSplit="1" ySplit="7" topLeftCell="B235" activePane="bottomRight" state="frozen"/>
      <selection pane="bottomRight" activeCell="A8" sqref="A8:A253"/>
      <selection pane="bottomLeft" activeCell="S44" sqref="S44"/>
      <selection pane="topRight" activeCell="S44" sqref="S44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270</v>
      </c>
      <c r="B1" s="64">
        <f ca="1">TODAY()-365</f>
        <v>45349</v>
      </c>
    </row>
    <row r="2" spans="1:53">
      <c r="A2" s="52" t="s">
        <v>271</v>
      </c>
      <c r="B2">
        <f ca="1">COUNTIF(K8:K253,"&lt;="&amp;B1)+COUNTIF(K8:K253,"")</f>
        <v>115</v>
      </c>
    </row>
    <row r="5" spans="1:53">
      <c r="A5" s="71" t="s">
        <v>272</v>
      </c>
      <c r="B5" s="71" t="s">
        <v>272</v>
      </c>
      <c r="C5" s="71" t="s">
        <v>272</v>
      </c>
      <c r="D5" s="71" t="s">
        <v>272</v>
      </c>
      <c r="E5" s="71" t="s">
        <v>272</v>
      </c>
      <c r="F5" s="71" t="s">
        <v>272</v>
      </c>
      <c r="G5" s="71" t="s">
        <v>272</v>
      </c>
      <c r="H5" s="71" t="s">
        <v>272</v>
      </c>
      <c r="I5" s="71" t="s">
        <v>272</v>
      </c>
      <c r="J5" s="71" t="s">
        <v>272</v>
      </c>
      <c r="K5" s="71" t="s">
        <v>272</v>
      </c>
      <c r="L5" s="71" t="s">
        <v>272</v>
      </c>
      <c r="M5" s="71" t="s">
        <v>272</v>
      </c>
      <c r="N5" s="71" t="s">
        <v>272</v>
      </c>
      <c r="O5" s="71" t="s">
        <v>272</v>
      </c>
      <c r="P5" s="71" t="s">
        <v>272</v>
      </c>
      <c r="Q5" s="71" t="s">
        <v>272</v>
      </c>
      <c r="R5" s="71" t="s">
        <v>272</v>
      </c>
      <c r="S5" s="71" t="s">
        <v>272</v>
      </c>
      <c r="T5" s="71" t="s">
        <v>272</v>
      </c>
      <c r="U5" s="71" t="s">
        <v>272</v>
      </c>
      <c r="V5" s="71" t="s">
        <v>272</v>
      </c>
      <c r="W5" s="71" t="s">
        <v>272</v>
      </c>
      <c r="X5" s="71" t="s">
        <v>272</v>
      </c>
      <c r="Y5" s="71" t="s">
        <v>272</v>
      </c>
      <c r="Z5" s="71" t="s">
        <v>272</v>
      </c>
    </row>
    <row r="6" spans="1:53">
      <c r="A6" s="72" t="s">
        <v>273</v>
      </c>
      <c r="B6" s="72" t="s">
        <v>273</v>
      </c>
      <c r="C6" s="72" t="s">
        <v>273</v>
      </c>
      <c r="D6" s="72" t="s">
        <v>273</v>
      </c>
      <c r="E6" s="72" t="s">
        <v>273</v>
      </c>
      <c r="F6" s="73" t="s">
        <v>274</v>
      </c>
      <c r="G6" s="73" t="s">
        <v>274</v>
      </c>
      <c r="H6" s="73" t="s">
        <v>274</v>
      </c>
      <c r="I6" s="73" t="s">
        <v>274</v>
      </c>
      <c r="J6" s="73" t="s">
        <v>274</v>
      </c>
      <c r="K6" s="73" t="s">
        <v>274</v>
      </c>
      <c r="L6" s="73" t="s">
        <v>274</v>
      </c>
      <c r="M6" s="73" t="s">
        <v>274</v>
      </c>
      <c r="N6" s="73" t="s">
        <v>274</v>
      </c>
      <c r="O6" s="73" t="s">
        <v>274</v>
      </c>
      <c r="P6" s="74" t="s">
        <v>275</v>
      </c>
      <c r="Q6" s="74" t="s">
        <v>275</v>
      </c>
      <c r="R6" s="74" t="s">
        <v>275</v>
      </c>
      <c r="S6" s="74" t="s">
        <v>275</v>
      </c>
      <c r="T6" s="74" t="s">
        <v>275</v>
      </c>
      <c r="U6" s="75" t="s">
        <v>276</v>
      </c>
      <c r="V6" s="75" t="s">
        <v>276</v>
      </c>
      <c r="W6" s="75" t="s">
        <v>276</v>
      </c>
      <c r="X6" s="75" t="s">
        <v>276</v>
      </c>
      <c r="Y6" s="76" t="s">
        <v>8</v>
      </c>
      <c r="Z6" s="76" t="s">
        <v>8</v>
      </c>
      <c r="AA6" s="73" t="s">
        <v>274</v>
      </c>
      <c r="AB6" s="73" t="s">
        <v>274</v>
      </c>
      <c r="AC6" s="73" t="s">
        <v>274</v>
      </c>
      <c r="AD6" s="73" t="s">
        <v>274</v>
      </c>
      <c r="AE6" s="73" t="s">
        <v>274</v>
      </c>
      <c r="AF6" s="74" t="s">
        <v>275</v>
      </c>
      <c r="AG6" s="74" t="s">
        <v>275</v>
      </c>
      <c r="AH6" s="75" t="s">
        <v>276</v>
      </c>
      <c r="AI6" s="75" t="s">
        <v>276</v>
      </c>
      <c r="AJ6" s="75" t="s">
        <v>276</v>
      </c>
      <c r="AK6" s="75" t="s">
        <v>276</v>
      </c>
      <c r="AL6" s="75" t="s">
        <v>276</v>
      </c>
      <c r="AM6" s="75" t="s">
        <v>276</v>
      </c>
    </row>
    <row r="7" spans="1:53" ht="91.15">
      <c r="A7" t="s">
        <v>277</v>
      </c>
      <c r="B7" t="s">
        <v>6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  <c r="S7" t="s">
        <v>294</v>
      </c>
      <c r="T7" t="s">
        <v>295</v>
      </c>
      <c r="U7" t="s">
        <v>296</v>
      </c>
      <c r="V7" t="s">
        <v>297</v>
      </c>
      <c r="W7" t="s">
        <v>298</v>
      </c>
      <c r="X7" t="s">
        <v>299</v>
      </c>
      <c r="Y7" t="s">
        <v>300</v>
      </c>
      <c r="Z7" t="s">
        <v>301</v>
      </c>
      <c r="AA7" s="15" t="s">
        <v>22</v>
      </c>
      <c r="AB7" s="16" t="s">
        <v>302</v>
      </c>
      <c r="AC7" s="16" t="s">
        <v>303</v>
      </c>
      <c r="AD7" s="16" t="s">
        <v>304</v>
      </c>
      <c r="AE7" s="16" t="s">
        <v>305</v>
      </c>
      <c r="AF7" s="1" t="s">
        <v>306</v>
      </c>
      <c r="AG7" s="1" t="s">
        <v>307</v>
      </c>
      <c r="AH7" s="18" t="s">
        <v>308</v>
      </c>
      <c r="AI7" s="18" t="s">
        <v>309</v>
      </c>
      <c r="AJ7" s="18" t="s">
        <v>310</v>
      </c>
      <c r="AK7" s="1" t="s">
        <v>22</v>
      </c>
      <c r="AL7" s="1" t="s">
        <v>311</v>
      </c>
      <c r="AM7" s="1" t="s">
        <v>312</v>
      </c>
      <c r="AN7" s="106" t="s">
        <v>313</v>
      </c>
      <c r="AO7" s="106" t="s">
        <v>314</v>
      </c>
      <c r="AP7" s="106" t="s">
        <v>315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316</v>
      </c>
    </row>
    <row r="8" spans="1:53">
      <c r="A8" s="35" t="s">
        <v>24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>
        <v>36.6</v>
      </c>
      <c r="H8">
        <v>5</v>
      </c>
      <c r="I8">
        <v>35</v>
      </c>
      <c r="J8">
        <v>1.9075</v>
      </c>
      <c r="K8" s="64">
        <v>45600</v>
      </c>
      <c r="L8">
        <v>6.3830400000000003</v>
      </c>
      <c r="M8">
        <v>4.4755399999999996</v>
      </c>
      <c r="N8">
        <v>1.62192</v>
      </c>
      <c r="O8">
        <v>-0.28558</v>
      </c>
      <c r="P8" t="s">
        <v>322</v>
      </c>
      <c r="Q8" t="s">
        <v>323</v>
      </c>
      <c r="R8" t="s">
        <v>324</v>
      </c>
      <c r="S8">
        <v>13.154400000000001</v>
      </c>
      <c r="T8">
        <v>11.2469</v>
      </c>
      <c r="U8" t="s">
        <v>325</v>
      </c>
      <c r="V8" t="s">
        <v>326</v>
      </c>
      <c r="W8">
        <v>7.5</v>
      </c>
      <c r="X8">
        <v>5.5925000000000002</v>
      </c>
      <c r="Y8">
        <v>23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327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322</v>
      </c>
      <c r="Q9" t="s">
        <v>333</v>
      </c>
      <c r="R9" t="s">
        <v>334</v>
      </c>
      <c r="S9">
        <v>26.1144</v>
      </c>
      <c r="T9">
        <v>14.8874</v>
      </c>
      <c r="U9" t="s">
        <v>322</v>
      </c>
      <c r="V9" t="s">
        <v>335</v>
      </c>
      <c r="W9">
        <v>22.5</v>
      </c>
      <c r="X9">
        <v>11.273</v>
      </c>
      <c r="Y9">
        <v>3</v>
      </c>
      <c r="AB9" s="77">
        <f t="shared" ref="AB9:AB75" si="0">M9-AA9</f>
        <v>5.1230000000000002</v>
      </c>
      <c r="AC9" s="77">
        <f t="shared" ref="AC9:AC75" si="1">O9-AA9</f>
        <v>-7.4664999999999999</v>
      </c>
      <c r="AD9" s="77">
        <f t="shared" ref="AD9:AD75" si="2">AB9/L9%</f>
        <v>31.333333333333332</v>
      </c>
      <c r="AE9" s="77">
        <f t="shared" ref="AE9:AE75" si="3">AC9/N9%</f>
        <v>-198.55072463768116</v>
      </c>
      <c r="AF9" s="77">
        <f t="shared" ref="AF9:AF75" si="4">T9-AA9</f>
        <v>14.8874</v>
      </c>
      <c r="AG9" s="77">
        <f t="shared" ref="AG9:AG75" si="5">AF9/S9%</f>
        <v>57.008393836350827</v>
      </c>
      <c r="AH9" s="77">
        <f t="shared" ref="AH9:AH74" si="6">W9</f>
        <v>22.5</v>
      </c>
      <c r="AI9" s="77">
        <f t="shared" ref="AI9:AI74" si="7">J9</f>
        <v>11.227</v>
      </c>
      <c r="AJ9" s="77">
        <f t="shared" ref="AJ9:AJ75" si="8">AH9-AI9</f>
        <v>11.273</v>
      </c>
      <c r="AK9" s="77">
        <f t="shared" ref="AK9:AK74" si="9">AA9</f>
        <v>0</v>
      </c>
      <c r="AL9" s="77">
        <f t="shared" ref="AL9:AL75" si="10">AJ9-AK9</f>
        <v>11.273</v>
      </c>
      <c r="AM9" s="77">
        <f t="shared" ref="AM9:AM75" si="11">AL9/AH9%</f>
        <v>50.102222222222217</v>
      </c>
      <c r="AN9" t="str">
        <f t="shared" ref="AN9:AN10" si="12">IF(ISBLANK(Z10),"","Capped")</f>
        <v/>
      </c>
      <c r="AO9" t="s">
        <v>327</v>
      </c>
      <c r="AP9" t="str">
        <f t="shared" ref="AP9:AP73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3" si="14">IFERROR(LEFT(R9,FIND("(",R9,1)-1),R9)</f>
        <v>DDm85-25</v>
      </c>
    </row>
    <row r="10" spans="1:53">
      <c r="A10" s="35" t="s">
        <v>26</v>
      </c>
      <c r="B10" t="s">
        <v>328</v>
      </c>
      <c r="C10" t="s">
        <v>329</v>
      </c>
      <c r="D10" t="s">
        <v>319</v>
      </c>
      <c r="E10" t="s">
        <v>336</v>
      </c>
      <c r="F10" t="s">
        <v>337</v>
      </c>
      <c r="G10">
        <v>31</v>
      </c>
      <c r="H10">
        <v>29</v>
      </c>
      <c r="I10">
        <v>372</v>
      </c>
      <c r="J10">
        <v>20.274000000000001</v>
      </c>
      <c r="K10" s="64">
        <v>45600</v>
      </c>
      <c r="L10">
        <v>37.844799999999999</v>
      </c>
      <c r="M10">
        <v>17.570799999999998</v>
      </c>
      <c r="N10">
        <v>27.686</v>
      </c>
      <c r="O10">
        <v>7.4119999999999999</v>
      </c>
      <c r="P10" t="s">
        <v>322</v>
      </c>
      <c r="Q10" t="s">
        <v>333</v>
      </c>
      <c r="R10" t="s">
        <v>338</v>
      </c>
      <c r="S10">
        <v>31.687200000000001</v>
      </c>
      <c r="T10">
        <v>11.4132</v>
      </c>
      <c r="U10" t="s">
        <v>339</v>
      </c>
      <c r="V10" t="s">
        <v>340</v>
      </c>
      <c r="W10">
        <v>33.75</v>
      </c>
      <c r="X10">
        <v>13.476000000000001</v>
      </c>
      <c r="Y10">
        <v>13</v>
      </c>
      <c r="AB10" s="77">
        <f t="shared" si="0"/>
        <v>17.570799999999998</v>
      </c>
      <c r="AC10" s="77">
        <f t="shared" si="1"/>
        <v>7.4119999999999999</v>
      </c>
      <c r="AD10" s="77">
        <f t="shared" si="2"/>
        <v>46.428571428571423</v>
      </c>
      <c r="AE10" s="77">
        <f t="shared" si="3"/>
        <v>26.771653543307085</v>
      </c>
      <c r="AF10" s="77">
        <f t="shared" si="4"/>
        <v>11.4132</v>
      </c>
      <c r="AG10" s="77">
        <f t="shared" si="5"/>
        <v>36.018329167613423</v>
      </c>
      <c r="AH10" s="77">
        <f t="shared" si="6"/>
        <v>33.75</v>
      </c>
      <c r="AI10" s="77">
        <f t="shared" si="7"/>
        <v>20.274000000000001</v>
      </c>
      <c r="AJ10" s="77">
        <f t="shared" si="8"/>
        <v>13.475999999999999</v>
      </c>
      <c r="AK10" s="77">
        <f t="shared" si="9"/>
        <v>0</v>
      </c>
      <c r="AL10" s="77">
        <f t="shared" si="10"/>
        <v>13.475999999999999</v>
      </c>
      <c r="AM10" s="77">
        <f t="shared" si="11"/>
        <v>39.928888888888885</v>
      </c>
      <c r="AN10" t="str">
        <f t="shared" si="12"/>
        <v/>
      </c>
      <c r="AO10" t="s">
        <v>327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328</v>
      </c>
      <c r="C11" t="s">
        <v>329</v>
      </c>
      <c r="D11" t="s">
        <v>319</v>
      </c>
      <c r="E11" t="s">
        <v>341</v>
      </c>
      <c r="F11" t="s">
        <v>321</v>
      </c>
      <c r="G11">
        <v>36.6</v>
      </c>
      <c r="H11">
        <v>15</v>
      </c>
      <c r="I11">
        <v>178</v>
      </c>
      <c r="J11">
        <v>9.7010000000000005</v>
      </c>
      <c r="K11" s="64">
        <v>45600</v>
      </c>
      <c r="L11">
        <v>22.34064</v>
      </c>
      <c r="M11">
        <v>12.63964</v>
      </c>
      <c r="N11">
        <v>13.755800000000001</v>
      </c>
      <c r="O11">
        <v>4.0548000000000002</v>
      </c>
      <c r="P11" t="s">
        <v>325</v>
      </c>
      <c r="Q11" t="s">
        <v>333</v>
      </c>
      <c r="R11" t="s">
        <v>342</v>
      </c>
      <c r="S11">
        <v>22.852799999999998</v>
      </c>
      <c r="T11">
        <v>13.1518</v>
      </c>
      <c r="U11" t="s">
        <v>322</v>
      </c>
      <c r="V11" t="s">
        <v>343</v>
      </c>
      <c r="W11">
        <v>45</v>
      </c>
      <c r="X11">
        <v>35.298999999999999</v>
      </c>
      <c r="Y11">
        <v>0</v>
      </c>
      <c r="AB11" s="77">
        <f t="shared" si="0"/>
        <v>12.63964</v>
      </c>
      <c r="AC11" s="77">
        <f t="shared" si="1"/>
        <v>4.0548000000000002</v>
      </c>
      <c r="AD11" s="77">
        <f t="shared" si="2"/>
        <v>56.576893052302886</v>
      </c>
      <c r="AE11" s="77">
        <f t="shared" si="3"/>
        <v>29.477020602218698</v>
      </c>
      <c r="AF11" s="77">
        <f t="shared" si="4"/>
        <v>13.1518</v>
      </c>
      <c r="AG11" s="77">
        <f t="shared" si="5"/>
        <v>57.550059511307154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0</v>
      </c>
      <c r="AL11" s="77">
        <f t="shared" si="10"/>
        <v>35.298999999999999</v>
      </c>
      <c r="AM11" s="77">
        <f t="shared" si="11"/>
        <v>78.442222222222213</v>
      </c>
      <c r="AN11" t="str">
        <f t="shared" ref="AN11:AN71" si="15">IF(ISBLANK(Z11),"","Capped")</f>
        <v/>
      </c>
      <c r="AO11" t="s">
        <v>327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344</v>
      </c>
      <c r="C12" t="s">
        <v>344</v>
      </c>
      <c r="D12" t="s">
        <v>319</v>
      </c>
      <c r="E12" t="s">
        <v>345</v>
      </c>
      <c r="F12" t="s">
        <v>321</v>
      </c>
      <c r="G12">
        <v>36.6</v>
      </c>
      <c r="H12">
        <v>60</v>
      </c>
      <c r="I12">
        <v>591</v>
      </c>
      <c r="J12">
        <v>32.209499999999998</v>
      </c>
      <c r="K12" s="64">
        <v>45600</v>
      </c>
      <c r="L12">
        <v>94.149839999999998</v>
      </c>
      <c r="M12">
        <v>61.940339999999999</v>
      </c>
      <c r="N12">
        <v>63.1873</v>
      </c>
      <c r="O12">
        <v>30.977799999999998</v>
      </c>
      <c r="P12" t="s">
        <v>346</v>
      </c>
      <c r="Q12" t="s">
        <v>333</v>
      </c>
      <c r="R12" t="s">
        <v>347</v>
      </c>
      <c r="S12">
        <v>88.884000000000199</v>
      </c>
      <c r="T12">
        <v>56.674500000000201</v>
      </c>
      <c r="U12" t="s">
        <v>348</v>
      </c>
      <c r="V12" t="s">
        <v>349</v>
      </c>
      <c r="W12">
        <v>560.25</v>
      </c>
      <c r="X12">
        <v>528.04049999999995</v>
      </c>
      <c r="Y12">
        <v>178</v>
      </c>
      <c r="AB12" s="77">
        <f t="shared" si="0"/>
        <v>61.940339999999999</v>
      </c>
      <c r="AC12" s="77">
        <f t="shared" si="1"/>
        <v>30.977799999999998</v>
      </c>
      <c r="AD12" s="77">
        <f t="shared" si="2"/>
        <v>65.789108085579329</v>
      </c>
      <c r="AE12" s="77">
        <f t="shared" si="3"/>
        <v>49.025357943764014</v>
      </c>
      <c r="AF12" s="77">
        <f t="shared" si="4"/>
        <v>56.674500000000201</v>
      </c>
      <c r="AG12" s="77">
        <f t="shared" si="5"/>
        <v>63.762319427568599</v>
      </c>
      <c r="AH12" s="337">
        <f>AVERAGE(W12:W13)</f>
        <v>560.25</v>
      </c>
      <c r="AI12" s="337">
        <f>SUM(J12:J13)</f>
        <v>80.986999999999995</v>
      </c>
      <c r="AJ12" s="337">
        <f t="shared" si="8"/>
        <v>479.26300000000003</v>
      </c>
      <c r="AK12" s="337">
        <f>SUM(AA12:AA13)</f>
        <v>0</v>
      </c>
      <c r="AL12" s="337">
        <f>SUM(AJ12-AK12)</f>
        <v>479.26300000000003</v>
      </c>
      <c r="AM12" s="338">
        <f t="shared" si="11"/>
        <v>85.544489067380638</v>
      </c>
      <c r="AN12" t="str">
        <f t="shared" si="15"/>
        <v/>
      </c>
      <c r="AO12" t="s">
        <v>327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344</v>
      </c>
      <c r="C13" t="s">
        <v>344</v>
      </c>
      <c r="D13" t="s">
        <v>319</v>
      </c>
      <c r="E13" t="s">
        <v>345</v>
      </c>
      <c r="F13" t="s">
        <v>321</v>
      </c>
      <c r="G13">
        <v>36.6</v>
      </c>
      <c r="H13">
        <v>60</v>
      </c>
      <c r="I13">
        <v>895</v>
      </c>
      <c r="J13">
        <v>48.777500000000003</v>
      </c>
      <c r="K13" s="64">
        <v>45600</v>
      </c>
      <c r="L13">
        <v>94.149839999999998</v>
      </c>
      <c r="M13">
        <v>45.372340000000001</v>
      </c>
      <c r="N13">
        <v>63.1873</v>
      </c>
      <c r="O13">
        <v>14.409800000000001</v>
      </c>
      <c r="P13" t="s">
        <v>346</v>
      </c>
      <c r="Q13" t="s">
        <v>333</v>
      </c>
      <c r="R13" t="s">
        <v>347</v>
      </c>
      <c r="S13">
        <v>88.884000000000199</v>
      </c>
      <c r="T13">
        <v>40.106500000000203</v>
      </c>
      <c r="U13" t="s">
        <v>348</v>
      </c>
      <c r="V13" t="s">
        <v>349</v>
      </c>
      <c r="W13">
        <v>560.25</v>
      </c>
      <c r="X13">
        <v>511.47250000000003</v>
      </c>
      <c r="Y13">
        <v>178</v>
      </c>
      <c r="AB13" s="77">
        <f t="shared" ref="AB13" si="16">M13-AA13</f>
        <v>45.372340000000001</v>
      </c>
      <c r="AC13" s="77">
        <f t="shared" ref="AC13" si="17">O13-AA13</f>
        <v>14.409800000000001</v>
      </c>
      <c r="AD13" s="77">
        <f t="shared" ref="AD13" si="18">AB13/L13%</f>
        <v>48.191627303880708</v>
      </c>
      <c r="AE13" s="77">
        <f t="shared" ref="AE13" si="19">AC13/N13%</f>
        <v>22.804899085734</v>
      </c>
      <c r="AF13" s="77">
        <f t="shared" ref="AF13" si="20">T13-AA13</f>
        <v>40.106500000000203</v>
      </c>
      <c r="AG13" s="77">
        <f t="shared" ref="AG13" si="21">AF13/S13%</f>
        <v>45.122294226182568</v>
      </c>
      <c r="AH13" s="337"/>
      <c r="AI13" s="337"/>
      <c r="AJ13" s="337"/>
      <c r="AK13" s="337"/>
      <c r="AL13" s="337"/>
      <c r="AM13" s="338"/>
      <c r="AN13" t="str">
        <f t="shared" si="15"/>
        <v/>
      </c>
      <c r="AO13" t="s">
        <v>327</v>
      </c>
      <c r="AP13" t="str">
        <f t="shared" ref="AP13" si="22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350</v>
      </c>
      <c r="C14" t="s">
        <v>351</v>
      </c>
      <c r="D14" t="s">
        <v>319</v>
      </c>
      <c r="E14" t="s">
        <v>352</v>
      </c>
      <c r="F14" t="s">
        <v>353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322</v>
      </c>
      <c r="Q14" t="s">
        <v>354</v>
      </c>
      <c r="R14" t="s">
        <v>355</v>
      </c>
      <c r="S14">
        <v>2.5920000000000001</v>
      </c>
      <c r="T14">
        <v>1.8889499999999999</v>
      </c>
      <c r="U14" t="s">
        <v>325</v>
      </c>
      <c r="V14" t="s">
        <v>356</v>
      </c>
      <c r="W14">
        <v>5.0250000000000004</v>
      </c>
      <c r="X14">
        <v>4.3219500000000002</v>
      </c>
      <c r="Y14">
        <v>5</v>
      </c>
      <c r="AB14" s="77">
        <f t="shared" si="0"/>
        <v>2.17455</v>
      </c>
      <c r="AC14" s="77">
        <f t="shared" si="1"/>
        <v>2.7304499999999998</v>
      </c>
      <c r="AD14" s="77">
        <f t="shared" si="2"/>
        <v>75.568181818181813</v>
      </c>
      <c r="AE14" s="77">
        <f t="shared" si="3"/>
        <v>79.523809523809518</v>
      </c>
      <c r="AF14" s="77">
        <f t="shared" si="4"/>
        <v>1.8889499999999999</v>
      </c>
      <c r="AG14" s="77">
        <f t="shared" si="5"/>
        <v>72.876157407407405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</v>
      </c>
      <c r="AL14" s="77">
        <f t="shared" si="10"/>
        <v>4.3219500000000002</v>
      </c>
      <c r="AM14" s="77">
        <f t="shared" si="11"/>
        <v>86.008955223880591</v>
      </c>
      <c r="AN14" t="str">
        <f t="shared" si="15"/>
        <v/>
      </c>
      <c r="AO14" t="s">
        <v>327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357</v>
      </c>
      <c r="C15" t="s">
        <v>358</v>
      </c>
      <c r="D15" t="s">
        <v>319</v>
      </c>
      <c r="E15" t="s">
        <v>359</v>
      </c>
      <c r="F15" t="s">
        <v>321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360</v>
      </c>
      <c r="Q15" t="s">
        <v>354</v>
      </c>
      <c r="R15" t="s">
        <v>361</v>
      </c>
      <c r="S15">
        <v>12.635999999999999</v>
      </c>
      <c r="T15">
        <v>4.4064999999999799</v>
      </c>
      <c r="U15" t="s">
        <v>325</v>
      </c>
      <c r="V15" t="s">
        <v>362</v>
      </c>
      <c r="W15">
        <v>9.75</v>
      </c>
      <c r="X15">
        <v>1.5205</v>
      </c>
      <c r="Y15">
        <v>13</v>
      </c>
      <c r="AB15" s="77">
        <f t="shared" si="0"/>
        <v>9.3238599999999998</v>
      </c>
      <c r="AC15" s="77">
        <f t="shared" si="1"/>
        <v>7.3847495094999998</v>
      </c>
      <c r="AD15" s="77">
        <f t="shared" si="2"/>
        <v>53.117237953303523</v>
      </c>
      <c r="AE15" s="77">
        <f t="shared" si="3"/>
        <v>47.294937262319145</v>
      </c>
      <c r="AF15" s="77">
        <f t="shared" si="4"/>
        <v>4.4064999999999799</v>
      </c>
      <c r="AG15" s="77">
        <f t="shared" si="5"/>
        <v>34.872586261474993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</v>
      </c>
      <c r="AL15" s="77">
        <f t="shared" si="10"/>
        <v>1.5205000000000002</v>
      </c>
      <c r="AM15" s="77">
        <f t="shared" si="11"/>
        <v>15.594871794871796</v>
      </c>
      <c r="AN15" t="str">
        <f t="shared" si="15"/>
        <v/>
      </c>
      <c r="AO15" t="s">
        <v>327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363</v>
      </c>
      <c r="C16" t="s">
        <v>364</v>
      </c>
      <c r="D16" t="s">
        <v>319</v>
      </c>
      <c r="E16" t="s">
        <v>365</v>
      </c>
      <c r="F16" t="s">
        <v>332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325</v>
      </c>
      <c r="Q16" t="s">
        <v>333</v>
      </c>
      <c r="R16" t="s">
        <v>366</v>
      </c>
      <c r="S16">
        <v>10.1088</v>
      </c>
      <c r="T16">
        <v>4.6587999999999798</v>
      </c>
      <c r="U16" t="s">
        <v>346</v>
      </c>
      <c r="V16" t="s">
        <v>367</v>
      </c>
      <c r="W16">
        <v>112.5</v>
      </c>
      <c r="X16">
        <v>107.05</v>
      </c>
      <c r="Y16">
        <v>23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5"/>
        <v/>
      </c>
      <c r="AO16" t="s">
        <v>327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328</v>
      </c>
      <c r="C17" t="s">
        <v>368</v>
      </c>
      <c r="D17" t="s">
        <v>319</v>
      </c>
      <c r="E17" t="s">
        <v>369</v>
      </c>
      <c r="F17" t="s">
        <v>370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339</v>
      </c>
      <c r="Q17" t="s">
        <v>354</v>
      </c>
      <c r="R17" t="s">
        <v>355</v>
      </c>
      <c r="S17">
        <v>3.456</v>
      </c>
      <c r="T17">
        <v>2.911</v>
      </c>
      <c r="U17" t="s">
        <v>322</v>
      </c>
      <c r="V17" t="s">
        <v>371</v>
      </c>
      <c r="W17">
        <v>15</v>
      </c>
      <c r="X17">
        <v>14.455</v>
      </c>
      <c r="Y17">
        <v>12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5"/>
        <v/>
      </c>
      <c r="AO17" t="s">
        <v>327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t="s">
        <v>372</v>
      </c>
      <c r="C18" t="s">
        <v>373</v>
      </c>
      <c r="D18" t="s">
        <v>319</v>
      </c>
      <c r="E18" t="s">
        <v>374</v>
      </c>
      <c r="F18" t="s">
        <v>321</v>
      </c>
      <c r="G18">
        <v>36.6</v>
      </c>
      <c r="H18">
        <v>66</v>
      </c>
      <c r="I18">
        <v>859</v>
      </c>
      <c r="J18">
        <v>46.8155</v>
      </c>
      <c r="K18" s="64">
        <v>44972</v>
      </c>
      <c r="L18">
        <v>103.7244</v>
      </c>
      <c r="M18">
        <v>56.908900000000003</v>
      </c>
      <c r="N18">
        <v>64.255499999999998</v>
      </c>
      <c r="O18">
        <v>17.440000000000001</v>
      </c>
      <c r="P18" t="s">
        <v>375</v>
      </c>
      <c r="Q18" t="s">
        <v>333</v>
      </c>
      <c r="R18" t="s">
        <v>347</v>
      </c>
      <c r="S18">
        <v>106.66079999999999</v>
      </c>
      <c r="T18">
        <v>59.845300000000101</v>
      </c>
      <c r="U18" t="s">
        <v>322</v>
      </c>
      <c r="V18" t="s">
        <v>376</v>
      </c>
      <c r="W18">
        <v>75</v>
      </c>
      <c r="X18">
        <v>28.1845</v>
      </c>
      <c r="Y18">
        <v>29</v>
      </c>
      <c r="AB18" s="77">
        <f t="shared" si="0"/>
        <v>56.908900000000003</v>
      </c>
      <c r="AC18" s="77">
        <f t="shared" si="1"/>
        <v>17.440000000000001</v>
      </c>
      <c r="AD18" s="77">
        <f t="shared" si="2"/>
        <v>54.865489701555276</v>
      </c>
      <c r="AE18" s="77">
        <f t="shared" si="3"/>
        <v>27.14164546225615</v>
      </c>
      <c r="AF18" s="77">
        <f t="shared" si="4"/>
        <v>59.845300000000101</v>
      </c>
      <c r="AG18" s="77">
        <f t="shared" si="5"/>
        <v>56.108054693008214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0</v>
      </c>
      <c r="AL18" s="77">
        <f t="shared" si="10"/>
        <v>69.4345</v>
      </c>
      <c r="AM18" s="77">
        <f t="shared" si="11"/>
        <v>59.728602150537633</v>
      </c>
      <c r="AN18" t="str">
        <f t="shared" si="15"/>
        <v/>
      </c>
      <c r="AO18" t="s">
        <v>327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t="s">
        <v>377</v>
      </c>
      <c r="C19" t="s">
        <v>378</v>
      </c>
      <c r="D19" t="s">
        <v>319</v>
      </c>
      <c r="E19" t="s">
        <v>379</v>
      </c>
      <c r="F19" t="s">
        <v>321</v>
      </c>
      <c r="G19">
        <v>36.6</v>
      </c>
      <c r="H19">
        <v>13</v>
      </c>
      <c r="I19">
        <v>101</v>
      </c>
      <c r="J19">
        <v>5.5045000000000002</v>
      </c>
      <c r="K19" s="64">
        <v>45600</v>
      </c>
      <c r="L19">
        <v>19.14912</v>
      </c>
      <c r="M19">
        <v>13.64462</v>
      </c>
      <c r="N19">
        <v>14.20815</v>
      </c>
      <c r="O19">
        <v>8.7036499999999997</v>
      </c>
      <c r="P19" t="s">
        <v>322</v>
      </c>
      <c r="Q19" t="s">
        <v>333</v>
      </c>
      <c r="R19" t="s">
        <v>366</v>
      </c>
      <c r="S19">
        <v>15.1632</v>
      </c>
      <c r="T19">
        <v>9.6586999999999907</v>
      </c>
      <c r="U19" t="s">
        <v>380</v>
      </c>
      <c r="V19" t="s">
        <v>381</v>
      </c>
      <c r="W19">
        <v>27</v>
      </c>
      <c r="X19">
        <v>21.4955</v>
      </c>
      <c r="Y19">
        <v>19</v>
      </c>
      <c r="AB19" s="77">
        <f t="shared" si="0"/>
        <v>13.64462</v>
      </c>
      <c r="AC19" s="77">
        <f t="shared" si="1"/>
        <v>8.7036499999999997</v>
      </c>
      <c r="AD19" s="77">
        <f t="shared" si="2"/>
        <v>71.254553734061929</v>
      </c>
      <c r="AE19" s="77">
        <f t="shared" si="3"/>
        <v>61.258151131568852</v>
      </c>
      <c r="AF19" s="77">
        <f t="shared" si="4"/>
        <v>9.6586999999999907</v>
      </c>
      <c r="AG19" s="77">
        <f t="shared" si="5"/>
        <v>63.698295874221742</v>
      </c>
      <c r="AH19" s="77">
        <f t="shared" si="6"/>
        <v>27</v>
      </c>
      <c r="AI19" s="77">
        <f t="shared" si="7"/>
        <v>5.5045000000000002</v>
      </c>
      <c r="AJ19" s="77">
        <f t="shared" si="8"/>
        <v>21.4955</v>
      </c>
      <c r="AK19" s="77">
        <f t="shared" si="9"/>
        <v>0</v>
      </c>
      <c r="AL19" s="77">
        <f t="shared" si="10"/>
        <v>21.4955</v>
      </c>
      <c r="AM19" s="77">
        <f t="shared" si="11"/>
        <v>79.612962962962953</v>
      </c>
      <c r="AN19" t="str">
        <f t="shared" si="15"/>
        <v/>
      </c>
      <c r="AO19" t="s">
        <v>327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372</v>
      </c>
      <c r="C20" t="s">
        <v>382</v>
      </c>
      <c r="D20" t="s">
        <v>330</v>
      </c>
      <c r="E20" t="s">
        <v>383</v>
      </c>
      <c r="F20" t="s">
        <v>384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322</v>
      </c>
      <c r="Q20" t="s">
        <v>323</v>
      </c>
      <c r="R20" t="s">
        <v>324</v>
      </c>
      <c r="S20">
        <v>13.154400000000001</v>
      </c>
      <c r="T20">
        <v>7.1049000000000104</v>
      </c>
      <c r="U20" t="s">
        <v>325</v>
      </c>
      <c r="V20" t="s">
        <v>335</v>
      </c>
      <c r="W20">
        <v>22.5</v>
      </c>
      <c r="X20">
        <v>16.450500000000002</v>
      </c>
      <c r="Y20">
        <v>12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5"/>
        <v/>
      </c>
      <c r="AO20" t="s">
        <v>327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372</v>
      </c>
      <c r="C21" t="s">
        <v>382</v>
      </c>
      <c r="D21" t="s">
        <v>385</v>
      </c>
      <c r="E21" t="s">
        <v>386</v>
      </c>
      <c r="F21" t="s">
        <v>332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322</v>
      </c>
      <c r="Q21" t="s">
        <v>387</v>
      </c>
      <c r="R21" t="s">
        <v>388</v>
      </c>
      <c r="S21">
        <v>27.799199999999999</v>
      </c>
      <c r="T21">
        <v>0.54919999999997104</v>
      </c>
      <c r="U21" t="s">
        <v>322</v>
      </c>
      <c r="V21" t="s">
        <v>389</v>
      </c>
      <c r="W21">
        <v>85.814999999999998</v>
      </c>
      <c r="X21">
        <v>58.564999999999998</v>
      </c>
      <c r="Y21">
        <v>31</v>
      </c>
      <c r="AB21" s="77">
        <f t="shared" si="0"/>
        <v>11.99</v>
      </c>
      <c r="AC21" s="77">
        <f t="shared" si="1"/>
        <v>8.2131500000000006</v>
      </c>
      <c r="AD21" s="77">
        <f t="shared" si="2"/>
        <v>30.555555555555554</v>
      </c>
      <c r="AE21" s="77">
        <f t="shared" si="3"/>
        <v>23.1596741970186</v>
      </c>
      <c r="AF21" s="77">
        <f t="shared" si="4"/>
        <v>0.54919999999997104</v>
      </c>
      <c r="AG21" s="77">
        <f t="shared" si="5"/>
        <v>1.9755964200407603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0</v>
      </c>
      <c r="AL21" s="77">
        <f t="shared" si="10"/>
        <v>58.564999999999998</v>
      </c>
      <c r="AM21" s="77">
        <f t="shared" si="11"/>
        <v>68.245644700809876</v>
      </c>
      <c r="AN21" t="str">
        <f t="shared" si="15"/>
        <v/>
      </c>
      <c r="AO21" t="s">
        <v>327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390</v>
      </c>
      <c r="C22" t="s">
        <v>391</v>
      </c>
      <c r="D22" t="s">
        <v>392</v>
      </c>
      <c r="E22" t="s">
        <v>393</v>
      </c>
      <c r="F22" t="s">
        <v>321</v>
      </c>
      <c r="G22">
        <v>36.6</v>
      </c>
      <c r="H22">
        <v>74</v>
      </c>
      <c r="I22">
        <v>899</v>
      </c>
      <c r="J22">
        <v>48.9955</v>
      </c>
      <c r="K22" s="64">
        <v>45600</v>
      </c>
      <c r="L22">
        <v>116.49048000000001</v>
      </c>
      <c r="M22">
        <v>67.494979999999998</v>
      </c>
      <c r="N22">
        <v>80.213099999999997</v>
      </c>
      <c r="O22">
        <v>31.217600000000001</v>
      </c>
      <c r="P22" t="s">
        <v>375</v>
      </c>
      <c r="Q22" t="s">
        <v>333</v>
      </c>
      <c r="R22" t="s">
        <v>347</v>
      </c>
      <c r="S22">
        <v>106.66079999999999</v>
      </c>
      <c r="T22">
        <v>57.665300000000101</v>
      </c>
      <c r="U22" t="s">
        <v>375</v>
      </c>
      <c r="V22" t="s">
        <v>394</v>
      </c>
      <c r="W22">
        <v>161.25</v>
      </c>
      <c r="X22">
        <v>112.25449999999999</v>
      </c>
      <c r="Y22">
        <v>38</v>
      </c>
      <c r="Z22" t="s">
        <v>274</v>
      </c>
      <c r="AB22" s="77">
        <f t="shared" si="0"/>
        <v>67.494979999999998</v>
      </c>
      <c r="AC22" s="77">
        <f t="shared" si="1"/>
        <v>31.217600000000001</v>
      </c>
      <c r="AD22" s="77">
        <f t="shared" si="2"/>
        <v>57.940339845796842</v>
      </c>
      <c r="AE22" s="77">
        <f t="shared" si="3"/>
        <v>38.918331295012912</v>
      </c>
      <c r="AF22" s="77">
        <f t="shared" si="4"/>
        <v>57.665300000000101</v>
      </c>
      <c r="AG22" s="77">
        <f t="shared" si="5"/>
        <v>54.064192280575526</v>
      </c>
      <c r="AH22" s="337">
        <f>AVERAGE(W22:W23)</f>
        <v>161.25</v>
      </c>
      <c r="AI22" s="337">
        <f>SUM(J22:J23)</f>
        <v>105.45750000000001</v>
      </c>
      <c r="AJ22" s="337">
        <f>SUM(AH22-AI22)</f>
        <v>55.79249999999999</v>
      </c>
      <c r="AK22" s="337">
        <f>SUM(AA22:AA23)</f>
        <v>0</v>
      </c>
      <c r="AL22" s="337">
        <f>SUM(AJ22-AK22)</f>
        <v>55.79249999999999</v>
      </c>
      <c r="AM22" s="338">
        <f t="shared" si="11"/>
        <v>34.599999999999994</v>
      </c>
      <c r="AN22" t="str">
        <f t="shared" si="15"/>
        <v>Capped</v>
      </c>
      <c r="AO22" t="s">
        <v>395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390</v>
      </c>
      <c r="C23" t="s">
        <v>391</v>
      </c>
      <c r="D23" t="s">
        <v>392</v>
      </c>
      <c r="E23" t="s">
        <v>393</v>
      </c>
      <c r="F23" t="s">
        <v>321</v>
      </c>
      <c r="G23">
        <v>36.6</v>
      </c>
      <c r="H23">
        <v>74</v>
      </c>
      <c r="I23">
        <v>1036</v>
      </c>
      <c r="J23">
        <v>56.462000000000003</v>
      </c>
      <c r="K23" s="64">
        <v>45600</v>
      </c>
      <c r="L23">
        <v>116.49048000000001</v>
      </c>
      <c r="M23">
        <v>60.028480000000002</v>
      </c>
      <c r="N23">
        <v>80.213099999999997</v>
      </c>
      <c r="O23">
        <v>23.751100000000001</v>
      </c>
      <c r="P23" t="s">
        <v>375</v>
      </c>
      <c r="Q23" t="s">
        <v>333</v>
      </c>
      <c r="R23" t="s">
        <v>347</v>
      </c>
      <c r="S23">
        <v>106.66079999999999</v>
      </c>
      <c r="T23">
        <v>50.198800000000098</v>
      </c>
      <c r="U23" t="s">
        <v>375</v>
      </c>
      <c r="V23" t="s">
        <v>394</v>
      </c>
      <c r="W23">
        <v>161.25</v>
      </c>
      <c r="X23">
        <v>104.788</v>
      </c>
      <c r="Y23">
        <v>38</v>
      </c>
      <c r="Z23" t="s">
        <v>274</v>
      </c>
      <c r="AB23" s="77">
        <f t="shared" ref="AB23" si="23">M23-AA23</f>
        <v>60.028480000000002</v>
      </c>
      <c r="AC23" s="77">
        <f t="shared" ref="AC23" si="24">O23-AA23</f>
        <v>23.751100000000001</v>
      </c>
      <c r="AD23" s="77">
        <f t="shared" ref="AD23" si="25">AB23/L23%</f>
        <v>51.530803203832626</v>
      </c>
      <c r="AE23" s="77">
        <f t="shared" ref="AE23" si="26">AC23/N23%</f>
        <v>29.610001358880286</v>
      </c>
      <c r="AF23" s="77">
        <f t="shared" ref="AF23" si="27">T23-AA23</f>
        <v>50.198800000000098</v>
      </c>
      <c r="AG23" s="77">
        <f t="shared" ref="AG23" si="28">AF23/S23%</f>
        <v>47.063963517993578</v>
      </c>
      <c r="AH23" s="337"/>
      <c r="AI23" s="337"/>
      <c r="AJ23" s="337"/>
      <c r="AK23" s="337"/>
      <c r="AL23" s="337"/>
      <c r="AM23" s="338"/>
      <c r="AN23" t="str">
        <f t="shared" si="15"/>
        <v>Capped</v>
      </c>
      <c r="AO23" t="s">
        <v>395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396</v>
      </c>
      <c r="C24" t="s">
        <v>397</v>
      </c>
      <c r="D24" t="s">
        <v>319</v>
      </c>
      <c r="E24" t="s">
        <v>398</v>
      </c>
      <c r="F24" t="s">
        <v>399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325</v>
      </c>
      <c r="Q24" t="s">
        <v>333</v>
      </c>
      <c r="R24" t="s">
        <v>400</v>
      </c>
      <c r="S24">
        <v>5.2271999999999998</v>
      </c>
      <c r="T24">
        <v>1.216</v>
      </c>
      <c r="U24" t="s">
        <v>325</v>
      </c>
      <c r="V24" t="s">
        <v>401</v>
      </c>
      <c r="W24">
        <v>37.5</v>
      </c>
      <c r="X24">
        <v>33.488799999999998</v>
      </c>
      <c r="Y24">
        <v>96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5"/>
        <v/>
      </c>
      <c r="AO24" t="s">
        <v>327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402</v>
      </c>
      <c r="C25" t="s">
        <v>403</v>
      </c>
      <c r="D25" t="s">
        <v>319</v>
      </c>
      <c r="E25" t="s">
        <v>404</v>
      </c>
      <c r="F25" t="s">
        <v>321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325</v>
      </c>
      <c r="Q25" t="s">
        <v>333</v>
      </c>
      <c r="R25" t="s">
        <v>405</v>
      </c>
      <c r="S25">
        <v>28.123200000000001</v>
      </c>
      <c r="T25">
        <v>13.626200000000001</v>
      </c>
      <c r="U25" t="s">
        <v>346</v>
      </c>
      <c r="V25" t="s">
        <v>406</v>
      </c>
      <c r="W25">
        <v>54</v>
      </c>
      <c r="X25">
        <v>39.503</v>
      </c>
      <c r="Y25">
        <v>12</v>
      </c>
      <c r="AB25" s="77">
        <f t="shared" si="0"/>
        <v>25.396999999999998</v>
      </c>
      <c r="AC25" s="77">
        <f t="shared" si="1"/>
        <v>17.930499999999999</v>
      </c>
      <c r="AD25" s="77">
        <f t="shared" si="2"/>
        <v>63.661202185792355</v>
      </c>
      <c r="AE25" s="77">
        <f t="shared" si="3"/>
        <v>55.294117647058812</v>
      </c>
      <c r="AF25" s="77">
        <f t="shared" si="4"/>
        <v>13.626200000000001</v>
      </c>
      <c r="AG25" s="77">
        <f t="shared" si="5"/>
        <v>48.451812027080848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0</v>
      </c>
      <c r="AL25" s="77">
        <f t="shared" si="10"/>
        <v>39.503</v>
      </c>
      <c r="AM25" s="77">
        <f t="shared" si="11"/>
        <v>73.153703703703698</v>
      </c>
      <c r="AN25" t="str">
        <f t="shared" si="15"/>
        <v/>
      </c>
      <c r="AO25" t="s">
        <v>327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402</v>
      </c>
      <c r="C26" t="s">
        <v>403</v>
      </c>
      <c r="D26" t="s">
        <v>319</v>
      </c>
      <c r="E26" t="s">
        <v>407</v>
      </c>
      <c r="F26" t="s">
        <v>321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322</v>
      </c>
      <c r="Q26" t="s">
        <v>333</v>
      </c>
      <c r="R26" t="s">
        <v>405</v>
      </c>
      <c r="S26">
        <v>42.184800000000003</v>
      </c>
      <c r="T26">
        <v>16.7333</v>
      </c>
      <c r="U26" t="s">
        <v>339</v>
      </c>
      <c r="V26" t="s">
        <v>408</v>
      </c>
      <c r="W26">
        <v>69.75</v>
      </c>
      <c r="X26">
        <v>44.298499999999997</v>
      </c>
      <c r="Y26">
        <v>19</v>
      </c>
      <c r="AB26" s="77">
        <f t="shared" si="0"/>
        <v>12.84674</v>
      </c>
      <c r="AC26" s="77">
        <f t="shared" si="1"/>
        <v>-3.7387000000000001</v>
      </c>
      <c r="AD26" s="77">
        <f t="shared" si="2"/>
        <v>33.543943533697636</v>
      </c>
      <c r="AE26" s="77">
        <f t="shared" si="3"/>
        <v>-17.218875502008032</v>
      </c>
      <c r="AF26" s="77">
        <f t="shared" si="4"/>
        <v>16.7333</v>
      </c>
      <c r="AG26" s="77">
        <f t="shared" si="5"/>
        <v>39.666657184578334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0</v>
      </c>
      <c r="AL26" s="77">
        <f t="shared" si="10"/>
        <v>44.298500000000004</v>
      </c>
      <c r="AM26" s="77">
        <f t="shared" si="11"/>
        <v>63.510394265232982</v>
      </c>
      <c r="AN26" t="str">
        <f t="shared" si="15"/>
        <v/>
      </c>
      <c r="AO26" t="s">
        <v>327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377</v>
      </c>
      <c r="C27" t="s">
        <v>409</v>
      </c>
      <c r="D27" t="s">
        <v>392</v>
      </c>
      <c r="E27" t="s">
        <v>410</v>
      </c>
      <c r="F27" t="s">
        <v>321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325</v>
      </c>
      <c r="Q27" t="s">
        <v>333</v>
      </c>
      <c r="R27" t="s">
        <v>347</v>
      </c>
      <c r="S27">
        <v>35.553600000000003</v>
      </c>
      <c r="T27">
        <v>13.4811</v>
      </c>
      <c r="U27" t="s">
        <v>325</v>
      </c>
      <c r="V27" t="s">
        <v>411</v>
      </c>
      <c r="W27">
        <v>9.4499999999999993</v>
      </c>
      <c r="X27">
        <v>-12.6225</v>
      </c>
      <c r="Y27">
        <v>0</v>
      </c>
      <c r="Z27" t="s">
        <v>412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5"/>
        <v>Capped</v>
      </c>
      <c r="AO27" t="s">
        <v>327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377</v>
      </c>
      <c r="C28" t="s">
        <v>409</v>
      </c>
      <c r="D28" t="s">
        <v>392</v>
      </c>
      <c r="E28" t="s">
        <v>413</v>
      </c>
      <c r="F28" t="s">
        <v>321</v>
      </c>
      <c r="G28">
        <v>36.6</v>
      </c>
      <c r="H28">
        <v>59</v>
      </c>
      <c r="I28">
        <v>577</v>
      </c>
      <c r="J28">
        <v>31.4465</v>
      </c>
      <c r="K28" s="64">
        <v>45600</v>
      </c>
      <c r="L28">
        <v>92.554079999999999</v>
      </c>
      <c r="M28">
        <v>61.107579999999999</v>
      </c>
      <c r="N28">
        <v>84.627600000000001</v>
      </c>
      <c r="O28">
        <v>53.181100000000001</v>
      </c>
      <c r="P28" t="s">
        <v>322</v>
      </c>
      <c r="Q28" t="s">
        <v>333</v>
      </c>
      <c r="R28" t="s">
        <v>414</v>
      </c>
      <c r="S28">
        <v>48.068640000000002</v>
      </c>
      <c r="T28">
        <v>16.622140000000002</v>
      </c>
      <c r="U28" t="s">
        <v>360</v>
      </c>
      <c r="V28" t="s">
        <v>415</v>
      </c>
      <c r="W28">
        <v>82.5</v>
      </c>
      <c r="X28">
        <v>51.0535</v>
      </c>
      <c r="Y28">
        <v>5</v>
      </c>
      <c r="Z28" t="s">
        <v>8</v>
      </c>
      <c r="AB28" s="77">
        <f t="shared" si="0"/>
        <v>61.107579999999999</v>
      </c>
      <c r="AC28" s="77">
        <f t="shared" si="1"/>
        <v>53.181100000000001</v>
      </c>
      <c r="AD28" s="77">
        <f t="shared" si="2"/>
        <v>66.023648012059553</v>
      </c>
      <c r="AE28" s="77">
        <f t="shared" si="3"/>
        <v>62.841318907779495</v>
      </c>
      <c r="AF28" s="77">
        <f t="shared" si="4"/>
        <v>16.622140000000002</v>
      </c>
      <c r="AG28" s="77">
        <f t="shared" si="5"/>
        <v>34.580008920576908</v>
      </c>
      <c r="AH28" s="77">
        <f t="shared" si="6"/>
        <v>82.5</v>
      </c>
      <c r="AI28" s="77">
        <f t="shared" si="7"/>
        <v>31.4465</v>
      </c>
      <c r="AJ28" s="77">
        <f t="shared" si="8"/>
        <v>51.0535</v>
      </c>
      <c r="AK28" s="77">
        <f t="shared" si="9"/>
        <v>0</v>
      </c>
      <c r="AL28" s="77">
        <f t="shared" si="10"/>
        <v>51.0535</v>
      </c>
      <c r="AM28" s="77">
        <f t="shared" si="11"/>
        <v>61.883030303030303</v>
      </c>
      <c r="AN28" t="str">
        <f t="shared" si="15"/>
        <v>Capped</v>
      </c>
      <c r="AO28" s="52" t="s">
        <v>395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377</v>
      </c>
      <c r="C29" t="s">
        <v>409</v>
      </c>
      <c r="D29" t="s">
        <v>392</v>
      </c>
      <c r="E29" t="s">
        <v>413</v>
      </c>
      <c r="F29" t="s">
        <v>321</v>
      </c>
      <c r="G29">
        <v>36.6</v>
      </c>
      <c r="H29">
        <v>59</v>
      </c>
      <c r="I29">
        <v>647</v>
      </c>
      <c r="J29">
        <v>35.261499999999998</v>
      </c>
      <c r="K29" s="64">
        <v>45600</v>
      </c>
      <c r="L29">
        <v>92.554079999999999</v>
      </c>
      <c r="M29">
        <v>57.292580000000001</v>
      </c>
      <c r="N29">
        <v>82.992599999999996</v>
      </c>
      <c r="O29">
        <v>47.731099999999998</v>
      </c>
      <c r="P29" t="s">
        <v>322</v>
      </c>
      <c r="Q29" t="s">
        <v>333</v>
      </c>
      <c r="R29" t="s">
        <v>347</v>
      </c>
      <c r="S29">
        <v>53.330399999999997</v>
      </c>
      <c r="T29">
        <v>18.068899999999999</v>
      </c>
      <c r="U29" t="s">
        <v>360</v>
      </c>
      <c r="V29" t="s">
        <v>415</v>
      </c>
      <c r="W29">
        <v>82.5</v>
      </c>
      <c r="X29">
        <v>47.238500000000002</v>
      </c>
      <c r="Y29">
        <v>5</v>
      </c>
      <c r="Z29" t="s">
        <v>8</v>
      </c>
      <c r="AB29" s="77">
        <f t="shared" si="0"/>
        <v>57.292580000000001</v>
      </c>
      <c r="AC29" s="77">
        <f t="shared" si="1"/>
        <v>47.731099999999998</v>
      </c>
      <c r="AD29" s="77">
        <f t="shared" si="2"/>
        <v>61.901733559449788</v>
      </c>
      <c r="AE29" s="77">
        <f t="shared" si="3"/>
        <v>57.512477016023119</v>
      </c>
      <c r="AF29" s="77">
        <f t="shared" si="4"/>
        <v>18.068899999999999</v>
      </c>
      <c r="AG29" s="77">
        <f t="shared" si="5"/>
        <v>33.881050957802678</v>
      </c>
      <c r="AH29" s="77">
        <f t="shared" si="6"/>
        <v>82.5</v>
      </c>
      <c r="AI29" s="77">
        <f t="shared" si="7"/>
        <v>35.261499999999998</v>
      </c>
      <c r="AJ29" s="77">
        <f t="shared" si="8"/>
        <v>47.238500000000002</v>
      </c>
      <c r="AK29" s="77">
        <f t="shared" si="9"/>
        <v>0</v>
      </c>
      <c r="AL29" s="77">
        <f t="shared" si="10"/>
        <v>47.238500000000002</v>
      </c>
      <c r="AM29" s="77">
        <f t="shared" si="11"/>
        <v>57.258787878787885</v>
      </c>
      <c r="AN29" t="str">
        <f t="shared" si="15"/>
        <v>Capped</v>
      </c>
      <c r="AO29" s="52" t="s">
        <v>395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377</v>
      </c>
      <c r="C30" t="s">
        <v>409</v>
      </c>
      <c r="D30" t="s">
        <v>319</v>
      </c>
      <c r="E30" t="s">
        <v>416</v>
      </c>
      <c r="F30" t="s">
        <v>321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325</v>
      </c>
      <c r="Q30" t="s">
        <v>333</v>
      </c>
      <c r="R30" t="s">
        <v>347</v>
      </c>
      <c r="S30">
        <v>35.553600000000003</v>
      </c>
      <c r="T30">
        <v>30.049099999999999</v>
      </c>
      <c r="U30" t="s">
        <v>325</v>
      </c>
      <c r="V30" t="s">
        <v>343</v>
      </c>
      <c r="W30">
        <v>45</v>
      </c>
      <c r="X30">
        <v>39.4955</v>
      </c>
      <c r="Y30">
        <v>23</v>
      </c>
      <c r="AB30" s="77">
        <f t="shared" ref="AB30" si="29">M30-AA30</f>
        <v>32.79374</v>
      </c>
      <c r="AC30" s="77">
        <f t="shared" ref="AC30" si="30">O30-AA30</f>
        <v>20.568300000000001</v>
      </c>
      <c r="AD30" s="77">
        <f t="shared" ref="AD30" si="31">AB30/L30%</f>
        <v>85.627276867030957</v>
      </c>
      <c r="AE30" s="77">
        <f t="shared" ref="AE30" si="32">AC30/N30%</f>
        <v>78.88795986622074</v>
      </c>
      <c r="AF30" s="77">
        <f t="shared" ref="AF30" si="33">T30-AA30</f>
        <v>30.049099999999999</v>
      </c>
      <c r="AG30" s="77">
        <f t="shared" ref="AG30" si="34">AF30/S30%</f>
        <v>84.517742225822417</v>
      </c>
      <c r="AH30" s="77">
        <f t="shared" ref="AH30" si="35">W30</f>
        <v>45</v>
      </c>
      <c r="AI30" s="77">
        <f t="shared" ref="AI30" si="36">J30</f>
        <v>5.5045000000000002</v>
      </c>
      <c r="AJ30" s="77">
        <f t="shared" ref="AJ30" si="37">AH30-AI30</f>
        <v>39.4955</v>
      </c>
      <c r="AK30" s="77">
        <f t="shared" ref="AK30" si="38">AA30</f>
        <v>0</v>
      </c>
      <c r="AL30" s="77">
        <f t="shared" ref="AL30" si="39">AJ30-AK30</f>
        <v>39.4955</v>
      </c>
      <c r="AM30" s="77">
        <f t="shared" ref="AM30" si="40">AL30/AH30%</f>
        <v>87.767777777777781</v>
      </c>
      <c r="AN30" t="str">
        <f t="shared" si="15"/>
        <v/>
      </c>
      <c r="AO30" s="52" t="s">
        <v>395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377</v>
      </c>
      <c r="C31" t="s">
        <v>409</v>
      </c>
      <c r="D31" t="s">
        <v>319</v>
      </c>
      <c r="E31" t="s">
        <v>416</v>
      </c>
      <c r="F31" t="s">
        <v>321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325</v>
      </c>
      <c r="Q31" t="s">
        <v>333</v>
      </c>
      <c r="R31" t="s">
        <v>347</v>
      </c>
      <c r="S31">
        <v>35.553600000000003</v>
      </c>
      <c r="T31">
        <v>28.032599999999999</v>
      </c>
      <c r="U31" t="s">
        <v>325</v>
      </c>
      <c r="V31" t="s">
        <v>343</v>
      </c>
      <c r="W31">
        <v>45</v>
      </c>
      <c r="X31">
        <v>37.478999999999999</v>
      </c>
      <c r="Y31">
        <v>23</v>
      </c>
      <c r="AB31" s="77">
        <f t="shared" ref="AB31" si="41">M31-AA31</f>
        <v>30.777239999999999</v>
      </c>
      <c r="AC31" s="77">
        <f t="shared" ref="AC31" si="42">O31-AA31</f>
        <v>18.5518</v>
      </c>
      <c r="AD31" s="77">
        <f t="shared" ref="AD31" si="43">AB31/L31%</f>
        <v>80.362021857923494</v>
      </c>
      <c r="AE31" s="77">
        <f t="shared" ref="AE31" si="44">AC31/N31%</f>
        <v>71.153846153846146</v>
      </c>
      <c r="AF31" s="77">
        <f t="shared" ref="AF31" si="45">T31-AA31</f>
        <v>28.032599999999999</v>
      </c>
      <c r="AG31" s="77">
        <f t="shared" ref="AG31" si="46">AF31/S31%</f>
        <v>78.846024031321718</v>
      </c>
      <c r="AH31" s="77">
        <f t="shared" ref="AH31" si="47">W31</f>
        <v>45</v>
      </c>
      <c r="AI31" s="77">
        <f t="shared" ref="AI31" si="48">J31</f>
        <v>7.5209999999999999</v>
      </c>
      <c r="AJ31" s="77">
        <f t="shared" ref="AJ31" si="49">AH31-AI31</f>
        <v>37.478999999999999</v>
      </c>
      <c r="AK31" s="77">
        <f t="shared" ref="AK31" si="50">AA31</f>
        <v>0</v>
      </c>
      <c r="AL31" s="77">
        <f t="shared" ref="AL31" si="51">AJ31-AK31</f>
        <v>37.478999999999999</v>
      </c>
      <c r="AM31" s="77">
        <f t="shared" ref="AM31" si="52">AL31/AH31%</f>
        <v>83.286666666666662</v>
      </c>
      <c r="AN31" t="str">
        <f t="shared" si="15"/>
        <v/>
      </c>
      <c r="AO31" s="52" t="s">
        <v>395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377</v>
      </c>
      <c r="C32" t="s">
        <v>409</v>
      </c>
      <c r="D32" t="s">
        <v>319</v>
      </c>
      <c r="E32" t="s">
        <v>417</v>
      </c>
      <c r="F32" t="s">
        <v>321</v>
      </c>
      <c r="G32">
        <v>36.6</v>
      </c>
      <c r="H32">
        <v>26</v>
      </c>
      <c r="I32">
        <v>91</v>
      </c>
      <c r="J32">
        <v>4.9595000000000002</v>
      </c>
      <c r="K32" s="64">
        <v>45600</v>
      </c>
      <c r="L32">
        <v>39.893999999999998</v>
      </c>
      <c r="M32">
        <v>34.9345</v>
      </c>
      <c r="N32">
        <v>28.067499999999999</v>
      </c>
      <c r="O32">
        <v>23.108000000000001</v>
      </c>
      <c r="P32" t="s">
        <v>325</v>
      </c>
      <c r="Q32" t="s">
        <v>333</v>
      </c>
      <c r="R32" t="s">
        <v>347</v>
      </c>
      <c r="S32">
        <v>35.553600000000003</v>
      </c>
      <c r="T32">
        <v>30.594100000000001</v>
      </c>
      <c r="U32" t="s">
        <v>346</v>
      </c>
      <c r="V32" t="s">
        <v>418</v>
      </c>
      <c r="W32">
        <v>90</v>
      </c>
      <c r="X32">
        <v>85.040499999999994</v>
      </c>
      <c r="Y32">
        <v>12</v>
      </c>
      <c r="AB32" s="77">
        <f t="shared" si="0"/>
        <v>34.9345</v>
      </c>
      <c r="AC32" s="77">
        <f t="shared" si="1"/>
        <v>23.108000000000001</v>
      </c>
      <c r="AD32" s="77">
        <f t="shared" si="2"/>
        <v>87.568306010928964</v>
      </c>
      <c r="AE32" s="77">
        <f t="shared" si="3"/>
        <v>82.330097087378647</v>
      </c>
      <c r="AF32" s="77">
        <f t="shared" si="4"/>
        <v>30.594100000000001</v>
      </c>
      <c r="AG32" s="77">
        <f t="shared" si="5"/>
        <v>86.050639035146929</v>
      </c>
      <c r="AH32" s="77">
        <f t="shared" si="6"/>
        <v>90</v>
      </c>
      <c r="AI32" s="77">
        <f t="shared" si="7"/>
        <v>4.9595000000000002</v>
      </c>
      <c r="AJ32" s="77">
        <f t="shared" si="8"/>
        <v>85.040499999999994</v>
      </c>
      <c r="AK32" s="77">
        <f t="shared" si="9"/>
        <v>0</v>
      </c>
      <c r="AL32" s="77">
        <f t="shared" si="10"/>
        <v>85.040499999999994</v>
      </c>
      <c r="AM32" s="77">
        <f t="shared" si="11"/>
        <v>94.48944444444443</v>
      </c>
      <c r="AN32" t="str">
        <f t="shared" si="15"/>
        <v/>
      </c>
      <c r="AO32" s="52" t="s">
        <v>395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377</v>
      </c>
      <c r="C33" t="s">
        <v>409</v>
      </c>
      <c r="D33" t="s">
        <v>319</v>
      </c>
      <c r="E33" t="s">
        <v>417</v>
      </c>
      <c r="F33" t="s">
        <v>321</v>
      </c>
      <c r="G33">
        <v>36.6</v>
      </c>
      <c r="H33">
        <v>25</v>
      </c>
      <c r="I33">
        <v>129</v>
      </c>
      <c r="J33">
        <v>7.0305</v>
      </c>
      <c r="K33" s="64">
        <v>45600</v>
      </c>
      <c r="L33">
        <v>38.29824</v>
      </c>
      <c r="M33">
        <v>31.26774</v>
      </c>
      <c r="N33">
        <v>26.072800000000001</v>
      </c>
      <c r="O33">
        <v>19.042300000000001</v>
      </c>
      <c r="P33" t="s">
        <v>325</v>
      </c>
      <c r="Q33" t="s">
        <v>333</v>
      </c>
      <c r="R33" t="s">
        <v>347</v>
      </c>
      <c r="S33">
        <v>35.553600000000003</v>
      </c>
      <c r="T33">
        <v>28.523099999999999</v>
      </c>
      <c r="U33" t="s">
        <v>346</v>
      </c>
      <c r="V33" t="s">
        <v>418</v>
      </c>
      <c r="W33">
        <v>90</v>
      </c>
      <c r="X33">
        <v>82.969499999999996</v>
      </c>
      <c r="Y33">
        <v>12</v>
      </c>
      <c r="AB33" s="77">
        <f t="shared" si="0"/>
        <v>31.26774</v>
      </c>
      <c r="AC33" s="77">
        <f t="shared" si="1"/>
        <v>19.042300000000001</v>
      </c>
      <c r="AD33" s="77">
        <f t="shared" si="2"/>
        <v>81.642759562841533</v>
      </c>
      <c r="AE33" s="77">
        <f t="shared" si="3"/>
        <v>73.03511705685618</v>
      </c>
      <c r="AF33" s="77">
        <f t="shared" si="4"/>
        <v>28.523099999999999</v>
      </c>
      <c r="AG33" s="77">
        <f t="shared" si="5"/>
        <v>80.225631159713785</v>
      </c>
      <c r="AH33" s="77">
        <f t="shared" si="6"/>
        <v>90</v>
      </c>
      <c r="AI33" s="77">
        <f t="shared" si="7"/>
        <v>7.0305</v>
      </c>
      <c r="AJ33" s="77">
        <f t="shared" si="8"/>
        <v>82.969499999999996</v>
      </c>
      <c r="AK33" s="77">
        <f t="shared" si="9"/>
        <v>0</v>
      </c>
      <c r="AL33" s="77">
        <f t="shared" si="10"/>
        <v>82.969499999999996</v>
      </c>
      <c r="AM33" s="77">
        <f t="shared" si="11"/>
        <v>92.188333333333333</v>
      </c>
      <c r="AN33" t="str">
        <f t="shared" si="15"/>
        <v/>
      </c>
      <c r="AO33" s="52" t="s">
        <v>395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344</v>
      </c>
      <c r="C34" t="s">
        <v>419</v>
      </c>
      <c r="D34" t="s">
        <v>392</v>
      </c>
      <c r="E34" t="s">
        <v>420</v>
      </c>
      <c r="F34" t="s">
        <v>384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322</v>
      </c>
      <c r="Q34" t="s">
        <v>333</v>
      </c>
      <c r="R34" t="s">
        <v>366</v>
      </c>
      <c r="S34">
        <v>15.1632</v>
      </c>
      <c r="T34">
        <v>4.5901999999999896</v>
      </c>
      <c r="U34" t="s">
        <v>322</v>
      </c>
      <c r="V34" t="s">
        <v>371</v>
      </c>
      <c r="W34">
        <v>15</v>
      </c>
      <c r="X34">
        <v>4.4269999999999996</v>
      </c>
      <c r="Y34">
        <v>0</v>
      </c>
      <c r="Z34" t="s">
        <v>8</v>
      </c>
      <c r="AB34" s="77">
        <f t="shared" si="0"/>
        <v>8.6110000000000007</v>
      </c>
      <c r="AC34" s="77">
        <f t="shared" si="1"/>
        <v>3.67875</v>
      </c>
      <c r="AD34" s="77">
        <f t="shared" si="2"/>
        <v>44.88636363636364</v>
      </c>
      <c r="AE34" s="77">
        <f t="shared" si="3"/>
        <v>25.81261950286807</v>
      </c>
      <c r="AF34" s="77">
        <f t="shared" si="4"/>
        <v>4.5901999999999896</v>
      </c>
      <c r="AG34" s="77">
        <f t="shared" si="5"/>
        <v>30.271974253455667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0</v>
      </c>
      <c r="AL34" s="77">
        <f t="shared" si="10"/>
        <v>4.4269999999999996</v>
      </c>
      <c r="AM34" s="77">
        <f t="shared" si="11"/>
        <v>29.513333333333332</v>
      </c>
      <c r="AN34" t="str">
        <f t="shared" si="15"/>
        <v>Capped</v>
      </c>
      <c r="AO34" t="s">
        <v>327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421</v>
      </c>
      <c r="C35" t="s">
        <v>422</v>
      </c>
      <c r="D35" t="s">
        <v>392</v>
      </c>
      <c r="E35" t="s">
        <v>423</v>
      </c>
      <c r="F35" t="s">
        <v>370</v>
      </c>
      <c r="G35">
        <v>23</v>
      </c>
      <c r="H35">
        <v>6</v>
      </c>
      <c r="I35">
        <v>35</v>
      </c>
      <c r="J35">
        <v>1.9075</v>
      </c>
      <c r="K35" s="64">
        <v>45568</v>
      </c>
      <c r="L35">
        <v>5.0140000000000002</v>
      </c>
      <c r="M35">
        <v>3.1065</v>
      </c>
      <c r="N35">
        <v>5.9950000000000001</v>
      </c>
      <c r="O35">
        <v>4.0875000000000004</v>
      </c>
      <c r="P35" t="s">
        <v>346</v>
      </c>
      <c r="Q35" t="s">
        <v>354</v>
      </c>
      <c r="R35" t="s">
        <v>355</v>
      </c>
      <c r="S35">
        <v>4.32</v>
      </c>
      <c r="T35">
        <v>2.4125000000000001</v>
      </c>
      <c r="U35" t="s">
        <v>424</v>
      </c>
      <c r="V35" t="s">
        <v>346</v>
      </c>
      <c r="W35">
        <v>3.75</v>
      </c>
      <c r="X35">
        <v>1.8425</v>
      </c>
      <c r="Y35">
        <v>0</v>
      </c>
      <c r="Z35" t="s">
        <v>425</v>
      </c>
      <c r="AB35" s="77">
        <f t="shared" si="0"/>
        <v>3.1065</v>
      </c>
      <c r="AC35" s="77">
        <f t="shared" si="1"/>
        <v>4.0875000000000004</v>
      </c>
      <c r="AD35" s="77">
        <f t="shared" si="2"/>
        <v>61.95652173913043</v>
      </c>
      <c r="AE35" s="77">
        <f t="shared" si="3"/>
        <v>68.181818181818187</v>
      </c>
      <c r="AF35" s="77">
        <f t="shared" si="4"/>
        <v>2.4125000000000001</v>
      </c>
      <c r="AG35" s="77">
        <f t="shared" si="5"/>
        <v>55.844907407407405</v>
      </c>
      <c r="AH35" s="77">
        <f t="shared" si="6"/>
        <v>3.75</v>
      </c>
      <c r="AI35" s="77">
        <f t="shared" si="7"/>
        <v>1.9075</v>
      </c>
      <c r="AJ35" s="77">
        <f t="shared" si="8"/>
        <v>1.8425</v>
      </c>
      <c r="AK35" s="77">
        <f t="shared" si="9"/>
        <v>0</v>
      </c>
      <c r="AL35" s="77">
        <f t="shared" si="10"/>
        <v>1.8425</v>
      </c>
      <c r="AM35" s="77">
        <f t="shared" si="11"/>
        <v>49.133333333333333</v>
      </c>
      <c r="AN35" t="str">
        <f t="shared" si="15"/>
        <v>Capped</v>
      </c>
      <c r="AO35" t="s">
        <v>327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421</v>
      </c>
      <c r="C36" t="s">
        <v>426</v>
      </c>
      <c r="D36" t="s">
        <v>319</v>
      </c>
      <c r="E36" t="s">
        <v>427</v>
      </c>
      <c r="F36" t="s">
        <v>321</v>
      </c>
      <c r="G36">
        <v>36.6</v>
      </c>
      <c r="H36">
        <v>9</v>
      </c>
      <c r="I36">
        <v>62</v>
      </c>
      <c r="J36">
        <v>3.379</v>
      </c>
      <c r="K36" s="64">
        <v>45600</v>
      </c>
      <c r="L36">
        <v>12.766080000000001</v>
      </c>
      <c r="M36">
        <v>9.3870799999999992</v>
      </c>
      <c r="N36">
        <v>9.4720999999999993</v>
      </c>
      <c r="O36">
        <v>6.0930999999999997</v>
      </c>
      <c r="P36" t="s">
        <v>325</v>
      </c>
      <c r="Q36" t="s">
        <v>333</v>
      </c>
      <c r="R36" t="s">
        <v>366</v>
      </c>
      <c r="S36">
        <v>10.1088</v>
      </c>
      <c r="T36">
        <v>6.7297999999999796</v>
      </c>
      <c r="U36" t="s">
        <v>322</v>
      </c>
      <c r="V36" t="s">
        <v>335</v>
      </c>
      <c r="W36">
        <v>22.5</v>
      </c>
      <c r="X36">
        <v>19.120999999999999</v>
      </c>
      <c r="Y36">
        <v>20</v>
      </c>
      <c r="AB36" s="77">
        <f t="shared" si="0"/>
        <v>9.3870799999999992</v>
      </c>
      <c r="AC36" s="77">
        <f t="shared" si="1"/>
        <v>6.0930999999999997</v>
      </c>
      <c r="AD36" s="77">
        <f t="shared" si="2"/>
        <v>73.531420765027306</v>
      </c>
      <c r="AE36" s="77">
        <f t="shared" si="3"/>
        <v>64.326812428078242</v>
      </c>
      <c r="AF36" s="77">
        <f t="shared" si="4"/>
        <v>6.7297999999999796</v>
      </c>
      <c r="AG36" s="77">
        <f t="shared" si="5"/>
        <v>66.573678379233726</v>
      </c>
      <c r="AH36" s="77">
        <f t="shared" si="6"/>
        <v>22.5</v>
      </c>
      <c r="AI36" s="77">
        <f t="shared" si="7"/>
        <v>3.379</v>
      </c>
      <c r="AJ36" s="77">
        <f t="shared" si="8"/>
        <v>19.120999999999999</v>
      </c>
      <c r="AK36" s="77">
        <f t="shared" si="9"/>
        <v>0</v>
      </c>
      <c r="AL36" s="77">
        <f t="shared" si="10"/>
        <v>19.120999999999999</v>
      </c>
      <c r="AM36" s="77">
        <f t="shared" si="11"/>
        <v>84.982222222222219</v>
      </c>
      <c r="AN36" t="str">
        <f t="shared" si="15"/>
        <v/>
      </c>
      <c r="AO36" t="s">
        <v>327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363</v>
      </c>
      <c r="C37" t="s">
        <v>428</v>
      </c>
      <c r="D37" t="s">
        <v>319</v>
      </c>
      <c r="E37" t="s">
        <v>429</v>
      </c>
      <c r="F37" t="s">
        <v>321</v>
      </c>
      <c r="G37">
        <v>36.6</v>
      </c>
      <c r="H37">
        <v>61</v>
      </c>
      <c r="I37">
        <v>1195</v>
      </c>
      <c r="J37">
        <v>65.127499999999998</v>
      </c>
      <c r="K37" s="64">
        <v>45600</v>
      </c>
      <c r="L37">
        <v>95.745599999999996</v>
      </c>
      <c r="M37">
        <v>30.618099999999998</v>
      </c>
      <c r="N37">
        <v>86.981999999999999</v>
      </c>
      <c r="O37">
        <v>21.854500000000002</v>
      </c>
      <c r="P37" t="s">
        <v>322</v>
      </c>
      <c r="Q37" t="s">
        <v>333</v>
      </c>
      <c r="R37" t="s">
        <v>347</v>
      </c>
      <c r="S37">
        <v>53.330399999999997</v>
      </c>
      <c r="T37">
        <v>-11.7971</v>
      </c>
      <c r="U37" t="s">
        <v>430</v>
      </c>
      <c r="V37" t="s">
        <v>431</v>
      </c>
      <c r="W37">
        <v>371.25</v>
      </c>
      <c r="X37">
        <v>306.1225</v>
      </c>
      <c r="Y37">
        <v>104</v>
      </c>
      <c r="AB37" s="77">
        <f t="shared" si="0"/>
        <v>30.618099999999998</v>
      </c>
      <c r="AC37" s="77">
        <f t="shared" si="1"/>
        <v>21.854500000000002</v>
      </c>
      <c r="AD37" s="77">
        <f t="shared" si="2"/>
        <v>31.978597449908925</v>
      </c>
      <c r="AE37" s="77">
        <f t="shared" si="3"/>
        <v>25.125313283208019</v>
      </c>
      <c r="AF37" s="77">
        <f t="shared" si="4"/>
        <v>-11.7971</v>
      </c>
      <c r="AG37" s="77">
        <f t="shared" si="5"/>
        <v>-22.120779142852857</v>
      </c>
      <c r="AH37" s="337">
        <f>AVERAGE(W37:W39)</f>
        <v>413.5</v>
      </c>
      <c r="AI37" s="337">
        <f>SUM(J37:J39)</f>
        <v>208.517</v>
      </c>
      <c r="AJ37" s="337">
        <f>AH37-AI37</f>
        <v>204.983</v>
      </c>
      <c r="AK37" s="337">
        <f>SUM(AA37:AA39)</f>
        <v>0</v>
      </c>
      <c r="AL37" s="337">
        <f>AJ37-AK37</f>
        <v>204.983</v>
      </c>
      <c r="AM37" s="338">
        <f>AL37/AH37%</f>
        <v>49.572672309552601</v>
      </c>
      <c r="AN37" t="str">
        <f t="shared" si="15"/>
        <v/>
      </c>
      <c r="AO37" t="s">
        <v>327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363</v>
      </c>
      <c r="C38" t="s">
        <v>428</v>
      </c>
      <c r="D38" t="s">
        <v>319</v>
      </c>
      <c r="E38" t="s">
        <v>429</v>
      </c>
      <c r="F38" t="s">
        <v>321</v>
      </c>
      <c r="G38">
        <v>36.6</v>
      </c>
      <c r="H38">
        <v>57</v>
      </c>
      <c r="I38">
        <v>1172</v>
      </c>
      <c r="J38">
        <v>63.874000000000002</v>
      </c>
      <c r="K38" s="64">
        <v>45600</v>
      </c>
      <c r="L38">
        <v>89.362560000000002</v>
      </c>
      <c r="M38">
        <v>25.48856</v>
      </c>
      <c r="N38">
        <v>46.303199999999997</v>
      </c>
      <c r="O38">
        <v>-17.570799999999998</v>
      </c>
      <c r="P38" t="s">
        <v>375</v>
      </c>
      <c r="Q38" t="s">
        <v>333</v>
      </c>
      <c r="R38" t="s">
        <v>347</v>
      </c>
      <c r="S38">
        <v>106.66079999999999</v>
      </c>
      <c r="T38">
        <v>42.786800000000099</v>
      </c>
      <c r="U38" t="s">
        <v>430</v>
      </c>
      <c r="V38" t="s">
        <v>431</v>
      </c>
      <c r="W38">
        <v>371.25</v>
      </c>
      <c r="X38">
        <v>307.37599999999998</v>
      </c>
      <c r="Y38">
        <v>104</v>
      </c>
      <c r="AB38" s="77">
        <f t="shared" si="0"/>
        <v>25.48856</v>
      </c>
      <c r="AC38" s="77">
        <f t="shared" si="1"/>
        <v>-17.570799999999998</v>
      </c>
      <c r="AD38" s="77">
        <f t="shared" si="2"/>
        <v>28.52263856362217</v>
      </c>
      <c r="AE38" s="77">
        <f t="shared" si="3"/>
        <v>-37.947269303201509</v>
      </c>
      <c r="AF38" s="77">
        <f t="shared" si="4"/>
        <v>42.786800000000099</v>
      </c>
      <c r="AG38" s="77">
        <f t="shared" si="5"/>
        <v>40.114831315722455</v>
      </c>
      <c r="AH38" s="337"/>
      <c r="AI38" s="337"/>
      <c r="AJ38" s="337"/>
      <c r="AK38" s="337"/>
      <c r="AL38" s="337"/>
      <c r="AM38" s="338"/>
      <c r="AN38" t="str">
        <f t="shared" si="15"/>
        <v/>
      </c>
      <c r="AO38" t="s">
        <v>395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363</v>
      </c>
      <c r="C39" t="s">
        <v>428</v>
      </c>
      <c r="D39" t="s">
        <v>319</v>
      </c>
      <c r="E39" t="s">
        <v>429</v>
      </c>
      <c r="F39" t="s">
        <v>384</v>
      </c>
      <c r="G39">
        <v>55</v>
      </c>
      <c r="H39">
        <v>102</v>
      </c>
      <c r="I39">
        <v>1459</v>
      </c>
      <c r="J39">
        <v>79.515500000000003</v>
      </c>
      <c r="K39" s="64">
        <v>45600</v>
      </c>
      <c r="L39">
        <v>242.19800000000001</v>
      </c>
      <c r="M39">
        <v>162.6825</v>
      </c>
      <c r="N39">
        <v>171.94749999999999</v>
      </c>
      <c r="O39">
        <v>92.432000000000002</v>
      </c>
      <c r="P39" t="s">
        <v>430</v>
      </c>
      <c r="Q39" t="s">
        <v>333</v>
      </c>
      <c r="R39" t="s">
        <v>347</v>
      </c>
      <c r="S39">
        <v>213.32159999999999</v>
      </c>
      <c r="T39">
        <v>133.80609999999999</v>
      </c>
      <c r="U39" t="s">
        <v>326</v>
      </c>
      <c r="V39" t="s">
        <v>432</v>
      </c>
      <c r="W39">
        <v>498</v>
      </c>
      <c r="X39">
        <v>418.48450000000003</v>
      </c>
      <c r="Y39">
        <v>23</v>
      </c>
      <c r="AB39" s="77">
        <f>M39-AA39</f>
        <v>162.6825</v>
      </c>
      <c r="AC39" s="77">
        <f>O39-AA39</f>
        <v>92.432000000000002</v>
      </c>
      <c r="AD39" s="77">
        <f>AB39/L39%</f>
        <v>67.169216921692168</v>
      </c>
      <c r="AE39" s="77">
        <f>AC39/N39%</f>
        <v>53.755942947702067</v>
      </c>
      <c r="AF39" s="77">
        <f>T39-AA39</f>
        <v>133.80609999999999</v>
      </c>
      <c r="AG39" s="77">
        <f>AF39/S39%</f>
        <v>62.72505925325892</v>
      </c>
      <c r="AH39" s="337"/>
      <c r="AI39" s="337"/>
      <c r="AJ39" s="337"/>
      <c r="AK39" s="337"/>
      <c r="AL39" s="337"/>
      <c r="AM39" s="338"/>
      <c r="AN39" t="str">
        <f t="shared" si="15"/>
        <v/>
      </c>
      <c r="AO39" t="s">
        <v>395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363</v>
      </c>
      <c r="C40" t="s">
        <v>428</v>
      </c>
      <c r="D40" t="s">
        <v>319</v>
      </c>
      <c r="E40" t="s">
        <v>429</v>
      </c>
      <c r="F40" t="s">
        <v>433</v>
      </c>
      <c r="G40">
        <v>55</v>
      </c>
      <c r="H40">
        <v>102</v>
      </c>
      <c r="I40">
        <v>1026</v>
      </c>
      <c r="J40">
        <v>55.917000000000002</v>
      </c>
      <c r="K40" s="64">
        <v>45600</v>
      </c>
      <c r="L40">
        <v>242.19800000000001</v>
      </c>
      <c r="M40">
        <v>186.28100000000001</v>
      </c>
      <c r="N40">
        <v>171.94749999999999</v>
      </c>
      <c r="O40">
        <v>116.0305</v>
      </c>
      <c r="P40" t="s">
        <v>430</v>
      </c>
      <c r="Q40" t="s">
        <v>333</v>
      </c>
      <c r="R40" t="s">
        <v>347</v>
      </c>
      <c r="S40">
        <v>213.32159999999999</v>
      </c>
      <c r="T40">
        <v>157.40459999999999</v>
      </c>
      <c r="U40" t="s">
        <v>430</v>
      </c>
      <c r="V40" t="s">
        <v>431</v>
      </c>
      <c r="W40">
        <v>371.25</v>
      </c>
      <c r="X40">
        <v>315.33300000000003</v>
      </c>
      <c r="Y40">
        <v>104</v>
      </c>
      <c r="AB40" s="77">
        <f>M40-AA40</f>
        <v>186.28100000000001</v>
      </c>
      <c r="AC40" s="77">
        <f>O40-AA40</f>
        <v>116.0305</v>
      </c>
      <c r="AD40" s="77">
        <f>AB40/L40%</f>
        <v>76.91269126912691</v>
      </c>
      <c r="AE40" s="77">
        <f>AC40/N40%</f>
        <v>67.480190174326466</v>
      </c>
      <c r="AF40" s="77">
        <f>T40-AA40</f>
        <v>157.40459999999999</v>
      </c>
      <c r="AG40" s="77">
        <f>AF40/S40%</f>
        <v>73.787464560550831</v>
      </c>
      <c r="AH40" s="77">
        <f>W40</f>
        <v>371.25</v>
      </c>
      <c r="AI40" s="77">
        <f t="shared" si="7"/>
        <v>55.917000000000002</v>
      </c>
      <c r="AJ40" s="77">
        <f t="shared" si="8"/>
        <v>315.33299999999997</v>
      </c>
      <c r="AK40" s="77">
        <f t="shared" si="9"/>
        <v>0</v>
      </c>
      <c r="AL40" s="77">
        <f t="shared" si="10"/>
        <v>315.33299999999997</v>
      </c>
      <c r="AM40" s="77">
        <f t="shared" si="11"/>
        <v>84.938181818181818</v>
      </c>
      <c r="AN40" t="str">
        <f t="shared" si="15"/>
        <v/>
      </c>
      <c r="AO40" t="s">
        <v>327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377</v>
      </c>
      <c r="C41" t="s">
        <v>409</v>
      </c>
      <c r="D41" t="s">
        <v>385</v>
      </c>
      <c r="E41" t="s">
        <v>434</v>
      </c>
      <c r="F41" t="s">
        <v>435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325</v>
      </c>
      <c r="Q41" t="s">
        <v>333</v>
      </c>
      <c r="R41" t="s">
        <v>405</v>
      </c>
      <c r="S41">
        <v>28.123200000000001</v>
      </c>
      <c r="T41">
        <v>21.855699999999999</v>
      </c>
      <c r="U41" t="s">
        <v>339</v>
      </c>
      <c r="V41" t="s">
        <v>436</v>
      </c>
      <c r="W41">
        <v>67.5</v>
      </c>
      <c r="X41">
        <v>61.232500000000002</v>
      </c>
      <c r="Y41">
        <v>30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37">
        <f>AVERAGE(W41:W42)</f>
        <v>67.5</v>
      </c>
      <c r="AI41" s="337">
        <f>SUM(J41:J42)</f>
        <v>19.5655</v>
      </c>
      <c r="AJ41" s="337">
        <f t="shared" si="8"/>
        <v>47.9345</v>
      </c>
      <c r="AK41" s="337">
        <f>SUM(AA41:AA42)</f>
        <v>0</v>
      </c>
      <c r="AL41" s="337">
        <f t="shared" si="10"/>
        <v>47.9345</v>
      </c>
      <c r="AM41" s="338">
        <f t="shared" si="11"/>
        <v>71.014074074074074</v>
      </c>
      <c r="AN41" t="str">
        <f t="shared" si="15"/>
        <v/>
      </c>
      <c r="AO41" t="s">
        <v>395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377</v>
      </c>
      <c r="C42" t="s">
        <v>409</v>
      </c>
      <c r="D42" t="s">
        <v>385</v>
      </c>
      <c r="E42" t="s">
        <v>434</v>
      </c>
      <c r="F42" t="s">
        <v>435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325</v>
      </c>
      <c r="Q42" t="s">
        <v>333</v>
      </c>
      <c r="R42" t="s">
        <v>405</v>
      </c>
      <c r="S42">
        <v>28.123200000000001</v>
      </c>
      <c r="T42">
        <v>14.825200000000001</v>
      </c>
      <c r="U42" t="s">
        <v>339</v>
      </c>
      <c r="V42" t="s">
        <v>436</v>
      </c>
      <c r="W42">
        <v>67.5</v>
      </c>
      <c r="X42">
        <v>54.201999999999998</v>
      </c>
      <c r="Y42">
        <v>30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37"/>
      <c r="AI42" s="337"/>
      <c r="AJ42" s="337"/>
      <c r="AK42" s="337"/>
      <c r="AL42" s="337"/>
      <c r="AM42" s="338"/>
      <c r="AN42" t="str">
        <f t="shared" si="15"/>
        <v/>
      </c>
      <c r="AO42" t="s">
        <v>395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437</v>
      </c>
      <c r="C43" t="s">
        <v>438</v>
      </c>
      <c r="D43" t="s">
        <v>392</v>
      </c>
      <c r="E43" t="s">
        <v>439</v>
      </c>
      <c r="F43" t="s">
        <v>440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325</v>
      </c>
      <c r="Q43" t="s">
        <v>323</v>
      </c>
      <c r="R43" t="s">
        <v>441</v>
      </c>
      <c r="S43">
        <v>2.9159999999999999</v>
      </c>
      <c r="T43">
        <v>-2.8065000000000002</v>
      </c>
      <c r="U43" t="s">
        <v>325</v>
      </c>
      <c r="V43" t="s">
        <v>442</v>
      </c>
      <c r="W43">
        <v>11.25</v>
      </c>
      <c r="X43">
        <v>5.5274999999999999</v>
      </c>
      <c r="Y43">
        <v>2</v>
      </c>
      <c r="Z43" t="s">
        <v>8</v>
      </c>
      <c r="AB43" s="77">
        <f t="shared" si="0"/>
        <v>2.76206</v>
      </c>
      <c r="AC43" s="77">
        <f t="shared" si="1"/>
        <v>3.4705598910000002</v>
      </c>
      <c r="AD43" s="77">
        <f t="shared" si="2"/>
        <v>32.553956834532372</v>
      </c>
      <c r="AE43" s="77">
        <f t="shared" si="3"/>
        <v>37.751955629024849</v>
      </c>
      <c r="AF43" s="77">
        <f t="shared" si="4"/>
        <v>-2.8065000000000002</v>
      </c>
      <c r="AG43" s="77">
        <f t="shared" si="5"/>
        <v>-96.244855967078209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</v>
      </c>
      <c r="AL43" s="77">
        <f t="shared" si="10"/>
        <v>5.5274999999999999</v>
      </c>
      <c r="AM43" s="77">
        <f t="shared" si="11"/>
        <v>49.133333333333333</v>
      </c>
      <c r="AN43" t="str">
        <f t="shared" si="15"/>
        <v>Capped</v>
      </c>
      <c r="AO43" t="s">
        <v>327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421</v>
      </c>
      <c r="C44" t="s">
        <v>443</v>
      </c>
      <c r="D44" t="s">
        <v>319</v>
      </c>
      <c r="E44" t="s">
        <v>444</v>
      </c>
      <c r="F44" t="s">
        <v>321</v>
      </c>
      <c r="G44">
        <v>36.6</v>
      </c>
      <c r="H44">
        <v>6</v>
      </c>
      <c r="I44">
        <v>48</v>
      </c>
      <c r="J44">
        <v>2.6160000000000001</v>
      </c>
      <c r="K44" s="64">
        <v>45600</v>
      </c>
      <c r="L44">
        <v>7.9787999999999997</v>
      </c>
      <c r="M44">
        <v>5.3628</v>
      </c>
      <c r="N44">
        <v>6.1585000000000001</v>
      </c>
      <c r="O44">
        <v>3.5425</v>
      </c>
      <c r="P44" t="s">
        <v>380</v>
      </c>
      <c r="Q44" t="s">
        <v>333</v>
      </c>
      <c r="R44" t="s">
        <v>445</v>
      </c>
      <c r="S44">
        <v>6.2747999999999804</v>
      </c>
      <c r="T44">
        <v>3.6587999999999798</v>
      </c>
      <c r="U44" t="s">
        <v>322</v>
      </c>
      <c r="V44" t="s">
        <v>446</v>
      </c>
      <c r="W44">
        <v>6</v>
      </c>
      <c r="X44">
        <v>3.3839999999999999</v>
      </c>
      <c r="Y44">
        <v>6</v>
      </c>
      <c r="AB44" s="77">
        <f t="shared" si="0"/>
        <v>5.3628</v>
      </c>
      <c r="AC44" s="77">
        <f t="shared" si="1"/>
        <v>3.5425</v>
      </c>
      <c r="AD44" s="77">
        <f t="shared" si="2"/>
        <v>67.213114754098356</v>
      </c>
      <c r="AE44" s="77">
        <f t="shared" si="3"/>
        <v>57.522123893805308</v>
      </c>
      <c r="AF44" s="77">
        <f t="shared" si="4"/>
        <v>3.6587999999999798</v>
      </c>
      <c r="AG44" s="77">
        <f t="shared" si="5"/>
        <v>58.309428188946121</v>
      </c>
      <c r="AH44" s="77">
        <f t="shared" si="6"/>
        <v>6</v>
      </c>
      <c r="AI44" s="77">
        <f t="shared" si="7"/>
        <v>2.6160000000000001</v>
      </c>
      <c r="AJ44" s="77">
        <f t="shared" si="8"/>
        <v>3.3839999999999999</v>
      </c>
      <c r="AK44" s="77">
        <f t="shared" si="9"/>
        <v>0</v>
      </c>
      <c r="AL44" s="77">
        <f t="shared" si="10"/>
        <v>3.3839999999999999</v>
      </c>
      <c r="AM44" s="77">
        <f t="shared" si="11"/>
        <v>56.4</v>
      </c>
      <c r="AN44" t="str">
        <f t="shared" si="15"/>
        <v/>
      </c>
      <c r="AO44" t="s">
        <v>327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328</v>
      </c>
      <c r="C45" t="s">
        <v>447</v>
      </c>
      <c r="D45" t="s">
        <v>319</v>
      </c>
      <c r="E45" t="s">
        <v>448</v>
      </c>
      <c r="F45" t="s">
        <v>449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325</v>
      </c>
      <c r="Q45" t="s">
        <v>354</v>
      </c>
      <c r="R45" t="s">
        <v>450</v>
      </c>
      <c r="S45">
        <v>1.9526399999999999</v>
      </c>
      <c r="T45">
        <v>1.8436399999999999</v>
      </c>
      <c r="U45" t="s">
        <v>325</v>
      </c>
      <c r="V45" t="s">
        <v>356</v>
      </c>
      <c r="W45">
        <v>5.0250000000000004</v>
      </c>
      <c r="X45">
        <v>4.9160000000000004</v>
      </c>
      <c r="Y45">
        <v>9</v>
      </c>
      <c r="AB45" s="77">
        <f t="shared" si="0"/>
        <v>2.5070000000000001</v>
      </c>
      <c r="AC45" s="77">
        <f t="shared" si="1"/>
        <v>2.2890000000000001</v>
      </c>
      <c r="AD45" s="77">
        <f t="shared" si="2"/>
        <v>95.833333333333329</v>
      </c>
      <c r="AE45" s="77">
        <f t="shared" si="3"/>
        <v>95.454545454545453</v>
      </c>
      <c r="AF45" s="77">
        <f t="shared" si="4"/>
        <v>1.8436399999999999</v>
      </c>
      <c r="AG45" s="77">
        <f t="shared" si="5"/>
        <v>94.417813831530651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</v>
      </c>
      <c r="AL45" s="77">
        <f t="shared" si="10"/>
        <v>4.9160000000000004</v>
      </c>
      <c r="AM45" s="77">
        <f t="shared" si="11"/>
        <v>97.830845771144283</v>
      </c>
      <c r="AN45" t="str">
        <f t="shared" si="15"/>
        <v/>
      </c>
      <c r="AO45" t="s">
        <v>327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350</v>
      </c>
      <c r="C46" t="s">
        <v>451</v>
      </c>
      <c r="D46" t="s">
        <v>319</v>
      </c>
      <c r="E46" t="s">
        <v>452</v>
      </c>
      <c r="F46" t="s">
        <v>321</v>
      </c>
      <c r="G46">
        <v>36.6</v>
      </c>
      <c r="H46">
        <v>2</v>
      </c>
      <c r="I46">
        <v>14</v>
      </c>
      <c r="J46">
        <v>0.76300000000000001</v>
      </c>
      <c r="K46" s="64">
        <v>45600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322</v>
      </c>
      <c r="Q46" t="s">
        <v>354</v>
      </c>
      <c r="R46" t="s">
        <v>361</v>
      </c>
      <c r="S46">
        <v>4.2119999999999997</v>
      </c>
      <c r="T46">
        <v>3.4489999999999998</v>
      </c>
      <c r="U46" t="s">
        <v>424</v>
      </c>
      <c r="V46" t="s">
        <v>346</v>
      </c>
      <c r="W46">
        <v>3.75</v>
      </c>
      <c r="X46">
        <v>2.9870000000000001</v>
      </c>
      <c r="Y46">
        <v>1</v>
      </c>
      <c r="AB46" s="77">
        <f t="shared" si="0"/>
        <v>0.83275999999999994</v>
      </c>
      <c r="AC46" s="77">
        <f t="shared" si="1"/>
        <v>-0.87745016350000005</v>
      </c>
      <c r="AD46" s="77">
        <f t="shared" si="2"/>
        <v>52.185792349726768</v>
      </c>
      <c r="AE46" s="77">
        <f t="shared" si="3"/>
        <v>766.66571428707493</v>
      </c>
      <c r="AF46" s="77">
        <f t="shared" si="4"/>
        <v>3.4489999999999998</v>
      </c>
      <c r="AG46" s="77">
        <f t="shared" si="5"/>
        <v>81.885090218423557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</v>
      </c>
      <c r="AL46" s="77">
        <f t="shared" si="10"/>
        <v>2.9870000000000001</v>
      </c>
      <c r="AM46" s="77">
        <f t="shared" si="11"/>
        <v>79.653333333333336</v>
      </c>
      <c r="AN46" t="str">
        <f t="shared" si="15"/>
        <v/>
      </c>
      <c r="AO46" t="s">
        <v>327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t="s">
        <v>363</v>
      </c>
      <c r="C47" t="s">
        <v>453</v>
      </c>
      <c r="D47" t="s">
        <v>319</v>
      </c>
      <c r="E47" t="s">
        <v>454</v>
      </c>
      <c r="F47" t="s">
        <v>321</v>
      </c>
      <c r="G47">
        <v>36.6</v>
      </c>
      <c r="H47">
        <v>24</v>
      </c>
      <c r="I47">
        <v>287</v>
      </c>
      <c r="J47">
        <v>15.641500000000001</v>
      </c>
      <c r="K47" s="64">
        <v>45091</v>
      </c>
      <c r="L47">
        <v>36.702480000000001</v>
      </c>
      <c r="M47">
        <v>21.060980000000001</v>
      </c>
      <c r="N47">
        <v>28.438099999999999</v>
      </c>
      <c r="O47">
        <v>12.7966</v>
      </c>
      <c r="P47" t="s">
        <v>325</v>
      </c>
      <c r="Q47" t="s">
        <v>333</v>
      </c>
      <c r="R47" t="s">
        <v>405</v>
      </c>
      <c r="S47">
        <v>28.123200000000001</v>
      </c>
      <c r="T47">
        <v>12.4817</v>
      </c>
      <c r="U47" t="s">
        <v>322</v>
      </c>
      <c r="V47" t="s">
        <v>455</v>
      </c>
      <c r="W47">
        <v>33</v>
      </c>
      <c r="X47">
        <v>17.358499999999999</v>
      </c>
      <c r="Y47">
        <v>57</v>
      </c>
      <c r="AB47" s="77">
        <f t="shared" si="0"/>
        <v>21.060980000000001</v>
      </c>
      <c r="AC47" s="77">
        <f t="shared" si="1"/>
        <v>12.7966</v>
      </c>
      <c r="AD47" s="77">
        <f t="shared" si="2"/>
        <v>57.382988833452124</v>
      </c>
      <c r="AE47" s="77">
        <f t="shared" si="3"/>
        <v>44.99808355691836</v>
      </c>
      <c r="AF47" s="77">
        <f t="shared" si="4"/>
        <v>12.4817</v>
      </c>
      <c r="AG47" s="77">
        <f t="shared" si="5"/>
        <v>44.382218239745121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0</v>
      </c>
      <c r="AL47" s="77">
        <f t="shared" si="10"/>
        <v>17.358499999999999</v>
      </c>
      <c r="AM47" s="77">
        <f t="shared" si="11"/>
        <v>52.601515151515144</v>
      </c>
      <c r="AN47" t="str">
        <f t="shared" si="15"/>
        <v/>
      </c>
      <c r="AO47" t="s">
        <v>327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377</v>
      </c>
      <c r="C48" t="s">
        <v>409</v>
      </c>
      <c r="D48" t="s">
        <v>319</v>
      </c>
      <c r="E48" t="s">
        <v>456</v>
      </c>
      <c r="F48" t="s">
        <v>433</v>
      </c>
      <c r="G48">
        <v>55</v>
      </c>
      <c r="H48">
        <v>75</v>
      </c>
      <c r="I48">
        <v>945</v>
      </c>
      <c r="J48">
        <v>51.502499999999998</v>
      </c>
      <c r="K48" s="64">
        <v>45575</v>
      </c>
      <c r="L48">
        <v>177.452</v>
      </c>
      <c r="M48">
        <v>125.9495</v>
      </c>
      <c r="N48">
        <v>123.715</v>
      </c>
      <c r="O48">
        <v>72.212500000000006</v>
      </c>
      <c r="P48" t="s">
        <v>360</v>
      </c>
      <c r="Q48" t="s">
        <v>333</v>
      </c>
      <c r="R48" t="s">
        <v>347</v>
      </c>
      <c r="S48">
        <v>159.99119999999999</v>
      </c>
      <c r="T48">
        <v>108.48869999999999</v>
      </c>
      <c r="U48" t="s">
        <v>339</v>
      </c>
      <c r="V48" t="s">
        <v>457</v>
      </c>
      <c r="W48">
        <v>101.25</v>
      </c>
      <c r="X48">
        <v>49.747500000000002</v>
      </c>
      <c r="Y48">
        <v>31</v>
      </c>
      <c r="AB48" s="77">
        <f t="shared" si="0"/>
        <v>125.9495</v>
      </c>
      <c r="AC48" s="77">
        <f t="shared" si="1"/>
        <v>72.212500000000006</v>
      </c>
      <c r="AD48" s="77">
        <f t="shared" si="2"/>
        <v>70.976658476658486</v>
      </c>
      <c r="AE48" s="77">
        <f t="shared" si="3"/>
        <v>58.370044052863442</v>
      </c>
      <c r="AF48" s="77">
        <f t="shared" si="4"/>
        <v>108.48869999999999</v>
      </c>
      <c r="AG48" s="77">
        <f t="shared" si="5"/>
        <v>67.809167004185227</v>
      </c>
      <c r="AH48" s="338">
        <f>AVERAGE(W48:W49)</f>
        <v>101.25</v>
      </c>
      <c r="AI48" s="338">
        <f>SUM(J48:J49)</f>
        <v>102.8415</v>
      </c>
      <c r="AJ48" s="338">
        <f t="shared" si="8"/>
        <v>-1.5914999999999964</v>
      </c>
      <c r="AK48" s="338">
        <f>SUM(AA48:AA49)</f>
        <v>0</v>
      </c>
      <c r="AL48" s="338">
        <f t="shared" si="10"/>
        <v>-1.5914999999999964</v>
      </c>
      <c r="AM48" s="338">
        <f t="shared" si="11"/>
        <v>-1.5718518518518483</v>
      </c>
      <c r="AN48" t="str">
        <f t="shared" si="15"/>
        <v/>
      </c>
      <c r="AO48" t="s">
        <v>395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377</v>
      </c>
      <c r="C49" t="s">
        <v>409</v>
      </c>
      <c r="D49" t="s">
        <v>319</v>
      </c>
      <c r="E49" t="s">
        <v>456</v>
      </c>
      <c r="F49" t="s">
        <v>433</v>
      </c>
      <c r="G49">
        <v>55</v>
      </c>
      <c r="H49">
        <v>75</v>
      </c>
      <c r="I49">
        <v>942</v>
      </c>
      <c r="J49">
        <v>51.338999999999999</v>
      </c>
      <c r="K49" s="64">
        <v>45575</v>
      </c>
      <c r="L49">
        <v>177.452</v>
      </c>
      <c r="M49">
        <v>126.113</v>
      </c>
      <c r="N49">
        <v>123.715</v>
      </c>
      <c r="O49">
        <v>72.376000000000005</v>
      </c>
      <c r="P49" t="s">
        <v>360</v>
      </c>
      <c r="Q49" t="s">
        <v>333</v>
      </c>
      <c r="R49" t="s">
        <v>347</v>
      </c>
      <c r="S49">
        <v>159.99119999999999</v>
      </c>
      <c r="T49">
        <v>108.65219999999999</v>
      </c>
      <c r="U49" t="s">
        <v>339</v>
      </c>
      <c r="V49" t="s">
        <v>457</v>
      </c>
      <c r="W49">
        <v>101.25</v>
      </c>
      <c r="X49">
        <v>49.911000000000001</v>
      </c>
      <c r="Y49">
        <v>31</v>
      </c>
      <c r="AB49" s="77">
        <f t="shared" si="0"/>
        <v>126.113</v>
      </c>
      <c r="AC49" s="77">
        <f t="shared" si="1"/>
        <v>72.376000000000005</v>
      </c>
      <c r="AD49" s="77">
        <f t="shared" si="2"/>
        <v>71.068796068796075</v>
      </c>
      <c r="AE49" s="77">
        <f t="shared" si="3"/>
        <v>58.502202643171813</v>
      </c>
      <c r="AF49" s="77">
        <f t="shared" si="4"/>
        <v>108.65219999999999</v>
      </c>
      <c r="AG49" s="77">
        <f t="shared" si="5"/>
        <v>67.911360124806862</v>
      </c>
      <c r="AH49" s="338"/>
      <c r="AI49" s="338"/>
      <c r="AJ49" s="338"/>
      <c r="AK49" s="338"/>
      <c r="AL49" s="338"/>
      <c r="AM49" s="338"/>
      <c r="AN49" t="str">
        <f t="shared" si="15"/>
        <v/>
      </c>
      <c r="AO49" t="s">
        <v>395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377</v>
      </c>
      <c r="C50" t="s">
        <v>409</v>
      </c>
      <c r="D50" t="s">
        <v>319</v>
      </c>
      <c r="E50" t="s">
        <v>458</v>
      </c>
      <c r="F50" t="s">
        <v>384</v>
      </c>
      <c r="G50">
        <v>55</v>
      </c>
      <c r="H50">
        <v>88</v>
      </c>
      <c r="I50">
        <v>1271</v>
      </c>
      <c r="J50">
        <v>69.269499999999994</v>
      </c>
      <c r="K50" s="64">
        <v>45600</v>
      </c>
      <c r="L50">
        <v>208.626</v>
      </c>
      <c r="M50">
        <v>139.35650000000001</v>
      </c>
      <c r="N50">
        <v>198.6525</v>
      </c>
      <c r="O50">
        <v>129.38300000000001</v>
      </c>
      <c r="P50" t="s">
        <v>375</v>
      </c>
      <c r="Q50" t="s">
        <v>333</v>
      </c>
      <c r="R50" t="s">
        <v>414</v>
      </c>
      <c r="S50">
        <v>96.137280000000203</v>
      </c>
      <c r="T50">
        <v>26.867780000000199</v>
      </c>
      <c r="U50" t="s">
        <v>362</v>
      </c>
      <c r="V50" t="s">
        <v>459</v>
      </c>
      <c r="W50">
        <v>405</v>
      </c>
      <c r="X50">
        <v>335.73050000000001</v>
      </c>
      <c r="Y50">
        <v>130</v>
      </c>
      <c r="AB50" s="77">
        <f t="shared" si="0"/>
        <v>139.35650000000001</v>
      </c>
      <c r="AC50" s="77">
        <f t="shared" si="1"/>
        <v>129.38300000000001</v>
      </c>
      <c r="AD50" s="77">
        <f t="shared" si="2"/>
        <v>66.797283176593524</v>
      </c>
      <c r="AE50" s="77">
        <f t="shared" si="3"/>
        <v>65.130315500685867</v>
      </c>
      <c r="AF50" s="77">
        <f t="shared" si="4"/>
        <v>26.867780000000199</v>
      </c>
      <c r="AG50" s="77">
        <f t="shared" si="5"/>
        <v>27.947306185488234</v>
      </c>
      <c r="AH50" s="338">
        <f>AVERAGE(W50:W51)</f>
        <v>405</v>
      </c>
      <c r="AI50" s="338">
        <f>SUM(J50:J51)</f>
        <v>140.99149999999997</v>
      </c>
      <c r="AJ50" s="338">
        <f t="shared" si="8"/>
        <v>264.00850000000003</v>
      </c>
      <c r="AK50" s="338">
        <f>SUM(AA50:AA51)</f>
        <v>0</v>
      </c>
      <c r="AL50" s="338">
        <f t="shared" si="10"/>
        <v>264.00850000000003</v>
      </c>
      <c r="AM50" s="338">
        <f t="shared" si="11"/>
        <v>65.187283950617299</v>
      </c>
      <c r="AN50" t="str">
        <f t="shared" si="15"/>
        <v/>
      </c>
      <c r="AO50" t="s">
        <v>395</v>
      </c>
      <c r="AP50" t="str">
        <f t="shared" si="13"/>
        <v>2CP2000</v>
      </c>
      <c r="AQ50">
        <f>_xlfn.XLOOKUP(A50,'SYS Allocations'!A:A,'SYS Allocations'!B:B)</f>
        <v>0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2CP2000</v>
      </c>
    </row>
    <row r="51" spans="1:53">
      <c r="A51" s="35" t="s">
        <v>67</v>
      </c>
      <c r="B51" t="s">
        <v>377</v>
      </c>
      <c r="C51" t="s">
        <v>409</v>
      </c>
      <c r="D51" t="s">
        <v>319</v>
      </c>
      <c r="E51" t="s">
        <v>458</v>
      </c>
      <c r="F51" t="s">
        <v>384</v>
      </c>
      <c r="G51">
        <v>55</v>
      </c>
      <c r="H51">
        <v>88</v>
      </c>
      <c r="I51">
        <v>1316</v>
      </c>
      <c r="J51">
        <v>71.721999999999994</v>
      </c>
      <c r="K51" s="64">
        <v>45600</v>
      </c>
      <c r="L51">
        <v>208.626</v>
      </c>
      <c r="M51">
        <v>136.904</v>
      </c>
      <c r="N51">
        <v>198.6525</v>
      </c>
      <c r="O51">
        <v>126.93049999999999</v>
      </c>
      <c r="P51" t="s">
        <v>375</v>
      </c>
      <c r="Q51" t="s">
        <v>333</v>
      </c>
      <c r="R51" t="s">
        <v>414</v>
      </c>
      <c r="S51">
        <v>96.137280000000203</v>
      </c>
      <c r="T51">
        <v>24.415280000000202</v>
      </c>
      <c r="U51" t="s">
        <v>362</v>
      </c>
      <c r="V51" t="s">
        <v>459</v>
      </c>
      <c r="W51">
        <v>405</v>
      </c>
      <c r="X51">
        <v>333.27800000000002</v>
      </c>
      <c r="Y51">
        <v>130</v>
      </c>
      <c r="AB51" s="77">
        <f t="shared" ref="AB51" si="53">M51-AA51</f>
        <v>136.904</v>
      </c>
      <c r="AC51" s="77">
        <f t="shared" ref="AC51" si="54">O51-AA51</f>
        <v>126.93049999999999</v>
      </c>
      <c r="AD51" s="77">
        <f t="shared" ref="AD51" si="55">AB51/L51%</f>
        <v>65.621734587251822</v>
      </c>
      <c r="AE51" s="77">
        <f t="shared" ref="AE51" si="56">AC51/N51%</f>
        <v>63.895747599451298</v>
      </c>
      <c r="AF51" s="77">
        <f t="shared" ref="AF51" si="57">T51-AA51</f>
        <v>24.415280000000202</v>
      </c>
      <c r="AG51" s="77">
        <f t="shared" ref="AG51" si="58">AF51/S51%</f>
        <v>25.396266671992542</v>
      </c>
      <c r="AH51" s="338"/>
      <c r="AI51" s="338"/>
      <c r="AJ51" s="338"/>
      <c r="AK51" s="338"/>
      <c r="AL51" s="338"/>
      <c r="AM51" s="338"/>
      <c r="AN51" t="str">
        <f t="shared" si="15"/>
        <v/>
      </c>
      <c r="AO51" t="s">
        <v>395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t="s">
        <v>344</v>
      </c>
      <c r="C52" t="s">
        <v>460</v>
      </c>
      <c r="D52" t="s">
        <v>392</v>
      </c>
      <c r="E52" t="s">
        <v>461</v>
      </c>
      <c r="F52" t="s">
        <v>321</v>
      </c>
      <c r="G52">
        <v>36.6</v>
      </c>
      <c r="H52">
        <v>63</v>
      </c>
      <c r="I52">
        <v>1194</v>
      </c>
      <c r="J52">
        <v>65.072999999999993</v>
      </c>
      <c r="K52" s="64">
        <v>45600</v>
      </c>
      <c r="L52">
        <v>98.937119999999993</v>
      </c>
      <c r="M52">
        <v>33.86412</v>
      </c>
      <c r="N52">
        <v>80.071399999999997</v>
      </c>
      <c r="O52">
        <v>14.9984</v>
      </c>
      <c r="P52" t="s">
        <v>346</v>
      </c>
      <c r="Q52" t="s">
        <v>333</v>
      </c>
      <c r="R52" t="s">
        <v>405</v>
      </c>
      <c r="S52">
        <v>70.308000000000007</v>
      </c>
      <c r="T52">
        <v>5.2350000000000296</v>
      </c>
      <c r="U52" t="s">
        <v>346</v>
      </c>
      <c r="V52" t="s">
        <v>462</v>
      </c>
      <c r="W52">
        <v>139.5</v>
      </c>
      <c r="X52">
        <v>74.427000000000007</v>
      </c>
      <c r="Y52">
        <v>18</v>
      </c>
      <c r="Z52" t="s">
        <v>275</v>
      </c>
      <c r="AB52" s="77">
        <f t="shared" si="0"/>
        <v>33.86412</v>
      </c>
      <c r="AC52" s="77">
        <f t="shared" si="1"/>
        <v>14.9984</v>
      </c>
      <c r="AD52" s="77">
        <f t="shared" si="2"/>
        <v>34.227921734531996</v>
      </c>
      <c r="AE52" s="77">
        <f t="shared" si="3"/>
        <v>18.731282330520013</v>
      </c>
      <c r="AF52" s="77">
        <f t="shared" si="4"/>
        <v>5.2350000000000296</v>
      </c>
      <c r="AG52" s="77">
        <f t="shared" si="5"/>
        <v>7.4458098651647457</v>
      </c>
      <c r="AH52" s="77">
        <f t="shared" si="6"/>
        <v>139.5</v>
      </c>
      <c r="AI52" s="77">
        <f t="shared" si="7"/>
        <v>65.072999999999993</v>
      </c>
      <c r="AJ52" s="77">
        <f t="shared" si="8"/>
        <v>74.427000000000007</v>
      </c>
      <c r="AK52" s="77">
        <f t="shared" si="9"/>
        <v>0</v>
      </c>
      <c r="AL52" s="77">
        <f t="shared" si="10"/>
        <v>74.427000000000007</v>
      </c>
      <c r="AM52" s="77">
        <f t="shared" si="11"/>
        <v>53.352688172043017</v>
      </c>
      <c r="AN52" t="str">
        <f>IF(ISBLANK(Z52),"","Capped")</f>
        <v>Capped</v>
      </c>
      <c r="AO52" t="s">
        <v>327</v>
      </c>
      <c r="AP52" t="str">
        <f t="shared" si="13"/>
        <v>DDm100-33</v>
      </c>
      <c r="AQ52" t="str">
        <f>_xlfn.XLOOKUP(A52,'SYS Allocations'!A:A,'SYS Allocations'!B:B)</f>
        <v>P-Core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4"/>
        <v>DDm100-33</v>
      </c>
    </row>
    <row r="53" spans="1:53">
      <c r="A53" s="35" t="s">
        <v>69</v>
      </c>
      <c r="B53" t="s">
        <v>344</v>
      </c>
      <c r="C53" t="s">
        <v>460</v>
      </c>
      <c r="D53" t="s">
        <v>392</v>
      </c>
      <c r="E53" t="s">
        <v>461</v>
      </c>
      <c r="F53" t="s">
        <v>321</v>
      </c>
      <c r="G53">
        <v>36.6</v>
      </c>
      <c r="H53">
        <v>69</v>
      </c>
      <c r="I53">
        <v>631</v>
      </c>
      <c r="J53">
        <v>34.389499999999998</v>
      </c>
      <c r="K53" s="64">
        <v>45600</v>
      </c>
      <c r="L53">
        <v>108.51168</v>
      </c>
      <c r="M53">
        <v>74.12218</v>
      </c>
      <c r="N53">
        <v>81.139600000000002</v>
      </c>
      <c r="O53">
        <v>46.750100000000003</v>
      </c>
      <c r="P53" t="s">
        <v>346</v>
      </c>
      <c r="Q53" t="s">
        <v>333</v>
      </c>
      <c r="R53" t="s">
        <v>347</v>
      </c>
      <c r="S53">
        <v>88.884000000000199</v>
      </c>
      <c r="T53">
        <v>54.494500000000201</v>
      </c>
      <c r="U53" t="s">
        <v>346</v>
      </c>
      <c r="V53" t="s">
        <v>462</v>
      </c>
      <c r="W53">
        <v>139.5</v>
      </c>
      <c r="X53">
        <v>105.1105</v>
      </c>
      <c r="Y53">
        <v>18</v>
      </c>
      <c r="Z53" t="s">
        <v>275</v>
      </c>
      <c r="AB53" s="77">
        <f t="shared" si="0"/>
        <v>74.12218</v>
      </c>
      <c r="AC53" s="77">
        <f t="shared" si="1"/>
        <v>46.750100000000003</v>
      </c>
      <c r="AD53" s="77">
        <f t="shared" si="2"/>
        <v>68.308019929283191</v>
      </c>
      <c r="AE53" s="77">
        <f t="shared" si="3"/>
        <v>57.616872649113382</v>
      </c>
      <c r="AF53" s="77">
        <f t="shared" si="4"/>
        <v>54.494500000000201</v>
      </c>
      <c r="AG53" s="77">
        <f t="shared" si="5"/>
        <v>61.309684532649385</v>
      </c>
      <c r="AH53" s="77">
        <f t="shared" si="6"/>
        <v>139.5</v>
      </c>
      <c r="AI53" s="77">
        <f t="shared" si="7"/>
        <v>34.389499999999998</v>
      </c>
      <c r="AJ53" s="77">
        <f t="shared" si="8"/>
        <v>105.1105</v>
      </c>
      <c r="AK53" s="77">
        <f t="shared" si="9"/>
        <v>0</v>
      </c>
      <c r="AL53" s="77">
        <f t="shared" si="10"/>
        <v>105.1105</v>
      </c>
      <c r="AM53" s="77">
        <f t="shared" si="11"/>
        <v>75.348028673835131</v>
      </c>
      <c r="AN53" t="str">
        <f>IF(ISBLANK(Z53),"","Capped")</f>
        <v>Capped</v>
      </c>
      <c r="AO53" t="s">
        <v>327</v>
      </c>
      <c r="AP53" t="str">
        <f t="shared" si="13"/>
        <v>DDm125-33</v>
      </c>
      <c r="AQ53">
        <f>_xlfn.XLOOKUP(A53,'SYS Allocations'!A:A,'SYS Allocations'!B:B)</f>
        <v>0</v>
      </c>
      <c r="AR53" t="str">
        <f>_xlfn.XLOOKUP(A53,'SYS Allocations'!A:A,'SYS Allocations'!C:C)</f>
        <v>RA</v>
      </c>
      <c r="AS53" t="str">
        <f>_xlfn.XLOOKUP(A53,'SYS Allocations'!A:A,'SYS Allocations'!D:D)</f>
        <v>PX</v>
      </c>
      <c r="AT53">
        <f>_xlfn.XLOOKUP(A53,'SYS Allocations'!A:A,'SYS Allocations'!E:E)</f>
        <v>0</v>
      </c>
      <c r="AU53" t="str">
        <f>_xlfn.XLOOKUP(A53,'SYS Allocations'!A:A,'SYS Allocations'!F:F)</f>
        <v>OPEX</v>
      </c>
      <c r="BA53" t="str">
        <f t="shared" si="14"/>
        <v>DDm125-33</v>
      </c>
    </row>
    <row r="54" spans="1:53">
      <c r="A54" s="35" t="s">
        <v>70</v>
      </c>
      <c r="B54" t="s">
        <v>372</v>
      </c>
      <c r="C54" t="s">
        <v>373</v>
      </c>
      <c r="D54" t="s">
        <v>392</v>
      </c>
      <c r="E54" t="s">
        <v>463</v>
      </c>
      <c r="F54" t="s">
        <v>384</v>
      </c>
      <c r="G54">
        <v>55</v>
      </c>
      <c r="H54">
        <v>29</v>
      </c>
      <c r="I54">
        <v>642</v>
      </c>
      <c r="J54">
        <v>34.988999999999997</v>
      </c>
      <c r="K54" s="64">
        <v>45600</v>
      </c>
      <c r="L54">
        <v>67.144000000000005</v>
      </c>
      <c r="M54">
        <v>32.155000000000001</v>
      </c>
      <c r="N54">
        <v>49.05</v>
      </c>
      <c r="O54">
        <v>14.061</v>
      </c>
      <c r="P54" t="s">
        <v>339</v>
      </c>
      <c r="Q54" t="s">
        <v>333</v>
      </c>
      <c r="R54" t="s">
        <v>405</v>
      </c>
      <c r="S54">
        <v>56.246400000000101</v>
      </c>
      <c r="T54">
        <v>21.2574000000001</v>
      </c>
      <c r="U54" t="s">
        <v>346</v>
      </c>
      <c r="V54" t="s">
        <v>464</v>
      </c>
      <c r="W54">
        <v>87.75</v>
      </c>
      <c r="X54">
        <v>52.761000000000003</v>
      </c>
      <c r="Y54">
        <v>45</v>
      </c>
      <c r="Z54" t="s">
        <v>465</v>
      </c>
      <c r="AB54" s="77">
        <f t="shared" si="0"/>
        <v>32.155000000000001</v>
      </c>
      <c r="AC54" s="77">
        <f t="shared" si="1"/>
        <v>14.061</v>
      </c>
      <c r="AD54" s="77">
        <f t="shared" si="2"/>
        <v>47.88961038961039</v>
      </c>
      <c r="AE54" s="77">
        <f t="shared" si="3"/>
        <v>28.666666666666668</v>
      </c>
      <c r="AF54" s="77">
        <f t="shared" si="4"/>
        <v>21.2574000000001</v>
      </c>
      <c r="AG54" s="77">
        <f t="shared" si="5"/>
        <v>37.793352107868351</v>
      </c>
      <c r="AH54" s="77">
        <f t="shared" si="6"/>
        <v>87.75</v>
      </c>
      <c r="AI54" s="77">
        <f t="shared" si="7"/>
        <v>34.988999999999997</v>
      </c>
      <c r="AJ54" s="77">
        <f t="shared" si="8"/>
        <v>52.761000000000003</v>
      </c>
      <c r="AK54" s="77">
        <f t="shared" si="9"/>
        <v>0</v>
      </c>
      <c r="AL54" s="77">
        <f t="shared" si="10"/>
        <v>52.761000000000003</v>
      </c>
      <c r="AM54" s="77">
        <f t="shared" si="11"/>
        <v>60.126495726495733</v>
      </c>
      <c r="AN54" t="str">
        <f t="shared" si="15"/>
        <v>Capped</v>
      </c>
      <c r="AO54" t="s">
        <v>327</v>
      </c>
      <c r="AP54" t="str">
        <f t="shared" si="13"/>
        <v>DDm100-33</v>
      </c>
      <c r="AQ54">
        <f>_xlfn.XLOOKUP(A54,'SYS Allocations'!A:A,'SYS Allocations'!B:B)</f>
        <v>0</v>
      </c>
      <c r="AR54">
        <f>_xlfn.XLOOKUP(A54,'SYS Allocations'!A:A,'SYS Allocations'!C:C)</f>
        <v>0</v>
      </c>
      <c r="AS54">
        <f>_xlfn.XLOOKUP(A54,'SYS Allocations'!A:A,'SYS Allocations'!D:D)</f>
        <v>0</v>
      </c>
      <c r="AT54">
        <f>_xlfn.XLOOKUP(A54,'SYS Allocations'!A:A,'SYS Allocations'!E:E)</f>
        <v>0</v>
      </c>
      <c r="AU54">
        <f>_xlfn.XLOOKUP(A54,'SYS Allocations'!A:A,'SYS Allocations'!F:F)</f>
        <v>0</v>
      </c>
      <c r="BA54" t="str">
        <f t="shared" si="14"/>
        <v>DDm100-33</v>
      </c>
    </row>
    <row r="55" spans="1:53">
      <c r="A55" s="35" t="s">
        <v>71</v>
      </c>
      <c r="B55" t="s">
        <v>372</v>
      </c>
      <c r="C55" t="s">
        <v>373</v>
      </c>
      <c r="D55" t="s">
        <v>392</v>
      </c>
      <c r="E55" t="s">
        <v>466</v>
      </c>
      <c r="F55" t="s">
        <v>321</v>
      </c>
      <c r="G55">
        <v>36.6</v>
      </c>
      <c r="H55">
        <v>60</v>
      </c>
      <c r="I55">
        <v>1061</v>
      </c>
      <c r="J55">
        <v>57.8245</v>
      </c>
      <c r="K55" s="64">
        <v>45001</v>
      </c>
      <c r="L55">
        <v>94.149839999999998</v>
      </c>
      <c r="M55">
        <v>36.325339999999997</v>
      </c>
      <c r="N55">
        <v>74.087299999999999</v>
      </c>
      <c r="O55">
        <v>16.262799999999999</v>
      </c>
      <c r="P55" t="s">
        <v>339</v>
      </c>
      <c r="Q55" t="s">
        <v>333</v>
      </c>
      <c r="R55" t="s">
        <v>347</v>
      </c>
      <c r="S55">
        <v>71.107200000000205</v>
      </c>
      <c r="T55">
        <v>13.282700000000199</v>
      </c>
      <c r="U55" t="s">
        <v>446</v>
      </c>
      <c r="V55" t="s">
        <v>467</v>
      </c>
      <c r="W55">
        <v>94.5</v>
      </c>
      <c r="X55">
        <v>36.6755</v>
      </c>
      <c r="Y55">
        <v>14</v>
      </c>
      <c r="Z55" t="s">
        <v>275</v>
      </c>
      <c r="AB55" s="77">
        <f t="shared" si="0"/>
        <v>36.325339999999997</v>
      </c>
      <c r="AC55" s="77">
        <f t="shared" si="1"/>
        <v>16.262799999999999</v>
      </c>
      <c r="AD55" s="77">
        <f t="shared" si="2"/>
        <v>38.582476613874221</v>
      </c>
      <c r="AE55" s="77">
        <f t="shared" si="3"/>
        <v>21.950860673826686</v>
      </c>
      <c r="AF55" s="77">
        <f t="shared" si="4"/>
        <v>13.282700000000199</v>
      </c>
      <c r="AG55" s="77">
        <f t="shared" si="5"/>
        <v>18.679824265334819</v>
      </c>
      <c r="AH55" s="77">
        <f t="shared" si="6"/>
        <v>94.5</v>
      </c>
      <c r="AI55" s="77">
        <f t="shared" si="7"/>
        <v>57.8245</v>
      </c>
      <c r="AJ55" s="77">
        <f t="shared" si="8"/>
        <v>36.6755</v>
      </c>
      <c r="AK55" s="77">
        <f t="shared" si="9"/>
        <v>0</v>
      </c>
      <c r="AL55" s="77">
        <f t="shared" si="10"/>
        <v>36.6755</v>
      </c>
      <c r="AM55" s="77">
        <f t="shared" si="11"/>
        <v>38.81005291005291</v>
      </c>
      <c r="AN55" t="str">
        <f t="shared" si="15"/>
        <v>Capped</v>
      </c>
      <c r="AO55" t="s">
        <v>327</v>
      </c>
      <c r="AP55" t="str">
        <f t="shared" si="13"/>
        <v>DDm125-33</v>
      </c>
      <c r="AQ55" t="str">
        <f>_xlfn.XLOOKUP(A55,'SYS Allocations'!A:A,'SYS Allocations'!B:B)</f>
        <v>P-Core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DDm125-33</v>
      </c>
    </row>
    <row r="56" spans="1:53">
      <c r="A56" s="35" t="s">
        <v>72</v>
      </c>
      <c r="B56" t="s">
        <v>372</v>
      </c>
      <c r="C56" t="s">
        <v>373</v>
      </c>
      <c r="D56" t="s">
        <v>319</v>
      </c>
      <c r="E56" t="s">
        <v>468</v>
      </c>
      <c r="F56" t="s">
        <v>321</v>
      </c>
      <c r="G56">
        <v>36.6</v>
      </c>
      <c r="H56">
        <v>56</v>
      </c>
      <c r="I56">
        <v>630</v>
      </c>
      <c r="J56">
        <v>34.335000000000001</v>
      </c>
      <c r="K56" s="64">
        <v>45568</v>
      </c>
      <c r="L56">
        <v>87.766800000000003</v>
      </c>
      <c r="M56">
        <v>53.431800000000003</v>
      </c>
      <c r="N56">
        <v>55.208500000000001</v>
      </c>
      <c r="O56">
        <v>20.8735</v>
      </c>
      <c r="P56" t="s">
        <v>346</v>
      </c>
      <c r="Q56" t="s">
        <v>333</v>
      </c>
      <c r="R56" t="s">
        <v>347</v>
      </c>
      <c r="S56">
        <v>88.884000000000199</v>
      </c>
      <c r="T56">
        <v>54.549000000000198</v>
      </c>
      <c r="U56" t="s">
        <v>346</v>
      </c>
      <c r="V56" t="s">
        <v>469</v>
      </c>
      <c r="W56">
        <v>106.5</v>
      </c>
      <c r="X56">
        <v>72.165000000000006</v>
      </c>
      <c r="Y56">
        <v>20</v>
      </c>
      <c r="AB56" s="77">
        <f t="shared" si="0"/>
        <v>53.431800000000003</v>
      </c>
      <c r="AC56" s="77">
        <f t="shared" si="1"/>
        <v>20.8735</v>
      </c>
      <c r="AD56" s="77">
        <f t="shared" si="2"/>
        <v>60.879284649776459</v>
      </c>
      <c r="AE56" s="77">
        <f t="shared" si="3"/>
        <v>37.80848963474827</v>
      </c>
      <c r="AF56" s="77">
        <f t="shared" si="4"/>
        <v>54.549000000000198</v>
      </c>
      <c r="AG56" s="77">
        <f t="shared" si="5"/>
        <v>61.371000405022365</v>
      </c>
      <c r="AH56" s="77">
        <f t="shared" si="6"/>
        <v>106.5</v>
      </c>
      <c r="AI56" s="77">
        <f t="shared" si="7"/>
        <v>34.335000000000001</v>
      </c>
      <c r="AJ56" s="77">
        <f t="shared" si="8"/>
        <v>72.164999999999992</v>
      </c>
      <c r="AK56" s="77">
        <f t="shared" si="9"/>
        <v>0</v>
      </c>
      <c r="AL56" s="77">
        <f t="shared" si="10"/>
        <v>72.164999999999992</v>
      </c>
      <c r="AM56" s="77">
        <f t="shared" si="11"/>
        <v>67.760563380281681</v>
      </c>
      <c r="AN56" t="str">
        <f t="shared" si="15"/>
        <v/>
      </c>
      <c r="AO56" t="s">
        <v>327</v>
      </c>
      <c r="AP56" t="str">
        <f t="shared" si="13"/>
        <v>DDm125-33</v>
      </c>
      <c r="AQ56">
        <f>_xlfn.XLOOKUP(A56,'SYS Allocations'!A:A,'SYS Allocations'!B:B)</f>
        <v>0</v>
      </c>
      <c r="AR56" t="str">
        <f>_xlfn.XLOOKUP(A56,'SYS Allocations'!A:A,'SYS Allocations'!C:C)</f>
        <v>RA</v>
      </c>
      <c r="AS56" t="str">
        <f>_xlfn.XLOOKUP(A56,'SYS Allocations'!A:A,'SYS Allocations'!D:D)</f>
        <v>PX</v>
      </c>
      <c r="AT56" t="str">
        <f>_xlfn.XLOOKUP(A56,'SYS Allocations'!A:A,'SYS Allocations'!E:E)</f>
        <v>AM</v>
      </c>
      <c r="AU56" t="str">
        <f>_xlfn.XLOOKUP(A56,'SYS Allocations'!A:A,'SYS Allocations'!F:F)</f>
        <v>OPEX</v>
      </c>
      <c r="BA56" t="str">
        <f t="shared" si="14"/>
        <v>DDm125-33</v>
      </c>
    </row>
    <row r="57" spans="1:53">
      <c r="A57" s="35" t="s">
        <v>73</v>
      </c>
      <c r="B57" t="s">
        <v>437</v>
      </c>
      <c r="C57" t="s">
        <v>470</v>
      </c>
      <c r="D57" t="s">
        <v>319</v>
      </c>
      <c r="E57" t="s">
        <v>471</v>
      </c>
      <c r="F57" t="s">
        <v>321</v>
      </c>
      <c r="G57">
        <v>36.6</v>
      </c>
      <c r="H57">
        <v>33</v>
      </c>
      <c r="I57">
        <v>348</v>
      </c>
      <c r="J57">
        <v>18.966000000000001</v>
      </c>
      <c r="K57" s="64">
        <v>44491.6875</v>
      </c>
      <c r="L57">
        <v>51.064320000000002</v>
      </c>
      <c r="M57">
        <v>32.098320000000001</v>
      </c>
      <c r="N57">
        <v>34.182400000000001</v>
      </c>
      <c r="O57">
        <v>15.2164</v>
      </c>
      <c r="P57" t="s">
        <v>339</v>
      </c>
      <c r="Q57" t="s">
        <v>333</v>
      </c>
      <c r="R57" t="s">
        <v>472</v>
      </c>
      <c r="S57">
        <v>45.964799999999997</v>
      </c>
      <c r="T57">
        <v>26.998799999999999</v>
      </c>
      <c r="U57" t="s">
        <v>322</v>
      </c>
      <c r="V57" t="s">
        <v>473</v>
      </c>
      <c r="W57">
        <v>60</v>
      </c>
      <c r="X57">
        <v>41.033999999999999</v>
      </c>
      <c r="Y57">
        <v>59</v>
      </c>
      <c r="AB57" s="77">
        <f t="shared" si="0"/>
        <v>32.098320000000001</v>
      </c>
      <c r="AC57" s="77">
        <f t="shared" si="1"/>
        <v>15.2164</v>
      </c>
      <c r="AD57" s="77">
        <f t="shared" si="2"/>
        <v>62.858606557377044</v>
      </c>
      <c r="AE57" s="77">
        <f t="shared" si="3"/>
        <v>44.515306122448976</v>
      </c>
      <c r="AF57" s="77">
        <f t="shared" si="4"/>
        <v>26.998799999999999</v>
      </c>
      <c r="AG57" s="77">
        <f t="shared" si="5"/>
        <v>58.737990810359236</v>
      </c>
      <c r="AH57" s="77">
        <f t="shared" si="6"/>
        <v>60</v>
      </c>
      <c r="AI57" s="77">
        <f t="shared" si="7"/>
        <v>18.966000000000001</v>
      </c>
      <c r="AJ57" s="77">
        <f t="shared" si="8"/>
        <v>41.033999999999999</v>
      </c>
      <c r="AK57" s="77">
        <f t="shared" si="9"/>
        <v>0</v>
      </c>
      <c r="AL57" s="77">
        <f t="shared" si="10"/>
        <v>41.033999999999999</v>
      </c>
      <c r="AM57" s="77">
        <f t="shared" si="11"/>
        <v>68.39</v>
      </c>
      <c r="AN57" t="str">
        <f t="shared" si="15"/>
        <v/>
      </c>
      <c r="AO57" t="s">
        <v>327</v>
      </c>
      <c r="AP57" t="str">
        <f t="shared" si="13"/>
        <v>DDm85-33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>
        <f>_xlfn.XLOOKUP(A57,'SYS Allocations'!A:A,'SYS Allocations'!D:D)</f>
        <v>0</v>
      </c>
      <c r="AT57">
        <f>_xlfn.XLOOKUP(A57,'SYS Allocations'!A:A,'SYS Allocations'!E:E)</f>
        <v>0</v>
      </c>
      <c r="AU57">
        <f>_xlfn.XLOOKUP(A57,'SYS Allocations'!A:A,'SYS Allocations'!F:F)</f>
        <v>0</v>
      </c>
      <c r="BA57" t="str">
        <f t="shared" si="14"/>
        <v>DDm85-33</v>
      </c>
    </row>
    <row r="58" spans="1:53">
      <c r="A58" s="35" t="s">
        <v>74</v>
      </c>
      <c r="B58" t="s">
        <v>377</v>
      </c>
      <c r="C58" t="s">
        <v>474</v>
      </c>
      <c r="D58" t="s">
        <v>392</v>
      </c>
      <c r="E58" t="s">
        <v>475</v>
      </c>
      <c r="F58" t="s">
        <v>321</v>
      </c>
      <c r="G58">
        <v>36.6</v>
      </c>
      <c r="H58">
        <v>8</v>
      </c>
      <c r="I58">
        <v>76</v>
      </c>
      <c r="J58">
        <v>4.1420000000000003</v>
      </c>
      <c r="K58" s="64">
        <v>45600</v>
      </c>
      <c r="L58">
        <v>11.17032</v>
      </c>
      <c r="M58">
        <v>7.0283199999999999</v>
      </c>
      <c r="N58">
        <v>8.5129000000000001</v>
      </c>
      <c r="O58">
        <v>4.3708999999999998</v>
      </c>
      <c r="P58" t="s">
        <v>326</v>
      </c>
      <c r="Q58" t="s">
        <v>333</v>
      </c>
      <c r="R58" t="s">
        <v>445</v>
      </c>
      <c r="S58">
        <v>8.9639999999999702</v>
      </c>
      <c r="T58">
        <v>4.8219999999999699</v>
      </c>
      <c r="U58" t="s">
        <v>325</v>
      </c>
      <c r="V58" t="s">
        <v>476</v>
      </c>
      <c r="W58">
        <v>6.9</v>
      </c>
      <c r="X58">
        <v>2.758</v>
      </c>
      <c r="Y58">
        <v>1</v>
      </c>
      <c r="Z58" t="s">
        <v>8</v>
      </c>
      <c r="AB58" s="77">
        <f t="shared" si="0"/>
        <v>7.0283199999999999</v>
      </c>
      <c r="AC58" s="77">
        <f t="shared" si="1"/>
        <v>4.3708999999999998</v>
      </c>
      <c r="AD58" s="77">
        <f t="shared" si="2"/>
        <v>62.919594067135051</v>
      </c>
      <c r="AE58" s="77">
        <f t="shared" si="3"/>
        <v>51.344430217669654</v>
      </c>
      <c r="AF58" s="77">
        <f t="shared" si="4"/>
        <v>4.8219999999999699</v>
      </c>
      <c r="AG58" s="77">
        <f t="shared" si="5"/>
        <v>53.792949576081945</v>
      </c>
      <c r="AH58" s="77">
        <f t="shared" si="6"/>
        <v>6.9</v>
      </c>
      <c r="AI58" s="77">
        <f t="shared" si="7"/>
        <v>4.1420000000000003</v>
      </c>
      <c r="AJ58" s="77">
        <f t="shared" si="8"/>
        <v>2.758</v>
      </c>
      <c r="AK58" s="77">
        <f t="shared" si="9"/>
        <v>0</v>
      </c>
      <c r="AL58" s="77">
        <f t="shared" si="10"/>
        <v>2.758</v>
      </c>
      <c r="AM58" s="77">
        <f t="shared" si="11"/>
        <v>39.971014492753618</v>
      </c>
      <c r="AN58" t="str">
        <f t="shared" si="15"/>
        <v>Capped</v>
      </c>
      <c r="AO58" t="s">
        <v>327</v>
      </c>
      <c r="AP58" t="str">
        <f t="shared" si="13"/>
        <v>12V101F</v>
      </c>
      <c r="AQ58">
        <f>_xlfn.XLOOKUP(A58,'SYS Allocations'!A:A,'SYS Allocations'!B:B)</f>
        <v>0</v>
      </c>
      <c r="AR58">
        <f>_xlfn.XLOOKUP(A58,'SYS Allocations'!A:A,'SYS Allocations'!C:C)</f>
        <v>0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 xml:space="preserve">12V101F </v>
      </c>
    </row>
    <row r="59" spans="1:53">
      <c r="A59" s="35" t="s">
        <v>75</v>
      </c>
      <c r="B59" t="s">
        <v>328</v>
      </c>
      <c r="C59" t="s">
        <v>477</v>
      </c>
      <c r="D59" t="s">
        <v>319</v>
      </c>
      <c r="E59" t="s">
        <v>478</v>
      </c>
      <c r="F59" t="s">
        <v>321</v>
      </c>
      <c r="G59">
        <v>36.6</v>
      </c>
      <c r="H59">
        <v>19</v>
      </c>
      <c r="I59">
        <v>145</v>
      </c>
      <c r="J59">
        <v>7.9024999999999999</v>
      </c>
      <c r="K59" s="64">
        <v>45600</v>
      </c>
      <c r="L59">
        <v>28.723680000000002</v>
      </c>
      <c r="M59">
        <v>20.821179999999998</v>
      </c>
      <c r="N59">
        <v>18.464600000000001</v>
      </c>
      <c r="O59">
        <v>10.562099999999999</v>
      </c>
      <c r="P59" t="s">
        <v>325</v>
      </c>
      <c r="Q59" t="s">
        <v>333</v>
      </c>
      <c r="R59" t="s">
        <v>405</v>
      </c>
      <c r="S59">
        <v>28.123200000000001</v>
      </c>
      <c r="T59">
        <v>20.220700000000001</v>
      </c>
      <c r="U59" t="s">
        <v>339</v>
      </c>
      <c r="V59" t="s">
        <v>436</v>
      </c>
      <c r="W59">
        <v>67.5</v>
      </c>
      <c r="X59">
        <v>59.597499999999997</v>
      </c>
      <c r="Y59">
        <v>3</v>
      </c>
      <c r="AB59" s="77">
        <f t="shared" si="0"/>
        <v>20.821179999999998</v>
      </c>
      <c r="AC59" s="77">
        <f t="shared" si="1"/>
        <v>10.562099999999999</v>
      </c>
      <c r="AD59" s="77">
        <f t="shared" si="2"/>
        <v>72.48785670916817</v>
      </c>
      <c r="AE59" s="77">
        <f t="shared" si="3"/>
        <v>57.20188902007083</v>
      </c>
      <c r="AF59" s="77">
        <f t="shared" si="4"/>
        <v>20.220700000000001</v>
      </c>
      <c r="AG59" s="77">
        <f t="shared" si="5"/>
        <v>71.900423849348584</v>
      </c>
      <c r="AH59" s="77">
        <f t="shared" si="6"/>
        <v>67.5</v>
      </c>
      <c r="AI59" s="77">
        <f t="shared" si="7"/>
        <v>7.9024999999999999</v>
      </c>
      <c r="AJ59" s="77">
        <f t="shared" si="8"/>
        <v>59.597499999999997</v>
      </c>
      <c r="AK59" s="77">
        <f t="shared" si="9"/>
        <v>0</v>
      </c>
      <c r="AL59" s="77">
        <f t="shared" si="10"/>
        <v>59.597499999999997</v>
      </c>
      <c r="AM59" s="77">
        <f t="shared" si="11"/>
        <v>88.292592592592584</v>
      </c>
      <c r="AN59" t="str">
        <f t="shared" si="15"/>
        <v/>
      </c>
      <c r="AO59" t="s">
        <v>327</v>
      </c>
      <c r="AP59" t="str">
        <f t="shared" si="13"/>
        <v>DDm100-33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>DDm100-33</v>
      </c>
    </row>
    <row r="60" spans="1:53">
      <c r="A60" s="35" t="s">
        <v>76</v>
      </c>
      <c r="B60" t="s">
        <v>402</v>
      </c>
      <c r="C60" t="s">
        <v>479</v>
      </c>
      <c r="D60" t="s">
        <v>319</v>
      </c>
      <c r="E60" t="s">
        <v>480</v>
      </c>
      <c r="F60" t="s">
        <v>332</v>
      </c>
      <c r="G60">
        <v>75</v>
      </c>
      <c r="H60">
        <v>2</v>
      </c>
      <c r="I60">
        <v>5</v>
      </c>
      <c r="J60">
        <v>0.27250000000000002</v>
      </c>
      <c r="K60" s="64">
        <v>44873</v>
      </c>
      <c r="L60">
        <v>3.27</v>
      </c>
      <c r="M60">
        <v>2.9975000000000001</v>
      </c>
      <c r="N60">
        <v>1.9075</v>
      </c>
      <c r="O60">
        <v>1.635</v>
      </c>
      <c r="P60" t="s">
        <v>339</v>
      </c>
      <c r="Q60" t="s">
        <v>333</v>
      </c>
      <c r="R60" t="s">
        <v>445</v>
      </c>
      <c r="S60">
        <v>3.5855999999999999</v>
      </c>
      <c r="T60">
        <v>3.3130999999999999</v>
      </c>
      <c r="U60" t="s">
        <v>339</v>
      </c>
      <c r="V60" t="s">
        <v>442</v>
      </c>
      <c r="W60">
        <v>11.25</v>
      </c>
      <c r="X60">
        <v>10.977499999999999</v>
      </c>
      <c r="Y60">
        <v>4</v>
      </c>
      <c r="AB60" s="77">
        <f t="shared" si="0"/>
        <v>2.9975000000000001</v>
      </c>
      <c r="AC60" s="77">
        <f t="shared" si="1"/>
        <v>1.635</v>
      </c>
      <c r="AD60" s="77">
        <f t="shared" si="2"/>
        <v>91.666666666666671</v>
      </c>
      <c r="AE60" s="77">
        <f t="shared" si="3"/>
        <v>85.714285714285722</v>
      </c>
      <c r="AF60" s="77">
        <f t="shared" si="4"/>
        <v>3.3130999999999999</v>
      </c>
      <c r="AG60" s="77">
        <f t="shared" si="5"/>
        <v>92.400156180276667</v>
      </c>
      <c r="AH60" s="77">
        <f t="shared" si="6"/>
        <v>11.25</v>
      </c>
      <c r="AI60" s="77">
        <f t="shared" si="7"/>
        <v>0.27250000000000002</v>
      </c>
      <c r="AJ60" s="77">
        <f t="shared" si="8"/>
        <v>10.977499999999999</v>
      </c>
      <c r="AK60" s="77">
        <f t="shared" si="9"/>
        <v>0</v>
      </c>
      <c r="AL60" s="77">
        <f t="shared" si="10"/>
        <v>10.977499999999999</v>
      </c>
      <c r="AM60" s="77">
        <f t="shared" si="11"/>
        <v>97.577777777777769</v>
      </c>
      <c r="AN60" t="str">
        <f t="shared" si="15"/>
        <v/>
      </c>
      <c r="AO60" t="s">
        <v>327</v>
      </c>
      <c r="AP60" t="str">
        <f t="shared" si="13"/>
        <v>12V101F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 xml:space="preserve">12V101F </v>
      </c>
    </row>
    <row r="61" spans="1:53">
      <c r="A61" s="35" t="s">
        <v>77</v>
      </c>
      <c r="B61" t="s">
        <v>317</v>
      </c>
      <c r="C61" t="s">
        <v>481</v>
      </c>
      <c r="D61" t="s">
        <v>392</v>
      </c>
      <c r="E61" t="s">
        <v>482</v>
      </c>
      <c r="F61" t="s">
        <v>332</v>
      </c>
      <c r="G61">
        <v>75</v>
      </c>
      <c r="H61">
        <v>6</v>
      </c>
      <c r="I61">
        <v>140</v>
      </c>
      <c r="J61">
        <v>7.63</v>
      </c>
      <c r="K61" s="64">
        <v>44686.541666666701</v>
      </c>
      <c r="L61">
        <v>16.350000000000001</v>
      </c>
      <c r="M61">
        <v>8.7200000000000006</v>
      </c>
      <c r="N61">
        <v>10.709250000000001</v>
      </c>
      <c r="O61">
        <v>3.07925</v>
      </c>
      <c r="P61" t="s">
        <v>322</v>
      </c>
      <c r="Q61" t="s">
        <v>333</v>
      </c>
      <c r="R61" t="s">
        <v>366</v>
      </c>
      <c r="S61">
        <v>15.1632</v>
      </c>
      <c r="T61">
        <v>7.5331999999999901</v>
      </c>
      <c r="U61" t="s">
        <v>322</v>
      </c>
      <c r="V61" t="s">
        <v>335</v>
      </c>
      <c r="W61">
        <v>22.5</v>
      </c>
      <c r="X61">
        <v>14.87</v>
      </c>
      <c r="Y61">
        <v>1</v>
      </c>
      <c r="Z61" t="s">
        <v>8</v>
      </c>
      <c r="AB61" s="77">
        <f t="shared" si="0"/>
        <v>8.7200000000000006</v>
      </c>
      <c r="AC61" s="77">
        <f t="shared" si="1"/>
        <v>3.07925</v>
      </c>
      <c r="AD61" s="77">
        <f t="shared" si="2"/>
        <v>53.333333333333336</v>
      </c>
      <c r="AE61" s="77">
        <f t="shared" si="3"/>
        <v>28.753180661577606</v>
      </c>
      <c r="AF61" s="77">
        <f t="shared" si="4"/>
        <v>7.5331999999999901</v>
      </c>
      <c r="AG61" s="77">
        <f t="shared" si="5"/>
        <v>49.680806162287581</v>
      </c>
      <c r="AH61" s="77">
        <f t="shared" si="6"/>
        <v>22.5</v>
      </c>
      <c r="AI61" s="77">
        <f t="shared" si="7"/>
        <v>7.63</v>
      </c>
      <c r="AJ61" s="77">
        <f t="shared" si="8"/>
        <v>14.870000000000001</v>
      </c>
      <c r="AK61" s="77">
        <f t="shared" si="9"/>
        <v>0</v>
      </c>
      <c r="AL61" s="77">
        <f t="shared" si="10"/>
        <v>14.870000000000001</v>
      </c>
      <c r="AM61" s="77">
        <f t="shared" si="11"/>
        <v>66.088888888888889</v>
      </c>
      <c r="AN61" t="str">
        <f t="shared" si="15"/>
        <v>Capped</v>
      </c>
      <c r="AO61" t="s">
        <v>327</v>
      </c>
      <c r="AP61" t="str">
        <f t="shared" si="13"/>
        <v>2DDm85-15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>2DDm85-15</v>
      </c>
    </row>
    <row r="62" spans="1:53">
      <c r="A62" s="35" t="s">
        <v>78</v>
      </c>
      <c r="B62" t="s">
        <v>317</v>
      </c>
      <c r="C62" t="s">
        <v>481</v>
      </c>
      <c r="D62" t="s">
        <v>319</v>
      </c>
      <c r="E62" t="s">
        <v>483</v>
      </c>
      <c r="F62" t="s">
        <v>321</v>
      </c>
      <c r="G62">
        <v>36.6</v>
      </c>
      <c r="H62">
        <v>9</v>
      </c>
      <c r="I62">
        <v>69</v>
      </c>
      <c r="J62">
        <v>3.7605</v>
      </c>
      <c r="K62" s="64">
        <v>44596.541666666701</v>
      </c>
      <c r="L62">
        <v>12.766080000000001</v>
      </c>
      <c r="M62">
        <v>9.0055800000000001</v>
      </c>
      <c r="N62">
        <v>9.4720999999999993</v>
      </c>
      <c r="O62">
        <v>5.7115999999999998</v>
      </c>
      <c r="P62" t="s">
        <v>325</v>
      </c>
      <c r="Q62" t="s">
        <v>333</v>
      </c>
      <c r="R62" t="s">
        <v>366</v>
      </c>
      <c r="S62">
        <v>10.1088</v>
      </c>
      <c r="T62">
        <v>6.3482999999999796</v>
      </c>
      <c r="U62" t="s">
        <v>325</v>
      </c>
      <c r="V62" t="s">
        <v>442</v>
      </c>
      <c r="W62">
        <v>11.25</v>
      </c>
      <c r="X62">
        <v>7.4894999999999996</v>
      </c>
      <c r="Y62">
        <v>12</v>
      </c>
      <c r="AB62" s="77">
        <f t="shared" si="0"/>
        <v>9.0055800000000001</v>
      </c>
      <c r="AC62" s="77">
        <f t="shared" si="1"/>
        <v>5.7115999999999998</v>
      </c>
      <c r="AD62" s="77">
        <f t="shared" si="2"/>
        <v>70.543032786885234</v>
      </c>
      <c r="AE62" s="77">
        <f t="shared" si="3"/>
        <v>60.299194476409667</v>
      </c>
      <c r="AF62" s="77">
        <f t="shared" si="4"/>
        <v>6.3482999999999796</v>
      </c>
      <c r="AG62" s="77">
        <f t="shared" si="5"/>
        <v>62.799738841405301</v>
      </c>
      <c r="AH62" s="77">
        <f t="shared" si="6"/>
        <v>11.25</v>
      </c>
      <c r="AI62" s="77">
        <f t="shared" si="7"/>
        <v>3.7605</v>
      </c>
      <c r="AJ62" s="77">
        <f t="shared" si="8"/>
        <v>7.4894999999999996</v>
      </c>
      <c r="AK62" s="77">
        <f t="shared" si="9"/>
        <v>0</v>
      </c>
      <c r="AL62" s="77">
        <f t="shared" si="10"/>
        <v>7.4894999999999996</v>
      </c>
      <c r="AM62" s="77">
        <f t="shared" si="11"/>
        <v>66.573333333333323</v>
      </c>
      <c r="AN62" t="str">
        <f t="shared" si="15"/>
        <v/>
      </c>
      <c r="AO62" t="s">
        <v>327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357</v>
      </c>
      <c r="C63" t="s">
        <v>484</v>
      </c>
      <c r="D63" t="s">
        <v>319</v>
      </c>
      <c r="E63" t="s">
        <v>485</v>
      </c>
      <c r="F63" t="s">
        <v>321</v>
      </c>
      <c r="G63">
        <v>36.6</v>
      </c>
      <c r="H63">
        <v>15</v>
      </c>
      <c r="I63">
        <v>132</v>
      </c>
      <c r="J63">
        <v>7.194</v>
      </c>
      <c r="K63" s="64">
        <v>44448.708333333299</v>
      </c>
      <c r="L63">
        <v>22.34064</v>
      </c>
      <c r="M63">
        <v>15.14664</v>
      </c>
      <c r="N63">
        <v>14.0283</v>
      </c>
      <c r="O63">
        <v>6.8342999999999998</v>
      </c>
      <c r="P63" t="s">
        <v>346</v>
      </c>
      <c r="Q63" t="s">
        <v>333</v>
      </c>
      <c r="R63" t="s">
        <v>486</v>
      </c>
      <c r="S63">
        <v>21.815999999999999</v>
      </c>
      <c r="T63">
        <v>14.622</v>
      </c>
      <c r="U63" t="s">
        <v>339</v>
      </c>
      <c r="V63" t="s">
        <v>487</v>
      </c>
      <c r="W63">
        <v>16.875</v>
      </c>
      <c r="X63">
        <v>9.6809999999999992</v>
      </c>
      <c r="Y63">
        <v>13</v>
      </c>
      <c r="AB63" s="77">
        <f t="shared" si="0"/>
        <v>15.14664</v>
      </c>
      <c r="AC63" s="77">
        <f t="shared" si="1"/>
        <v>6.8342999999999998</v>
      </c>
      <c r="AD63" s="77">
        <f t="shared" si="2"/>
        <v>67.798594847775178</v>
      </c>
      <c r="AE63" s="77">
        <f t="shared" si="3"/>
        <v>48.717948717948723</v>
      </c>
      <c r="AF63" s="77">
        <f t="shared" si="4"/>
        <v>14.622</v>
      </c>
      <c r="AG63" s="77">
        <f t="shared" si="5"/>
        <v>67.02420242024202</v>
      </c>
      <c r="AH63" s="77">
        <f t="shared" si="6"/>
        <v>16.875</v>
      </c>
      <c r="AI63" s="77">
        <f t="shared" si="7"/>
        <v>7.194</v>
      </c>
      <c r="AJ63" s="77">
        <f t="shared" si="8"/>
        <v>9.6810000000000009</v>
      </c>
      <c r="AK63" s="77">
        <f t="shared" si="9"/>
        <v>0</v>
      </c>
      <c r="AL63" s="77">
        <f t="shared" si="10"/>
        <v>9.6810000000000009</v>
      </c>
      <c r="AM63" s="77">
        <f t="shared" si="11"/>
        <v>57.36888888888889</v>
      </c>
      <c r="AN63" t="str">
        <f t="shared" si="15"/>
        <v/>
      </c>
      <c r="AO63" t="s">
        <v>327</v>
      </c>
      <c r="AP63" t="str">
        <f t="shared" si="13"/>
        <v>2DDm85-13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2DDm85-13</v>
      </c>
    </row>
    <row r="64" spans="1:53">
      <c r="A64" s="35" t="s">
        <v>80</v>
      </c>
      <c r="B64" t="s">
        <v>488</v>
      </c>
      <c r="C64" t="s">
        <v>489</v>
      </c>
      <c r="D64" t="s">
        <v>319</v>
      </c>
      <c r="E64" t="s">
        <v>490</v>
      </c>
      <c r="F64" t="s">
        <v>321</v>
      </c>
      <c r="G64">
        <v>36.6</v>
      </c>
      <c r="H64">
        <v>27</v>
      </c>
      <c r="I64">
        <v>311</v>
      </c>
      <c r="J64">
        <v>16.9495</v>
      </c>
      <c r="K64" s="64">
        <v>45600</v>
      </c>
      <c r="L64">
        <v>41.489759999999997</v>
      </c>
      <c r="M64">
        <v>24.54026</v>
      </c>
      <c r="N64">
        <v>30.062200000000001</v>
      </c>
      <c r="O64">
        <v>13.1127</v>
      </c>
      <c r="P64" t="s">
        <v>325</v>
      </c>
      <c r="Q64" t="s">
        <v>333</v>
      </c>
      <c r="R64" t="s">
        <v>347</v>
      </c>
      <c r="S64">
        <v>35.553600000000003</v>
      </c>
      <c r="T64">
        <v>18.604099999999999</v>
      </c>
      <c r="U64" t="s">
        <v>322</v>
      </c>
      <c r="V64" t="s">
        <v>335</v>
      </c>
      <c r="W64">
        <v>22.5</v>
      </c>
      <c r="X64">
        <v>5.5505000000000004</v>
      </c>
      <c r="Y64">
        <v>15</v>
      </c>
      <c r="AB64" s="77">
        <f t="shared" si="0"/>
        <v>24.54026</v>
      </c>
      <c r="AC64" s="77">
        <f t="shared" si="1"/>
        <v>13.1127</v>
      </c>
      <c r="AD64" s="77">
        <f t="shared" si="2"/>
        <v>59.14775115594788</v>
      </c>
      <c r="AE64" s="77">
        <f t="shared" si="3"/>
        <v>43.618564176939813</v>
      </c>
      <c r="AF64" s="77">
        <f t="shared" si="4"/>
        <v>18.604099999999999</v>
      </c>
      <c r="AG64" s="77">
        <f t="shared" si="5"/>
        <v>52.326909230007644</v>
      </c>
      <c r="AH64" s="77">
        <f t="shared" si="6"/>
        <v>22.5</v>
      </c>
      <c r="AI64" s="77">
        <f t="shared" si="7"/>
        <v>16.9495</v>
      </c>
      <c r="AJ64" s="77">
        <f t="shared" si="8"/>
        <v>5.5504999999999995</v>
      </c>
      <c r="AK64" s="77">
        <f t="shared" si="9"/>
        <v>0</v>
      </c>
      <c r="AL64" s="77">
        <f t="shared" si="10"/>
        <v>5.5504999999999995</v>
      </c>
      <c r="AM64" s="77">
        <f t="shared" si="11"/>
        <v>24.668888888888887</v>
      </c>
      <c r="AN64" t="str">
        <f t="shared" si="15"/>
        <v/>
      </c>
      <c r="AO64" t="s">
        <v>327</v>
      </c>
      <c r="AP64" t="str">
        <f t="shared" si="13"/>
        <v>DDm125-33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DDm125-33</v>
      </c>
    </row>
    <row r="65" spans="1:53">
      <c r="A65" s="35" t="s">
        <v>81</v>
      </c>
      <c r="B65" t="s">
        <v>377</v>
      </c>
      <c r="C65" t="s">
        <v>491</v>
      </c>
      <c r="D65" t="s">
        <v>319</v>
      </c>
      <c r="E65" t="s">
        <v>492</v>
      </c>
      <c r="F65" t="s">
        <v>321</v>
      </c>
      <c r="G65">
        <v>36.6</v>
      </c>
      <c r="H65">
        <v>5</v>
      </c>
      <c r="I65">
        <v>39</v>
      </c>
      <c r="J65">
        <v>2.1255000000000002</v>
      </c>
      <c r="K65" s="64">
        <v>44501.458333333299</v>
      </c>
      <c r="L65">
        <v>6.3830400000000003</v>
      </c>
      <c r="M65">
        <v>4.2575399999999997</v>
      </c>
      <c r="N65">
        <v>4.4908000000000001</v>
      </c>
      <c r="O65">
        <v>2.3653</v>
      </c>
      <c r="P65" t="s">
        <v>446</v>
      </c>
      <c r="Q65" t="s">
        <v>354</v>
      </c>
      <c r="R65" t="s">
        <v>450</v>
      </c>
      <c r="S65">
        <v>7.8105600000000104</v>
      </c>
      <c r="T65">
        <v>5.6850600000000098</v>
      </c>
      <c r="U65" t="s">
        <v>325</v>
      </c>
      <c r="V65" t="s">
        <v>446</v>
      </c>
      <c r="W65">
        <v>6</v>
      </c>
      <c r="X65">
        <v>3.8744999999999998</v>
      </c>
      <c r="Y65">
        <v>8</v>
      </c>
      <c r="AB65" s="77">
        <f t="shared" si="0"/>
        <v>4.2575399999999997</v>
      </c>
      <c r="AC65" s="77">
        <f t="shared" si="1"/>
        <v>2.3653</v>
      </c>
      <c r="AD65" s="77">
        <f t="shared" si="2"/>
        <v>66.700819672131132</v>
      </c>
      <c r="AE65" s="77">
        <f t="shared" si="3"/>
        <v>52.669902912621353</v>
      </c>
      <c r="AF65" s="77">
        <f t="shared" si="4"/>
        <v>5.6850600000000098</v>
      </c>
      <c r="AG65" s="77">
        <f t="shared" si="5"/>
        <v>72.786842428711921</v>
      </c>
      <c r="AH65" s="77">
        <f t="shared" si="6"/>
        <v>6</v>
      </c>
      <c r="AI65" s="77">
        <f t="shared" si="7"/>
        <v>2.1255000000000002</v>
      </c>
      <c r="AJ65" s="77">
        <f t="shared" si="8"/>
        <v>3.8744999999999998</v>
      </c>
      <c r="AK65" s="77">
        <f t="shared" si="9"/>
        <v>0</v>
      </c>
      <c r="AL65" s="77">
        <f t="shared" si="10"/>
        <v>3.8744999999999998</v>
      </c>
      <c r="AM65" s="77">
        <f t="shared" si="11"/>
        <v>64.575000000000003</v>
      </c>
      <c r="AN65" t="str">
        <f t="shared" si="15"/>
        <v/>
      </c>
      <c r="AO65" t="s">
        <v>327</v>
      </c>
      <c r="AP65" t="str">
        <f t="shared" si="13"/>
        <v>12V100F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12V100F</v>
      </c>
    </row>
    <row r="66" spans="1:53">
      <c r="A66" s="35" t="s">
        <v>82</v>
      </c>
      <c r="B66" t="s">
        <v>317</v>
      </c>
      <c r="C66" t="s">
        <v>493</v>
      </c>
      <c r="D66" t="s">
        <v>319</v>
      </c>
      <c r="E66" t="s">
        <v>494</v>
      </c>
      <c r="F66" t="s">
        <v>321</v>
      </c>
      <c r="G66">
        <v>36.6</v>
      </c>
      <c r="H66">
        <v>16</v>
      </c>
      <c r="I66">
        <v>220</v>
      </c>
      <c r="J66">
        <v>11.99</v>
      </c>
      <c r="K66" s="64">
        <v>45058</v>
      </c>
      <c r="L66">
        <v>23.936399999999999</v>
      </c>
      <c r="M66">
        <v>11.946400000000001</v>
      </c>
      <c r="N66">
        <v>0.27250000000000002</v>
      </c>
      <c r="O66">
        <v>-11.717499999999999</v>
      </c>
      <c r="P66" t="s">
        <v>339</v>
      </c>
      <c r="Q66" t="s">
        <v>333</v>
      </c>
      <c r="R66" t="s">
        <v>472</v>
      </c>
      <c r="S66">
        <v>45.964799999999997</v>
      </c>
      <c r="T66">
        <v>33.974800000000002</v>
      </c>
      <c r="U66" t="s">
        <v>325</v>
      </c>
      <c r="V66" t="s">
        <v>495</v>
      </c>
      <c r="W66">
        <v>16.5</v>
      </c>
      <c r="X66">
        <v>4.51</v>
      </c>
      <c r="Y66">
        <v>6</v>
      </c>
      <c r="AB66" s="77">
        <f t="shared" si="0"/>
        <v>11.946400000000001</v>
      </c>
      <c r="AC66" s="77">
        <f t="shared" si="1"/>
        <v>-11.717499999999999</v>
      </c>
      <c r="AD66" s="77">
        <f t="shared" si="2"/>
        <v>49.908925318761391</v>
      </c>
      <c r="AE66" s="77">
        <f t="shared" si="3"/>
        <v>-4300</v>
      </c>
      <c r="AF66" s="77">
        <f t="shared" si="4"/>
        <v>33.974800000000002</v>
      </c>
      <c r="AG66" s="77">
        <f t="shared" si="5"/>
        <v>73.914821776663899</v>
      </c>
      <c r="AH66" s="77">
        <f t="shared" si="6"/>
        <v>16.5</v>
      </c>
      <c r="AI66" s="77">
        <f t="shared" si="7"/>
        <v>11.99</v>
      </c>
      <c r="AJ66" s="77">
        <f t="shared" si="8"/>
        <v>4.51</v>
      </c>
      <c r="AK66" s="77">
        <f t="shared" si="9"/>
        <v>0</v>
      </c>
      <c r="AL66" s="77">
        <f t="shared" si="10"/>
        <v>4.51</v>
      </c>
      <c r="AM66" s="77">
        <f t="shared" si="11"/>
        <v>27.333333333333332</v>
      </c>
      <c r="AN66" t="str">
        <f t="shared" si="15"/>
        <v/>
      </c>
      <c r="AO66" t="s">
        <v>327</v>
      </c>
      <c r="AP66" t="str">
        <f t="shared" si="13"/>
        <v>DDm85-33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DDm85-33</v>
      </c>
    </row>
    <row r="67" spans="1:53">
      <c r="A67" s="35" t="s">
        <v>83</v>
      </c>
      <c r="B67" t="s">
        <v>396</v>
      </c>
      <c r="C67" t="s">
        <v>496</v>
      </c>
      <c r="D67" t="s">
        <v>392</v>
      </c>
      <c r="E67" t="s">
        <v>497</v>
      </c>
      <c r="F67" t="s">
        <v>321</v>
      </c>
      <c r="G67">
        <v>36.6</v>
      </c>
      <c r="H67">
        <v>11</v>
      </c>
      <c r="I67">
        <v>77</v>
      </c>
      <c r="J67">
        <v>4.1965000000000003</v>
      </c>
      <c r="K67" s="64">
        <v>45600</v>
      </c>
      <c r="L67">
        <v>15.957599999999999</v>
      </c>
      <c r="M67">
        <v>11.761100000000001</v>
      </c>
      <c r="N67">
        <v>14.388</v>
      </c>
      <c r="O67">
        <v>10.1915</v>
      </c>
      <c r="P67" t="s">
        <v>325</v>
      </c>
      <c r="Q67" t="s">
        <v>333</v>
      </c>
      <c r="R67" t="s">
        <v>486</v>
      </c>
      <c r="S67">
        <v>8.7264000000000301</v>
      </c>
      <c r="T67">
        <v>4.52990000000002</v>
      </c>
      <c r="U67" t="s">
        <v>325</v>
      </c>
      <c r="V67" t="s">
        <v>446</v>
      </c>
      <c r="W67">
        <v>6</v>
      </c>
      <c r="X67">
        <v>1.8035000000000001</v>
      </c>
      <c r="Y67">
        <v>0</v>
      </c>
      <c r="Z67" t="s">
        <v>8</v>
      </c>
      <c r="AB67" s="77">
        <f t="shared" si="0"/>
        <v>11.761100000000001</v>
      </c>
      <c r="AC67" s="77">
        <f t="shared" si="1"/>
        <v>10.1915</v>
      </c>
      <c r="AD67" s="77">
        <f t="shared" si="2"/>
        <v>73.702185792349738</v>
      </c>
      <c r="AE67" s="77">
        <f t="shared" si="3"/>
        <v>70.833333333333329</v>
      </c>
      <c r="AF67" s="77">
        <f t="shared" si="4"/>
        <v>4.52990000000002</v>
      </c>
      <c r="AG67" s="77">
        <f t="shared" si="5"/>
        <v>51.91029519618634</v>
      </c>
      <c r="AH67" s="77">
        <f t="shared" si="6"/>
        <v>6</v>
      </c>
      <c r="AI67" s="77">
        <f t="shared" si="7"/>
        <v>4.1965000000000003</v>
      </c>
      <c r="AJ67" s="77">
        <f t="shared" si="8"/>
        <v>1.8034999999999997</v>
      </c>
      <c r="AK67" s="77">
        <f t="shared" si="9"/>
        <v>0</v>
      </c>
      <c r="AL67" s="77">
        <f t="shared" si="10"/>
        <v>1.8034999999999997</v>
      </c>
      <c r="AM67" s="77">
        <f t="shared" si="11"/>
        <v>30.05833333333333</v>
      </c>
      <c r="AN67" t="str">
        <f t="shared" si="15"/>
        <v>Capped</v>
      </c>
      <c r="AO67" t="s">
        <v>327</v>
      </c>
      <c r="AP67" t="str">
        <f t="shared" si="13"/>
        <v>2DDm85-13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2DDm85-13</v>
      </c>
    </row>
    <row r="68" spans="1:53">
      <c r="A68" s="35" t="s">
        <v>84</v>
      </c>
      <c r="B68" t="s">
        <v>372</v>
      </c>
      <c r="C68" t="s">
        <v>498</v>
      </c>
      <c r="D68" t="s">
        <v>319</v>
      </c>
      <c r="E68" t="s">
        <v>499</v>
      </c>
      <c r="F68" t="s">
        <v>321</v>
      </c>
      <c r="G68">
        <v>36.6</v>
      </c>
      <c r="H68">
        <v>7</v>
      </c>
      <c r="I68">
        <v>42</v>
      </c>
      <c r="J68">
        <v>2.2890000000000001</v>
      </c>
      <c r="K68" s="64">
        <v>45600</v>
      </c>
      <c r="L68">
        <v>9.57456</v>
      </c>
      <c r="M68">
        <v>7.2855600000000003</v>
      </c>
      <c r="N68">
        <v>5.4827000000000004</v>
      </c>
      <c r="O68">
        <v>3.1937000000000002</v>
      </c>
      <c r="P68" t="s">
        <v>325</v>
      </c>
      <c r="Q68" t="s">
        <v>333</v>
      </c>
      <c r="R68" t="s">
        <v>366</v>
      </c>
      <c r="S68">
        <v>10.1088</v>
      </c>
      <c r="T68">
        <v>7.8197999999999803</v>
      </c>
      <c r="U68" t="s">
        <v>325</v>
      </c>
      <c r="V68" t="s">
        <v>442</v>
      </c>
      <c r="W68">
        <v>11.25</v>
      </c>
      <c r="X68">
        <v>8.9610000000000003</v>
      </c>
      <c r="Y68">
        <v>25</v>
      </c>
      <c r="AB68" s="77">
        <f t="shared" si="0"/>
        <v>7.2855600000000003</v>
      </c>
      <c r="AC68" s="77">
        <f t="shared" si="1"/>
        <v>3.1937000000000002</v>
      </c>
      <c r="AD68" s="77">
        <f t="shared" si="2"/>
        <v>76.092896174863384</v>
      </c>
      <c r="AE68" s="77">
        <f t="shared" si="3"/>
        <v>58.250497017892648</v>
      </c>
      <c r="AF68" s="77">
        <f t="shared" si="4"/>
        <v>7.8197999999999803</v>
      </c>
      <c r="AG68" s="77">
        <f t="shared" si="5"/>
        <v>77.356362773029232</v>
      </c>
      <c r="AH68" s="77">
        <f t="shared" si="6"/>
        <v>11.25</v>
      </c>
      <c r="AI68" s="77">
        <f t="shared" si="7"/>
        <v>2.2890000000000001</v>
      </c>
      <c r="AJ68" s="77">
        <f t="shared" si="8"/>
        <v>8.9610000000000003</v>
      </c>
      <c r="AK68" s="77">
        <f t="shared" si="9"/>
        <v>0</v>
      </c>
      <c r="AL68" s="77">
        <f t="shared" si="10"/>
        <v>8.9610000000000003</v>
      </c>
      <c r="AM68" s="77">
        <f t="shared" si="11"/>
        <v>79.653333333333336</v>
      </c>
      <c r="AN68" t="str">
        <f t="shared" si="15"/>
        <v/>
      </c>
      <c r="AO68" t="s">
        <v>327</v>
      </c>
      <c r="AP68" t="str">
        <f t="shared" si="13"/>
        <v>2DDm85-15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2DDm85-15</v>
      </c>
    </row>
    <row r="69" spans="1:53">
      <c r="A69" s="35" t="s">
        <v>85</v>
      </c>
      <c r="B69" t="s">
        <v>344</v>
      </c>
      <c r="C69" t="s">
        <v>344</v>
      </c>
      <c r="D69" t="s">
        <v>392</v>
      </c>
      <c r="E69" t="s">
        <v>500</v>
      </c>
      <c r="F69" t="s">
        <v>332</v>
      </c>
      <c r="G69">
        <v>75</v>
      </c>
      <c r="H69">
        <v>28</v>
      </c>
      <c r="I69">
        <v>780</v>
      </c>
      <c r="J69">
        <v>42.51</v>
      </c>
      <c r="K69" s="64">
        <v>45211</v>
      </c>
      <c r="L69">
        <v>88.29</v>
      </c>
      <c r="M69">
        <v>45.78</v>
      </c>
      <c r="N69">
        <v>77.662499999999994</v>
      </c>
      <c r="O69">
        <v>35.152500000000003</v>
      </c>
      <c r="P69" t="s">
        <v>322</v>
      </c>
      <c r="Q69" t="s">
        <v>333</v>
      </c>
      <c r="R69" t="s">
        <v>347</v>
      </c>
      <c r="S69">
        <v>53.330399999999997</v>
      </c>
      <c r="T69">
        <v>10.820399999999999</v>
      </c>
      <c r="U69" t="s">
        <v>360</v>
      </c>
      <c r="V69" t="s">
        <v>501</v>
      </c>
      <c r="W69">
        <v>180</v>
      </c>
      <c r="X69">
        <v>137.49</v>
      </c>
      <c r="Y69">
        <v>18</v>
      </c>
      <c r="Z69" t="s">
        <v>8</v>
      </c>
      <c r="AB69" s="77">
        <f t="shared" si="0"/>
        <v>45.78</v>
      </c>
      <c r="AC69" s="77">
        <f t="shared" si="1"/>
        <v>35.152500000000003</v>
      </c>
      <c r="AD69" s="77">
        <f t="shared" si="2"/>
        <v>51.851851851851855</v>
      </c>
      <c r="AE69" s="77">
        <f t="shared" si="3"/>
        <v>45.26315789473685</v>
      </c>
      <c r="AF69" s="77">
        <f t="shared" si="4"/>
        <v>10.820399999999999</v>
      </c>
      <c r="AG69" s="77">
        <f t="shared" si="5"/>
        <v>20.28936591512533</v>
      </c>
      <c r="AH69" s="337">
        <f>AVERAGE(W69:W70)</f>
        <v>180</v>
      </c>
      <c r="AI69" s="337">
        <f>SUM(J69:J70)</f>
        <v>142.245</v>
      </c>
      <c r="AJ69" s="337">
        <f t="shared" si="8"/>
        <v>37.754999999999995</v>
      </c>
      <c r="AK69" s="337">
        <f>SUM(AA69:AA70)</f>
        <v>0</v>
      </c>
      <c r="AL69" s="337">
        <f t="shared" si="10"/>
        <v>37.754999999999995</v>
      </c>
      <c r="AM69" s="338">
        <f t="shared" si="11"/>
        <v>20.974999999999998</v>
      </c>
      <c r="AN69" t="str">
        <f t="shared" si="15"/>
        <v>Capped</v>
      </c>
      <c r="AO69" t="s">
        <v>327</v>
      </c>
      <c r="AP69" t="str">
        <f t="shared" si="13"/>
        <v>DDm125-33</v>
      </c>
      <c r="AQ69" t="str">
        <f>_xlfn.XLOOKUP(A69,'SYS Allocations'!A:A,'SYS Allocations'!B:B)</f>
        <v>P-Core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DDm125-33</v>
      </c>
    </row>
    <row r="70" spans="1:53">
      <c r="A70" s="35" t="s">
        <v>86</v>
      </c>
      <c r="B70" t="s">
        <v>344</v>
      </c>
      <c r="C70" t="s">
        <v>344</v>
      </c>
      <c r="D70" t="s">
        <v>392</v>
      </c>
      <c r="E70" t="s">
        <v>500</v>
      </c>
      <c r="F70" t="s">
        <v>384</v>
      </c>
      <c r="G70">
        <v>55</v>
      </c>
      <c r="H70">
        <v>54</v>
      </c>
      <c r="I70">
        <v>1830</v>
      </c>
      <c r="J70">
        <v>99.734999999999999</v>
      </c>
      <c r="K70" s="64">
        <v>45211</v>
      </c>
      <c r="L70">
        <v>127.09399999999999</v>
      </c>
      <c r="M70">
        <v>27.359000000000002</v>
      </c>
      <c r="N70">
        <v>93.467500000000001</v>
      </c>
      <c r="O70">
        <v>-6.2675000000000001</v>
      </c>
      <c r="P70" t="s">
        <v>375</v>
      </c>
      <c r="Q70" t="s">
        <v>333</v>
      </c>
      <c r="R70" t="s">
        <v>347</v>
      </c>
      <c r="S70">
        <v>106.66079999999999</v>
      </c>
      <c r="T70">
        <v>6.9258000000000797</v>
      </c>
      <c r="U70" t="s">
        <v>360</v>
      </c>
      <c r="V70" t="s">
        <v>501</v>
      </c>
      <c r="W70">
        <v>180</v>
      </c>
      <c r="X70">
        <v>80.265000000000001</v>
      </c>
      <c r="Y70">
        <v>18</v>
      </c>
      <c r="Z70" t="s">
        <v>8</v>
      </c>
      <c r="AB70" s="77">
        <f t="shared" si="0"/>
        <v>27.359000000000002</v>
      </c>
      <c r="AC70" s="77">
        <f t="shared" si="1"/>
        <v>-6.2675000000000001</v>
      </c>
      <c r="AD70" s="77">
        <f t="shared" si="2"/>
        <v>21.526586620926246</v>
      </c>
      <c r="AE70" s="77">
        <f t="shared" si="3"/>
        <v>-6.7055393586005829</v>
      </c>
      <c r="AF70" s="77">
        <f t="shared" si="4"/>
        <v>6.9258000000000797</v>
      </c>
      <c r="AG70" s="77">
        <f t="shared" si="5"/>
        <v>6.4932946312047912</v>
      </c>
      <c r="AH70" s="337"/>
      <c r="AI70" s="337"/>
      <c r="AJ70" s="337"/>
      <c r="AK70" s="337"/>
      <c r="AL70" s="337"/>
      <c r="AM70" s="338"/>
      <c r="AN70" t="str">
        <f t="shared" si="15"/>
        <v>Capped</v>
      </c>
      <c r="AO70" t="s">
        <v>327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344</v>
      </c>
      <c r="C71" t="s">
        <v>344</v>
      </c>
      <c r="D71" t="s">
        <v>319</v>
      </c>
      <c r="E71" t="s">
        <v>502</v>
      </c>
      <c r="F71" t="s">
        <v>321</v>
      </c>
      <c r="G71">
        <v>36.6</v>
      </c>
      <c r="H71">
        <v>39</v>
      </c>
      <c r="I71">
        <v>282</v>
      </c>
      <c r="J71">
        <v>15.369</v>
      </c>
      <c r="K71" s="64">
        <v>45182</v>
      </c>
      <c r="L71">
        <v>60.63888</v>
      </c>
      <c r="M71">
        <v>45.269880000000001</v>
      </c>
      <c r="N71">
        <v>43.098599999999998</v>
      </c>
      <c r="O71">
        <v>27.729600000000001</v>
      </c>
      <c r="P71" t="s">
        <v>322</v>
      </c>
      <c r="Q71" t="s">
        <v>333</v>
      </c>
      <c r="R71" t="s">
        <v>347</v>
      </c>
      <c r="S71">
        <v>53.330399999999997</v>
      </c>
      <c r="T71">
        <v>37.961399999999998</v>
      </c>
      <c r="U71" t="s">
        <v>375</v>
      </c>
      <c r="V71" t="s">
        <v>503</v>
      </c>
      <c r="W71">
        <v>196.5</v>
      </c>
      <c r="X71">
        <v>181.131</v>
      </c>
      <c r="Y71">
        <v>65</v>
      </c>
      <c r="AB71" s="77">
        <f t="shared" si="0"/>
        <v>45.269880000000001</v>
      </c>
      <c r="AC71" s="77">
        <f t="shared" si="1"/>
        <v>27.729600000000001</v>
      </c>
      <c r="AD71" s="77">
        <f t="shared" si="2"/>
        <v>74.654874892148413</v>
      </c>
      <c r="AE71" s="77">
        <f t="shared" si="3"/>
        <v>64.339908952959036</v>
      </c>
      <c r="AF71" s="77">
        <f t="shared" si="4"/>
        <v>37.961399999999998</v>
      </c>
      <c r="AG71" s="77">
        <f t="shared" si="5"/>
        <v>71.181539984699157</v>
      </c>
      <c r="AH71" s="337">
        <f>AVERAGE(W71:W72)</f>
        <v>196.5</v>
      </c>
      <c r="AI71" s="337">
        <f>SUM(J71:J72)</f>
        <v>30.138500000000001</v>
      </c>
      <c r="AJ71" s="337">
        <f t="shared" si="8"/>
        <v>166.36150000000001</v>
      </c>
      <c r="AK71" s="337">
        <f>SUM(AA71:AA72)</f>
        <v>0</v>
      </c>
      <c r="AL71" s="337">
        <f t="shared" si="10"/>
        <v>166.36150000000001</v>
      </c>
      <c r="AM71" s="338">
        <f t="shared" si="11"/>
        <v>84.662340966921121</v>
      </c>
      <c r="AN71" t="str">
        <f t="shared" si="15"/>
        <v/>
      </c>
      <c r="AO71" t="s">
        <v>395</v>
      </c>
      <c r="AP71" t="str">
        <f t="shared" si="13"/>
        <v>DDm125-33</v>
      </c>
      <c r="AQ71">
        <f>_xlfn.XLOOKUP(A71,'SYS Allocations'!A:A,'SYS Allocations'!B:B)</f>
        <v>0</v>
      </c>
      <c r="AR71" t="str">
        <f>_xlfn.XLOOKUP(A71,'SYS Allocations'!A:A,'SYS Allocations'!C:C)</f>
        <v>RA</v>
      </c>
      <c r="AS71" t="str">
        <f>_xlfn.XLOOKUP(A71,'SYS Allocations'!A:A,'SYS Allocations'!D:D)</f>
        <v>PX</v>
      </c>
      <c r="AT71">
        <f>_xlfn.XLOOKUP(A71,'SYS Allocations'!A:A,'SYS Allocations'!E:E)</f>
        <v>0</v>
      </c>
      <c r="AU71" t="str">
        <f>_xlfn.XLOOKUP(A71,'SYS Allocations'!A:A,'SYS Allocations'!F:F)</f>
        <v>OPEX</v>
      </c>
      <c r="BA71" t="str">
        <f t="shared" si="14"/>
        <v>DDm125-33</v>
      </c>
    </row>
    <row r="72" spans="1:53">
      <c r="A72" s="35" t="s">
        <v>88</v>
      </c>
      <c r="B72" t="s">
        <v>344</v>
      </c>
      <c r="C72" t="s">
        <v>344</v>
      </c>
      <c r="D72" t="s">
        <v>319</v>
      </c>
      <c r="E72" t="s">
        <v>502</v>
      </c>
      <c r="F72" t="s">
        <v>321</v>
      </c>
      <c r="G72">
        <v>36.6</v>
      </c>
      <c r="H72">
        <v>39</v>
      </c>
      <c r="I72">
        <v>271</v>
      </c>
      <c r="J72">
        <v>14.769500000000001</v>
      </c>
      <c r="K72" s="64">
        <v>45182</v>
      </c>
      <c r="L72">
        <v>60.63888</v>
      </c>
      <c r="M72">
        <v>45.86938</v>
      </c>
      <c r="N72">
        <v>43.098599999999998</v>
      </c>
      <c r="O72">
        <v>28.3291</v>
      </c>
      <c r="P72" t="s">
        <v>322</v>
      </c>
      <c r="Q72" t="s">
        <v>333</v>
      </c>
      <c r="R72" t="s">
        <v>347</v>
      </c>
      <c r="S72">
        <v>53.330399999999997</v>
      </c>
      <c r="T72">
        <v>38.560899999999997</v>
      </c>
      <c r="U72" t="s">
        <v>375</v>
      </c>
      <c r="V72" t="s">
        <v>503</v>
      </c>
      <c r="W72">
        <v>196.5</v>
      </c>
      <c r="X72">
        <v>181.73050000000001</v>
      </c>
      <c r="Y72">
        <v>65</v>
      </c>
      <c r="AB72" s="77">
        <f t="shared" ref="AB72" si="59">M72-AA72</f>
        <v>45.86938</v>
      </c>
      <c r="AC72" s="77">
        <f t="shared" ref="AC72" si="60">O72-AA72</f>
        <v>28.3291</v>
      </c>
      <c r="AD72" s="77">
        <f t="shared" ref="AD72" si="61">AB72/L72%</f>
        <v>75.643514524014961</v>
      </c>
      <c r="AE72" s="77">
        <f t="shared" ref="AE72" si="62">AC72/N72%</f>
        <v>65.730905412240773</v>
      </c>
      <c r="AF72" s="77">
        <f t="shared" ref="AF72" si="63">T72-AA72</f>
        <v>38.560899999999997</v>
      </c>
      <c r="AG72" s="77">
        <f t="shared" ref="AG72" si="64">AF72/S72%</f>
        <v>72.305664311537129</v>
      </c>
      <c r="AH72" s="337"/>
      <c r="AI72" s="337"/>
      <c r="AJ72" s="337"/>
      <c r="AK72" s="337"/>
      <c r="AL72" s="337"/>
      <c r="AM72" s="338"/>
      <c r="AN72" t="str">
        <f t="shared" ref="AN72:AN135" si="65">IF(ISBLANK(Z72),"","Capped")</f>
        <v/>
      </c>
      <c r="AO72" t="s">
        <v>395</v>
      </c>
      <c r="AP72" t="str">
        <f t="shared" si="13"/>
        <v>DDm125-33</v>
      </c>
      <c r="AQ72">
        <f>_xlfn.XLOOKUP(A72,'SYS Allocations'!A:A,'SYS Allocations'!B:B)</f>
        <v>0</v>
      </c>
      <c r="AR72">
        <f>_xlfn.XLOOKUP(A72,'SYS Allocations'!A:A,'SYS Allocations'!C:C)</f>
        <v>0</v>
      </c>
      <c r="AS72">
        <f>_xlfn.XLOOKUP(A72,'SYS Allocations'!A:A,'SYS Allocations'!D:D)</f>
        <v>0</v>
      </c>
      <c r="AT72">
        <f>_xlfn.XLOOKUP(A72,'SYS Allocations'!A:A,'SYS Allocations'!E:E)</f>
        <v>0</v>
      </c>
      <c r="AU72">
        <f>_xlfn.XLOOKUP(A72,'SYS Allocations'!A:A,'SYS Allocations'!F:F)</f>
        <v>0</v>
      </c>
      <c r="BA72" t="str">
        <f t="shared" si="14"/>
        <v>DDm125-33</v>
      </c>
    </row>
    <row r="73" spans="1:53">
      <c r="A73" s="35" t="s">
        <v>89</v>
      </c>
      <c r="B73" t="s">
        <v>372</v>
      </c>
      <c r="C73" t="s">
        <v>504</v>
      </c>
      <c r="D73" t="s">
        <v>319</v>
      </c>
      <c r="E73" t="s">
        <v>505</v>
      </c>
      <c r="F73" t="s">
        <v>321</v>
      </c>
      <c r="G73">
        <v>36.6</v>
      </c>
      <c r="H73">
        <v>18</v>
      </c>
      <c r="I73">
        <v>30</v>
      </c>
      <c r="J73">
        <v>1.635</v>
      </c>
      <c r="K73" s="64">
        <v>45600</v>
      </c>
      <c r="L73">
        <v>27.12792</v>
      </c>
      <c r="M73">
        <v>25.492920000000002</v>
      </c>
      <c r="N73">
        <v>22.791899999999998</v>
      </c>
      <c r="O73">
        <v>21.1569</v>
      </c>
      <c r="P73" t="s">
        <v>325</v>
      </c>
      <c r="Q73" t="s">
        <v>333</v>
      </c>
      <c r="R73" t="s">
        <v>334</v>
      </c>
      <c r="S73">
        <v>17.409600000000001</v>
      </c>
      <c r="T73">
        <v>15.7746</v>
      </c>
      <c r="U73" t="s">
        <v>375</v>
      </c>
      <c r="V73" t="s">
        <v>367</v>
      </c>
      <c r="W73">
        <v>112.5</v>
      </c>
      <c r="X73">
        <v>110.86499999999999</v>
      </c>
      <c r="Y73">
        <v>24</v>
      </c>
      <c r="AB73" s="77">
        <f t="shared" si="0"/>
        <v>25.492920000000002</v>
      </c>
      <c r="AC73" s="77">
        <f t="shared" si="1"/>
        <v>21.1569</v>
      </c>
      <c r="AD73" s="77">
        <f t="shared" si="2"/>
        <v>93.972999035679848</v>
      </c>
      <c r="AE73" s="77">
        <f t="shared" si="3"/>
        <v>92.826398852223818</v>
      </c>
      <c r="AF73" s="77">
        <f t="shared" si="4"/>
        <v>15.7746</v>
      </c>
      <c r="AG73" s="77">
        <f t="shared" si="5"/>
        <v>90.608629721532949</v>
      </c>
      <c r="AH73" s="77">
        <f t="shared" si="6"/>
        <v>112.5</v>
      </c>
      <c r="AI73" s="77">
        <f t="shared" si="7"/>
        <v>1.635</v>
      </c>
      <c r="AJ73" s="77">
        <f t="shared" si="8"/>
        <v>110.86499999999999</v>
      </c>
      <c r="AK73" s="77">
        <f t="shared" si="9"/>
        <v>0</v>
      </c>
      <c r="AL73" s="77">
        <f t="shared" si="10"/>
        <v>110.86499999999999</v>
      </c>
      <c r="AM73" s="77">
        <f t="shared" si="11"/>
        <v>98.546666666666667</v>
      </c>
      <c r="AN73" t="str">
        <f t="shared" si="65"/>
        <v/>
      </c>
      <c r="AO73" t="s">
        <v>395</v>
      </c>
      <c r="AP73" t="str">
        <f t="shared" si="13"/>
        <v>DDm85-25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 t="str">
        <f>_xlfn.XLOOKUP(A73,'SYS Allocations'!A:A,'SYS Allocations'!E:E)</f>
        <v>AM</v>
      </c>
      <c r="AU73">
        <f>_xlfn.XLOOKUP(A73,'SYS Allocations'!A:A,'SYS Allocations'!F:F)</f>
        <v>0</v>
      </c>
      <c r="BA73" t="str">
        <f t="shared" si="14"/>
        <v>DDm85-25</v>
      </c>
    </row>
    <row r="74" spans="1:53">
      <c r="A74" s="35" t="s">
        <v>90</v>
      </c>
      <c r="B74" t="s">
        <v>372</v>
      </c>
      <c r="C74" t="s">
        <v>504</v>
      </c>
      <c r="D74" t="s">
        <v>319</v>
      </c>
      <c r="E74" t="s">
        <v>505</v>
      </c>
      <c r="F74" t="s">
        <v>321</v>
      </c>
      <c r="G74">
        <v>36.6</v>
      </c>
      <c r="H74">
        <v>18</v>
      </c>
      <c r="I74">
        <v>60</v>
      </c>
      <c r="J74">
        <v>3.27</v>
      </c>
      <c r="K74" s="64">
        <v>45600</v>
      </c>
      <c r="L74">
        <v>27.12792</v>
      </c>
      <c r="M74">
        <v>23.85792</v>
      </c>
      <c r="N74">
        <v>22.791899999999998</v>
      </c>
      <c r="O74">
        <v>19.521899999999999</v>
      </c>
      <c r="P74" t="s">
        <v>325</v>
      </c>
      <c r="Q74" t="s">
        <v>333</v>
      </c>
      <c r="R74" t="s">
        <v>334</v>
      </c>
      <c r="S74">
        <v>17.409600000000001</v>
      </c>
      <c r="T74">
        <v>14.1396</v>
      </c>
      <c r="U74" t="s">
        <v>375</v>
      </c>
      <c r="V74" t="s">
        <v>367</v>
      </c>
      <c r="W74">
        <v>112.5</v>
      </c>
      <c r="X74">
        <v>109.23</v>
      </c>
      <c r="Y74">
        <v>24</v>
      </c>
      <c r="AB74" s="77">
        <f t="shared" si="0"/>
        <v>23.85792</v>
      </c>
      <c r="AC74" s="77">
        <f t="shared" si="1"/>
        <v>19.521899999999999</v>
      </c>
      <c r="AD74" s="77">
        <f t="shared" si="2"/>
        <v>87.945998071359696</v>
      </c>
      <c r="AE74" s="77">
        <f t="shared" si="3"/>
        <v>85.652797704447636</v>
      </c>
      <c r="AF74" s="77">
        <f t="shared" si="4"/>
        <v>14.1396</v>
      </c>
      <c r="AG74" s="77">
        <f t="shared" si="5"/>
        <v>81.217259443065899</v>
      </c>
      <c r="AH74" s="77">
        <f t="shared" si="6"/>
        <v>112.5</v>
      </c>
      <c r="AI74" s="77">
        <f t="shared" si="7"/>
        <v>3.27</v>
      </c>
      <c r="AJ74" s="77">
        <f t="shared" si="8"/>
        <v>109.23</v>
      </c>
      <c r="AK74" s="77">
        <f t="shared" si="9"/>
        <v>0</v>
      </c>
      <c r="AL74" s="77">
        <f t="shared" si="10"/>
        <v>109.23</v>
      </c>
      <c r="AM74" s="77">
        <f t="shared" si="11"/>
        <v>97.093333333333334</v>
      </c>
      <c r="AN74" t="str">
        <f t="shared" si="65"/>
        <v/>
      </c>
      <c r="AO74" t="s">
        <v>395</v>
      </c>
      <c r="AP74" t="str">
        <f t="shared" ref="AP74:AP141" si="66">TRIM(BA74)</f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>
        <f>_xlfn.XLOOKUP(A74,'SYS Allocations'!A:A,'SYS Allocations'!E:E)</f>
        <v>0</v>
      </c>
      <c r="AU74">
        <f>_xlfn.XLOOKUP(A74,'SYS Allocations'!A:A,'SYS Allocations'!F:F)</f>
        <v>0</v>
      </c>
      <c r="BA74" t="str">
        <f t="shared" ref="BA74:BA137" si="67">IFERROR(LEFT(R74,FIND("(",R74,1)-1),R74)</f>
        <v>DDm85-25</v>
      </c>
    </row>
    <row r="75" spans="1:53">
      <c r="A75" s="35" t="s">
        <v>91</v>
      </c>
      <c r="B75" t="s">
        <v>377</v>
      </c>
      <c r="C75" t="s">
        <v>506</v>
      </c>
      <c r="D75" t="s">
        <v>319</v>
      </c>
      <c r="E75" t="s">
        <v>507</v>
      </c>
      <c r="F75" t="s">
        <v>433</v>
      </c>
      <c r="G75">
        <v>55</v>
      </c>
      <c r="H75">
        <v>23</v>
      </c>
      <c r="I75">
        <v>358</v>
      </c>
      <c r="J75">
        <v>19.510999999999999</v>
      </c>
      <c r="K75" s="64">
        <v>45600</v>
      </c>
      <c r="L75">
        <v>52.756</v>
      </c>
      <c r="M75">
        <v>33.244999999999997</v>
      </c>
      <c r="N75">
        <v>33.244999999999997</v>
      </c>
      <c r="O75">
        <v>13.734</v>
      </c>
      <c r="P75" t="s">
        <v>322</v>
      </c>
      <c r="Q75" t="s">
        <v>333</v>
      </c>
      <c r="R75" t="s">
        <v>347</v>
      </c>
      <c r="S75">
        <v>53.330399999999997</v>
      </c>
      <c r="T75">
        <v>33.819400000000002</v>
      </c>
      <c r="U75" t="s">
        <v>348</v>
      </c>
      <c r="V75" t="s">
        <v>418</v>
      </c>
      <c r="W75">
        <v>90</v>
      </c>
      <c r="X75">
        <v>70.489000000000004</v>
      </c>
      <c r="Y75">
        <v>17</v>
      </c>
      <c r="AB75" s="77">
        <f t="shared" si="0"/>
        <v>33.244999999999997</v>
      </c>
      <c r="AC75" s="77">
        <f t="shared" si="1"/>
        <v>13.734</v>
      </c>
      <c r="AD75" s="77">
        <f t="shared" si="2"/>
        <v>63.016528925619824</v>
      </c>
      <c r="AE75" s="77">
        <f t="shared" si="3"/>
        <v>41.311475409836071</v>
      </c>
      <c r="AF75" s="77">
        <f t="shared" si="4"/>
        <v>33.819400000000002</v>
      </c>
      <c r="AG75" s="77">
        <f t="shared" si="5"/>
        <v>63.41486281745496</v>
      </c>
      <c r="AH75" s="338">
        <f>AVERAGE(W75:W76)</f>
        <v>90</v>
      </c>
      <c r="AI75" s="338">
        <f>SUM(J75:J76)</f>
        <v>32.481999999999999</v>
      </c>
      <c r="AJ75" s="338">
        <f t="shared" si="8"/>
        <v>57.518000000000001</v>
      </c>
      <c r="AK75" s="338">
        <f>SUM(AA75:AA76)</f>
        <v>0</v>
      </c>
      <c r="AL75" s="338">
        <f t="shared" si="10"/>
        <v>57.518000000000001</v>
      </c>
      <c r="AM75" s="338">
        <f t="shared" si="11"/>
        <v>63.908888888888889</v>
      </c>
      <c r="AN75" t="str">
        <f t="shared" si="65"/>
        <v/>
      </c>
      <c r="AO75" t="s">
        <v>395</v>
      </c>
      <c r="AP75" t="str">
        <f t="shared" si="66"/>
        <v>DDm125-33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 t="str">
        <f>_xlfn.XLOOKUP(A75,'SYS Allocations'!A:A,'SYS Allocations'!F:F)</f>
        <v>OPEX</v>
      </c>
      <c r="BA75" t="str">
        <f t="shared" si="67"/>
        <v>DDm125-33</v>
      </c>
    </row>
    <row r="76" spans="1:53">
      <c r="A76" s="35" t="s">
        <v>92</v>
      </c>
      <c r="B76" t="s">
        <v>377</v>
      </c>
      <c r="C76" t="s">
        <v>506</v>
      </c>
      <c r="D76" t="s">
        <v>319</v>
      </c>
      <c r="E76" t="s">
        <v>507</v>
      </c>
      <c r="F76" t="s">
        <v>433</v>
      </c>
      <c r="G76">
        <v>55</v>
      </c>
      <c r="H76">
        <v>23</v>
      </c>
      <c r="I76">
        <v>238</v>
      </c>
      <c r="J76">
        <v>12.971</v>
      </c>
      <c r="K76" s="64">
        <v>45600</v>
      </c>
      <c r="L76">
        <v>52.756</v>
      </c>
      <c r="M76">
        <v>39.784999999999997</v>
      </c>
      <c r="N76">
        <v>33.244999999999997</v>
      </c>
      <c r="O76">
        <v>20.274000000000001</v>
      </c>
      <c r="P76" t="s">
        <v>322</v>
      </c>
      <c r="Q76" t="s">
        <v>333</v>
      </c>
      <c r="R76" t="s">
        <v>347</v>
      </c>
      <c r="S76">
        <v>53.330399999999997</v>
      </c>
      <c r="T76">
        <v>40.359400000000001</v>
      </c>
      <c r="U76" t="s">
        <v>348</v>
      </c>
      <c r="V76" t="s">
        <v>418</v>
      </c>
      <c r="W76">
        <v>90</v>
      </c>
      <c r="X76">
        <v>77.028999999999996</v>
      </c>
      <c r="Y76">
        <v>17</v>
      </c>
      <c r="AB76" s="77">
        <f t="shared" ref="AB76" si="68">M76-AA76</f>
        <v>39.784999999999997</v>
      </c>
      <c r="AC76" s="77">
        <f t="shared" ref="AC76" si="69">O76-AA76</f>
        <v>20.274000000000001</v>
      </c>
      <c r="AD76" s="77">
        <f t="shared" ref="AD76" si="70">AB76/L76%</f>
        <v>75.413223140495859</v>
      </c>
      <c r="AE76" s="77">
        <f t="shared" ref="AE76" si="71">AC76/N76%</f>
        <v>60.983606557377058</v>
      </c>
      <c r="AF76" s="77">
        <f t="shared" ref="AF76" si="72">T76-AA76</f>
        <v>40.359400000000001</v>
      </c>
      <c r="AG76" s="77">
        <f t="shared" ref="AG76" si="73">AF76/S76%</f>
        <v>75.678037292051059</v>
      </c>
      <c r="AH76" s="338"/>
      <c r="AI76" s="338"/>
      <c r="AJ76" s="338"/>
      <c r="AK76" s="338"/>
      <c r="AL76" s="338"/>
      <c r="AM76" s="338"/>
      <c r="AN76" t="str">
        <f t="shared" si="65"/>
        <v/>
      </c>
      <c r="AO76" t="s">
        <v>395</v>
      </c>
      <c r="AP76" t="str">
        <f t="shared" ref="AP76" si="74">TRIM(BA76)</f>
        <v>DDm125-33</v>
      </c>
      <c r="BA76" t="str">
        <f t="shared" si="67"/>
        <v>DDm125-33</v>
      </c>
    </row>
    <row r="77" spans="1:53">
      <c r="A77" s="35" t="s">
        <v>93</v>
      </c>
      <c r="B77" t="s">
        <v>363</v>
      </c>
      <c r="C77" t="s">
        <v>508</v>
      </c>
      <c r="D77" t="s">
        <v>319</v>
      </c>
      <c r="E77" t="s">
        <v>509</v>
      </c>
      <c r="F77" t="s">
        <v>510</v>
      </c>
      <c r="G77">
        <v>37.5</v>
      </c>
      <c r="H77">
        <v>8</v>
      </c>
      <c r="I77">
        <v>65</v>
      </c>
      <c r="J77">
        <v>3.5425</v>
      </c>
      <c r="K77" s="64">
        <v>45600</v>
      </c>
      <c r="L77">
        <v>11.445</v>
      </c>
      <c r="M77">
        <v>7.9024999999999999</v>
      </c>
      <c r="N77">
        <v>9.5647500000000001</v>
      </c>
      <c r="O77">
        <v>6.0222499999999997</v>
      </c>
      <c r="P77" t="s">
        <v>326</v>
      </c>
      <c r="Q77" t="s">
        <v>354</v>
      </c>
      <c r="R77" t="s">
        <v>511</v>
      </c>
      <c r="S77">
        <v>8.9639999999999702</v>
      </c>
      <c r="T77">
        <v>5.4214999999999698</v>
      </c>
      <c r="U77" t="s">
        <v>325</v>
      </c>
      <c r="V77" t="s">
        <v>512</v>
      </c>
      <c r="W77">
        <v>10.5</v>
      </c>
      <c r="X77">
        <v>6.9574999999999996</v>
      </c>
      <c r="Y77">
        <v>7</v>
      </c>
      <c r="AB77" s="77">
        <f t="shared" ref="AB77:AB143" si="75">M77-AA77</f>
        <v>7.9024999999999999</v>
      </c>
      <c r="AC77" s="77">
        <f t="shared" ref="AC77:AC143" si="76">O77-AA77</f>
        <v>6.0222499999999997</v>
      </c>
      <c r="AD77" s="77">
        <f t="shared" ref="AD77:AD143" si="77">AB77/L77%</f>
        <v>69.047619047619051</v>
      </c>
      <c r="AE77" s="77">
        <f t="shared" ref="AE77:AE143" si="78">AC77/N77%</f>
        <v>62.962962962962962</v>
      </c>
      <c r="AF77" s="77">
        <f t="shared" ref="AF77:AF143" si="79">T77-AA77</f>
        <v>5.4214999999999698</v>
      </c>
      <c r="AG77" s="77">
        <f t="shared" ref="AG77:AG143" si="80">AF77/S77%</f>
        <v>60.480812137438505</v>
      </c>
      <c r="AH77" s="77">
        <f t="shared" ref="AH77:AH138" si="81">W77</f>
        <v>10.5</v>
      </c>
      <c r="AI77" s="77">
        <f t="shared" ref="AI77:AI139" si="82">J77</f>
        <v>3.5425</v>
      </c>
      <c r="AJ77" s="77">
        <f t="shared" ref="AJ77:AJ142" si="83">AH77-AI77</f>
        <v>6.9574999999999996</v>
      </c>
      <c r="AK77" s="77">
        <f t="shared" ref="AK77:AK139" si="84">AA77</f>
        <v>0</v>
      </c>
      <c r="AL77" s="77">
        <f t="shared" ref="AL77:AL142" si="85">AJ77-AK77</f>
        <v>6.9574999999999996</v>
      </c>
      <c r="AM77" s="77">
        <f t="shared" ref="AM77:AM142" si="86">AL77/AH77%</f>
        <v>66.261904761904759</v>
      </c>
      <c r="AN77" t="str">
        <f t="shared" si="65"/>
        <v/>
      </c>
      <c r="AO77" t="s">
        <v>327</v>
      </c>
      <c r="AP77" t="str">
        <f t="shared" si="66"/>
        <v>12V105F</v>
      </c>
      <c r="AQ77">
        <f>_xlfn.XLOOKUP(A77,'SYS Allocations'!A:A,'SYS Allocations'!B:B)</f>
        <v>0</v>
      </c>
      <c r="AR77">
        <f>_xlfn.XLOOKUP(A77,'SYS Allocations'!A:A,'SYS Allocations'!C:C)</f>
        <v>0</v>
      </c>
      <c r="AS77">
        <f>_xlfn.XLOOKUP(A77,'SYS Allocations'!A:A,'SYS Allocations'!D:D)</f>
        <v>0</v>
      </c>
      <c r="AT77">
        <f>_xlfn.XLOOKUP(A77,'SYS Allocations'!A:A,'SYS Allocations'!E:E)</f>
        <v>0</v>
      </c>
      <c r="AU77">
        <f>_xlfn.XLOOKUP(A77,'SYS Allocations'!A:A,'SYS Allocations'!F:F)</f>
        <v>0</v>
      </c>
      <c r="BA77" t="str">
        <f t="shared" si="67"/>
        <v>12V105F</v>
      </c>
    </row>
    <row r="78" spans="1:53">
      <c r="A78" s="35" t="s">
        <v>94</v>
      </c>
      <c r="B78" t="s">
        <v>421</v>
      </c>
      <c r="C78" t="s">
        <v>513</v>
      </c>
      <c r="D78" t="s">
        <v>319</v>
      </c>
      <c r="E78" t="s">
        <v>514</v>
      </c>
      <c r="F78" t="s">
        <v>321</v>
      </c>
      <c r="G78">
        <v>36.6</v>
      </c>
      <c r="H78">
        <v>9</v>
      </c>
      <c r="I78">
        <v>123</v>
      </c>
      <c r="J78">
        <v>6.7035</v>
      </c>
      <c r="K78" s="64">
        <v>45600</v>
      </c>
      <c r="L78">
        <v>12.766080000000001</v>
      </c>
      <c r="M78">
        <v>6.0625799999999996</v>
      </c>
      <c r="N78">
        <v>9.4720999999999993</v>
      </c>
      <c r="O78">
        <v>2.7686000000000002</v>
      </c>
      <c r="P78" t="s">
        <v>325</v>
      </c>
      <c r="Q78" t="s">
        <v>333</v>
      </c>
      <c r="R78" t="s">
        <v>366</v>
      </c>
      <c r="S78">
        <v>10.1088</v>
      </c>
      <c r="T78">
        <v>3.40529999999998</v>
      </c>
      <c r="U78" t="s">
        <v>322</v>
      </c>
      <c r="V78" t="s">
        <v>515</v>
      </c>
      <c r="W78">
        <v>30</v>
      </c>
      <c r="X78">
        <v>23.296500000000002</v>
      </c>
      <c r="Y78">
        <v>8</v>
      </c>
      <c r="AB78" s="77">
        <f t="shared" si="75"/>
        <v>6.0625799999999996</v>
      </c>
      <c r="AC78" s="77">
        <f t="shared" si="76"/>
        <v>2.7686000000000002</v>
      </c>
      <c r="AD78" s="77">
        <f t="shared" si="77"/>
        <v>47.489754098360649</v>
      </c>
      <c r="AE78" s="77">
        <f t="shared" si="78"/>
        <v>29.228998849252015</v>
      </c>
      <c r="AF78" s="77">
        <f t="shared" si="79"/>
        <v>3.40529999999998</v>
      </c>
      <c r="AG78" s="77">
        <f t="shared" si="80"/>
        <v>33.686490978157444</v>
      </c>
      <c r="AH78" s="77">
        <f t="shared" si="81"/>
        <v>30</v>
      </c>
      <c r="AI78" s="77">
        <f t="shared" si="82"/>
        <v>6.7035</v>
      </c>
      <c r="AJ78" s="77">
        <f t="shared" si="83"/>
        <v>23.296500000000002</v>
      </c>
      <c r="AK78" s="77">
        <f t="shared" si="84"/>
        <v>0</v>
      </c>
      <c r="AL78" s="77">
        <f t="shared" si="85"/>
        <v>23.296500000000002</v>
      </c>
      <c r="AM78" s="77">
        <f t="shared" si="86"/>
        <v>77.655000000000015</v>
      </c>
      <c r="AN78" t="str">
        <f t="shared" si="65"/>
        <v/>
      </c>
      <c r="AO78" t="s">
        <v>327</v>
      </c>
      <c r="AP78" t="str">
        <f t="shared" si="66"/>
        <v>2DDm85-15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7"/>
        <v>2DDm85-15</v>
      </c>
    </row>
    <row r="79" spans="1:53">
      <c r="A79" s="35" t="s">
        <v>95</v>
      </c>
      <c r="B79" t="s">
        <v>372</v>
      </c>
      <c r="C79" t="s">
        <v>516</v>
      </c>
      <c r="D79" t="s">
        <v>319</v>
      </c>
      <c r="E79" t="s">
        <v>517</v>
      </c>
      <c r="F79" t="s">
        <v>321</v>
      </c>
      <c r="G79">
        <v>36.6</v>
      </c>
      <c r="H79">
        <v>17</v>
      </c>
      <c r="I79">
        <v>60</v>
      </c>
      <c r="J79">
        <v>3.27</v>
      </c>
      <c r="K79" s="64">
        <v>45600</v>
      </c>
      <c r="L79">
        <v>25.532160000000001</v>
      </c>
      <c r="M79">
        <v>22.262160000000002</v>
      </c>
      <c r="N79">
        <v>20.7972</v>
      </c>
      <c r="O79">
        <v>17.527200000000001</v>
      </c>
      <c r="P79" t="s">
        <v>325</v>
      </c>
      <c r="Q79" t="s">
        <v>333</v>
      </c>
      <c r="R79" t="s">
        <v>334</v>
      </c>
      <c r="S79">
        <v>17.409600000000001</v>
      </c>
      <c r="T79">
        <v>14.1396</v>
      </c>
      <c r="U79" t="s">
        <v>339</v>
      </c>
      <c r="V79" t="s">
        <v>518</v>
      </c>
      <c r="W79">
        <v>49.5</v>
      </c>
      <c r="X79">
        <v>46.23</v>
      </c>
      <c r="Y79">
        <v>20</v>
      </c>
      <c r="AB79" s="77">
        <f t="shared" si="75"/>
        <v>22.262160000000002</v>
      </c>
      <c r="AC79" s="77">
        <f t="shared" si="76"/>
        <v>17.527200000000001</v>
      </c>
      <c r="AD79" s="77">
        <f t="shared" si="77"/>
        <v>87.192622950819668</v>
      </c>
      <c r="AE79" s="77">
        <f t="shared" si="78"/>
        <v>84.276729559748432</v>
      </c>
      <c r="AF79" s="77">
        <f t="shared" si="79"/>
        <v>14.1396</v>
      </c>
      <c r="AG79" s="77">
        <f t="shared" si="80"/>
        <v>81.217259443065899</v>
      </c>
      <c r="AH79" s="337">
        <f>AVERAGE(W79:W80)</f>
        <v>49.5</v>
      </c>
      <c r="AI79" s="337">
        <f>SUM(J79:J80)</f>
        <v>4.8505000000000003</v>
      </c>
      <c r="AJ79" s="337">
        <f>AH79-AI79</f>
        <v>44.649500000000003</v>
      </c>
      <c r="AK79" s="337">
        <f>SUM(AA79:AA80)</f>
        <v>0</v>
      </c>
      <c r="AL79" s="337">
        <f t="shared" si="85"/>
        <v>44.649500000000003</v>
      </c>
      <c r="AM79" s="338">
        <f t="shared" si="86"/>
        <v>90.201010101010112</v>
      </c>
      <c r="AN79" t="str">
        <f t="shared" si="65"/>
        <v/>
      </c>
      <c r="AO79" t="s">
        <v>395</v>
      </c>
      <c r="AP79" t="str">
        <f t="shared" si="66"/>
        <v>DDm85-25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 t="str">
        <f>_xlfn.XLOOKUP(A79,'SYS Allocations'!A:A,'SYS Allocations'!E:E)</f>
        <v>AM</v>
      </c>
      <c r="AU79">
        <f>_xlfn.XLOOKUP(A79,'SYS Allocations'!A:A,'SYS Allocations'!F:F)</f>
        <v>0</v>
      </c>
      <c r="BA79" t="str">
        <f t="shared" si="67"/>
        <v>DDm85-25</v>
      </c>
    </row>
    <row r="80" spans="1:53">
      <c r="A80" s="35" t="s">
        <v>96</v>
      </c>
      <c r="B80" t="s">
        <v>372</v>
      </c>
      <c r="C80" t="s">
        <v>516</v>
      </c>
      <c r="D80" t="s">
        <v>319</v>
      </c>
      <c r="E80" t="s">
        <v>517</v>
      </c>
      <c r="F80" t="s">
        <v>321</v>
      </c>
      <c r="G80">
        <v>36.6</v>
      </c>
      <c r="H80">
        <v>17</v>
      </c>
      <c r="I80">
        <v>29</v>
      </c>
      <c r="J80">
        <v>1.5805</v>
      </c>
      <c r="K80" s="64">
        <v>45600</v>
      </c>
      <c r="L80">
        <v>25.532160000000001</v>
      </c>
      <c r="M80">
        <v>23.95166</v>
      </c>
      <c r="N80">
        <v>20.7972</v>
      </c>
      <c r="O80">
        <v>19.216699999999999</v>
      </c>
      <c r="P80" t="s">
        <v>325</v>
      </c>
      <c r="Q80" t="s">
        <v>333</v>
      </c>
      <c r="R80" t="s">
        <v>334</v>
      </c>
      <c r="S80">
        <v>17.409600000000001</v>
      </c>
      <c r="T80">
        <v>15.8291</v>
      </c>
      <c r="U80" t="s">
        <v>339</v>
      </c>
      <c r="V80" t="s">
        <v>518</v>
      </c>
      <c r="W80">
        <v>49.5</v>
      </c>
      <c r="X80">
        <v>47.919499999999999</v>
      </c>
      <c r="Y80">
        <v>20</v>
      </c>
      <c r="AB80" s="77">
        <f t="shared" si="75"/>
        <v>23.95166</v>
      </c>
      <c r="AC80" s="77">
        <f t="shared" si="76"/>
        <v>19.216699999999999</v>
      </c>
      <c r="AD80" s="77">
        <f t="shared" ref="AD80" si="87">AB80/L80%</f>
        <v>93.809767759562831</v>
      </c>
      <c r="AE80" s="77">
        <f t="shared" ref="AE80" si="88">AC80/N80%</f>
        <v>92.400419287211747</v>
      </c>
      <c r="AF80" s="77">
        <f t="shared" ref="AF80" si="89">T80-AA80</f>
        <v>15.8291</v>
      </c>
      <c r="AG80" s="77">
        <f t="shared" ref="AG80" si="90">AF80/S80%</f>
        <v>90.921675397481849</v>
      </c>
      <c r="AH80" s="337"/>
      <c r="AI80" s="337"/>
      <c r="AJ80" s="337"/>
      <c r="AK80" s="337"/>
      <c r="AL80" s="337"/>
      <c r="AM80" s="338"/>
      <c r="AN80" t="str">
        <f t="shared" si="65"/>
        <v/>
      </c>
      <c r="AO80" t="s">
        <v>395</v>
      </c>
      <c r="AP80" t="str">
        <f t="shared" si="6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>
        <f>_xlfn.XLOOKUP(A80,'SYS Allocations'!A:A,'SYS Allocations'!E:E)</f>
        <v>0</v>
      </c>
      <c r="AU80">
        <f>_xlfn.XLOOKUP(A80,'SYS Allocations'!A:A,'SYS Allocations'!F:F)</f>
        <v>0</v>
      </c>
      <c r="BA80" t="str">
        <f t="shared" si="67"/>
        <v>DDm85-25</v>
      </c>
    </row>
    <row r="81" spans="1:53">
      <c r="A81" s="35" t="s">
        <v>97</v>
      </c>
      <c r="B81" t="s">
        <v>421</v>
      </c>
      <c r="C81" t="s">
        <v>519</v>
      </c>
      <c r="D81" t="s">
        <v>319</v>
      </c>
      <c r="E81" t="s">
        <v>520</v>
      </c>
      <c r="F81" t="s">
        <v>399</v>
      </c>
      <c r="G81">
        <v>50</v>
      </c>
      <c r="H81">
        <v>12</v>
      </c>
      <c r="I81">
        <v>54.7</v>
      </c>
      <c r="J81">
        <v>2.98115</v>
      </c>
      <c r="K81" s="64">
        <v>44594.708333333299</v>
      </c>
      <c r="L81">
        <v>23.98</v>
      </c>
      <c r="M81">
        <v>20.998850000000001</v>
      </c>
      <c r="N81">
        <v>23.4895</v>
      </c>
      <c r="O81">
        <v>20.50835</v>
      </c>
      <c r="P81" t="s">
        <v>325</v>
      </c>
      <c r="Q81" t="s">
        <v>333</v>
      </c>
      <c r="R81" t="s">
        <v>366</v>
      </c>
      <c r="S81">
        <v>10.1088</v>
      </c>
      <c r="T81">
        <v>7.1276499999999796</v>
      </c>
      <c r="U81" t="s">
        <v>339</v>
      </c>
      <c r="V81" t="s">
        <v>487</v>
      </c>
      <c r="W81">
        <v>16.875</v>
      </c>
      <c r="X81">
        <v>13.89385</v>
      </c>
      <c r="Y81">
        <v>7</v>
      </c>
      <c r="AB81" s="77">
        <f t="shared" si="75"/>
        <v>20.998850000000001</v>
      </c>
      <c r="AC81" s="77">
        <f t="shared" si="76"/>
        <v>20.50835</v>
      </c>
      <c r="AD81" s="77">
        <f t="shared" si="77"/>
        <v>87.568181818181813</v>
      </c>
      <c r="AE81" s="77">
        <f t="shared" si="78"/>
        <v>87.30858468677495</v>
      </c>
      <c r="AF81" s="77">
        <f t="shared" si="79"/>
        <v>7.1276499999999796</v>
      </c>
      <c r="AG81" s="77">
        <f t="shared" si="80"/>
        <v>70.509358182969081</v>
      </c>
      <c r="AH81" s="77">
        <f t="shared" si="81"/>
        <v>16.875</v>
      </c>
      <c r="AI81" s="77">
        <f t="shared" si="82"/>
        <v>2.98115</v>
      </c>
      <c r="AJ81" s="77">
        <f t="shared" si="83"/>
        <v>13.89385</v>
      </c>
      <c r="AK81" s="77">
        <f t="shared" si="84"/>
        <v>0</v>
      </c>
      <c r="AL81" s="77">
        <f t="shared" si="85"/>
        <v>13.89385</v>
      </c>
      <c r="AM81" s="77">
        <f t="shared" si="86"/>
        <v>82.333925925925925</v>
      </c>
      <c r="AN81" t="str">
        <f t="shared" si="65"/>
        <v/>
      </c>
      <c r="AO81" t="s">
        <v>327</v>
      </c>
      <c r="AP81" t="str">
        <f t="shared" si="66"/>
        <v>2DDm85-15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7"/>
        <v>2DDm85-15</v>
      </c>
    </row>
    <row r="82" spans="1:53">
      <c r="A82" s="35" t="s">
        <v>98</v>
      </c>
      <c r="B82" t="s">
        <v>421</v>
      </c>
      <c r="C82" t="s">
        <v>519</v>
      </c>
      <c r="D82" t="s">
        <v>319</v>
      </c>
      <c r="E82" t="s">
        <v>521</v>
      </c>
      <c r="F82" t="s">
        <v>321</v>
      </c>
      <c r="G82">
        <v>36.6</v>
      </c>
      <c r="H82">
        <v>9</v>
      </c>
      <c r="I82">
        <v>158</v>
      </c>
      <c r="J82">
        <v>8.6110000000000007</v>
      </c>
      <c r="K82" s="64">
        <v>45600</v>
      </c>
      <c r="L82">
        <v>12.766080000000001</v>
      </c>
      <c r="M82">
        <v>4.1550799999999999</v>
      </c>
      <c r="N82">
        <v>9.4720999999999993</v>
      </c>
      <c r="O82">
        <v>0.86110000000000098</v>
      </c>
      <c r="P82" t="s">
        <v>325</v>
      </c>
      <c r="Q82" t="s">
        <v>333</v>
      </c>
      <c r="R82" t="s">
        <v>366</v>
      </c>
      <c r="S82">
        <v>10.1088</v>
      </c>
      <c r="T82">
        <v>1.49779999999998</v>
      </c>
      <c r="U82" t="s">
        <v>325</v>
      </c>
      <c r="V82" t="s">
        <v>522</v>
      </c>
      <c r="W82">
        <v>18.75</v>
      </c>
      <c r="X82">
        <v>10.138999999999999</v>
      </c>
      <c r="Y82">
        <v>51</v>
      </c>
      <c r="AB82" s="77">
        <f t="shared" si="75"/>
        <v>4.1550799999999999</v>
      </c>
      <c r="AC82" s="77">
        <f t="shared" si="76"/>
        <v>0.86110000000000098</v>
      </c>
      <c r="AD82" s="77">
        <f t="shared" si="77"/>
        <v>32.547814207650269</v>
      </c>
      <c r="AE82" s="77">
        <f t="shared" si="78"/>
        <v>9.0909090909091006</v>
      </c>
      <c r="AF82" s="77">
        <f t="shared" si="79"/>
        <v>1.49779999999998</v>
      </c>
      <c r="AG82" s="77">
        <f t="shared" si="80"/>
        <v>14.816793289015312</v>
      </c>
      <c r="AH82" s="77">
        <f t="shared" si="81"/>
        <v>18.75</v>
      </c>
      <c r="AI82" s="77">
        <f t="shared" si="82"/>
        <v>8.6110000000000007</v>
      </c>
      <c r="AJ82" s="77">
        <f t="shared" si="83"/>
        <v>10.138999999999999</v>
      </c>
      <c r="AK82" s="77">
        <f t="shared" si="84"/>
        <v>0</v>
      </c>
      <c r="AL82" s="77">
        <f t="shared" si="85"/>
        <v>10.138999999999999</v>
      </c>
      <c r="AM82" s="77">
        <f t="shared" si="86"/>
        <v>54.074666666666666</v>
      </c>
      <c r="AN82" t="str">
        <f t="shared" si="65"/>
        <v/>
      </c>
      <c r="AO82" t="s">
        <v>327</v>
      </c>
      <c r="AP82" t="str">
        <f t="shared" si="66"/>
        <v>2DDm85-15</v>
      </c>
      <c r="AQ82">
        <f>_xlfn.XLOOKUP(A82,'SYS Allocations'!A:A,'SYS Allocations'!B:B)</f>
        <v>0</v>
      </c>
      <c r="AR82" t="str">
        <f>_xlfn.XLOOKUP(A82,'SYS Allocations'!A:A,'SYS Allocations'!C:C)</f>
        <v>RA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7"/>
        <v>2DDm85-15</v>
      </c>
    </row>
    <row r="83" spans="1:53">
      <c r="A83" s="35" t="s">
        <v>99</v>
      </c>
      <c r="B83" t="s">
        <v>344</v>
      </c>
      <c r="C83" t="s">
        <v>523</v>
      </c>
      <c r="D83" t="s">
        <v>392</v>
      </c>
      <c r="E83" t="s">
        <v>524</v>
      </c>
      <c r="F83" t="s">
        <v>332</v>
      </c>
      <c r="G83">
        <v>75</v>
      </c>
      <c r="H83">
        <v>28</v>
      </c>
      <c r="I83">
        <v>900</v>
      </c>
      <c r="J83">
        <v>49.05</v>
      </c>
      <c r="K83" s="64">
        <v>45127</v>
      </c>
      <c r="L83">
        <v>88.29</v>
      </c>
      <c r="M83">
        <v>39.24</v>
      </c>
      <c r="N83">
        <v>66.762500000000003</v>
      </c>
      <c r="O83">
        <v>17.712499999999999</v>
      </c>
      <c r="P83" t="s">
        <v>346</v>
      </c>
      <c r="Q83" t="s">
        <v>333</v>
      </c>
      <c r="R83" t="s">
        <v>405</v>
      </c>
      <c r="S83">
        <v>70.308000000000007</v>
      </c>
      <c r="T83">
        <v>21.257999999999999</v>
      </c>
      <c r="U83" t="s">
        <v>322</v>
      </c>
      <c r="V83" t="s">
        <v>343</v>
      </c>
      <c r="W83">
        <v>45</v>
      </c>
      <c r="X83">
        <v>-4.05</v>
      </c>
      <c r="Y83">
        <v>6</v>
      </c>
      <c r="Z83" t="s">
        <v>8</v>
      </c>
      <c r="AB83" s="77">
        <f t="shared" si="75"/>
        <v>39.24</v>
      </c>
      <c r="AC83" s="77">
        <f t="shared" si="76"/>
        <v>17.712499999999999</v>
      </c>
      <c r="AD83" s="77">
        <f t="shared" si="77"/>
        <v>44.444444444444443</v>
      </c>
      <c r="AE83" s="77">
        <f t="shared" si="78"/>
        <v>26.530612244897956</v>
      </c>
      <c r="AF83" s="77">
        <f t="shared" si="79"/>
        <v>21.257999999999999</v>
      </c>
      <c r="AG83" s="77">
        <f t="shared" si="80"/>
        <v>30.235535074244748</v>
      </c>
      <c r="AH83" s="77">
        <f>'Multiroom cooling'!F7</f>
        <v>72</v>
      </c>
      <c r="AI83" s="77">
        <f t="shared" si="82"/>
        <v>49.05</v>
      </c>
      <c r="AJ83" s="77">
        <f t="shared" si="83"/>
        <v>22.950000000000003</v>
      </c>
      <c r="AK83" s="77">
        <f t="shared" si="84"/>
        <v>0</v>
      </c>
      <c r="AL83" s="77">
        <f t="shared" si="85"/>
        <v>22.950000000000003</v>
      </c>
      <c r="AM83" s="77">
        <f t="shared" si="86"/>
        <v>31.875000000000004</v>
      </c>
      <c r="AN83" t="str">
        <f t="shared" si="65"/>
        <v>Capped</v>
      </c>
      <c r="AO83" t="s">
        <v>327</v>
      </c>
      <c r="AP83" t="str">
        <f t="shared" si="66"/>
        <v>DDm100-33</v>
      </c>
      <c r="AQ83">
        <f>_xlfn.XLOOKUP(A83,'SYS Allocations'!A:A,'SYS Allocations'!B:B)</f>
        <v>0</v>
      </c>
      <c r="AR83">
        <f>_xlfn.XLOOKUP(A83,'SYS Allocations'!A:A,'SYS Allocations'!C:C)</f>
        <v>0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7"/>
        <v>DDm100-33</v>
      </c>
    </row>
    <row r="84" spans="1:53">
      <c r="A84" s="35" t="s">
        <v>100</v>
      </c>
      <c r="B84" t="s">
        <v>377</v>
      </c>
      <c r="C84" t="s">
        <v>525</v>
      </c>
      <c r="D84" t="s">
        <v>319</v>
      </c>
      <c r="E84" t="s">
        <v>526</v>
      </c>
      <c r="F84" t="s">
        <v>321</v>
      </c>
      <c r="G84">
        <v>36.6</v>
      </c>
      <c r="H84">
        <v>19</v>
      </c>
      <c r="I84">
        <v>225</v>
      </c>
      <c r="J84">
        <v>12.262499999999999</v>
      </c>
      <c r="K84" s="64">
        <v>44530.708333333299</v>
      </c>
      <c r="L84">
        <v>28.723680000000002</v>
      </c>
      <c r="M84">
        <v>16.461179999999999</v>
      </c>
      <c r="N84">
        <v>23.740200000000002</v>
      </c>
      <c r="O84">
        <v>11.4777</v>
      </c>
      <c r="P84" t="s">
        <v>325</v>
      </c>
      <c r="Q84" t="s">
        <v>387</v>
      </c>
      <c r="R84" t="s">
        <v>527</v>
      </c>
      <c r="S84">
        <v>25.012799999999999</v>
      </c>
      <c r="T84">
        <v>12.750299999999999</v>
      </c>
      <c r="U84" t="s">
        <v>375</v>
      </c>
      <c r="V84" t="s">
        <v>528</v>
      </c>
      <c r="W84">
        <v>32.25</v>
      </c>
      <c r="X84">
        <v>19.987500000000001</v>
      </c>
      <c r="Y84">
        <v>18</v>
      </c>
      <c r="AB84" s="77">
        <f t="shared" si="75"/>
        <v>16.461179999999999</v>
      </c>
      <c r="AC84" s="77">
        <f t="shared" si="76"/>
        <v>11.4777</v>
      </c>
      <c r="AD84" s="77">
        <f t="shared" si="77"/>
        <v>57.308743169398902</v>
      </c>
      <c r="AE84" s="77">
        <f t="shared" si="78"/>
        <v>48.347107438016529</v>
      </c>
      <c r="AF84" s="77">
        <f t="shared" si="79"/>
        <v>12.750299999999999</v>
      </c>
      <c r="AG84" s="77">
        <f t="shared" si="80"/>
        <v>50.975100748416814</v>
      </c>
      <c r="AH84" s="77">
        <f t="shared" si="81"/>
        <v>32.25</v>
      </c>
      <c r="AI84" s="77">
        <f t="shared" si="82"/>
        <v>12.262499999999999</v>
      </c>
      <c r="AJ84" s="77">
        <f t="shared" si="83"/>
        <v>19.987500000000001</v>
      </c>
      <c r="AK84" s="77">
        <f t="shared" si="84"/>
        <v>0</v>
      </c>
      <c r="AL84" s="77">
        <f t="shared" si="85"/>
        <v>19.987500000000001</v>
      </c>
      <c r="AM84" s="77">
        <f t="shared" si="86"/>
        <v>61.97674418604651</v>
      </c>
      <c r="AN84" t="str">
        <f t="shared" si="65"/>
        <v/>
      </c>
      <c r="AO84" t="s">
        <v>327</v>
      </c>
      <c r="AP84" t="str">
        <f t="shared" si="66"/>
        <v>2SLA1500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7"/>
        <v>2SLA1500</v>
      </c>
    </row>
    <row r="85" spans="1:53">
      <c r="A85" s="35" t="s">
        <v>101</v>
      </c>
      <c r="B85" t="s">
        <v>363</v>
      </c>
      <c r="C85" t="s">
        <v>529</v>
      </c>
      <c r="D85" t="s">
        <v>319</v>
      </c>
      <c r="E85" t="s">
        <v>530</v>
      </c>
      <c r="F85" t="s">
        <v>384</v>
      </c>
      <c r="G85">
        <v>55</v>
      </c>
      <c r="H85">
        <v>8</v>
      </c>
      <c r="I85">
        <v>69</v>
      </c>
      <c r="J85">
        <v>3.7605</v>
      </c>
      <c r="K85" s="64">
        <v>45600</v>
      </c>
      <c r="L85">
        <v>16.786000000000001</v>
      </c>
      <c r="M85">
        <v>13.025499999999999</v>
      </c>
      <c r="N85">
        <v>14.62562</v>
      </c>
      <c r="O85">
        <v>10.865119999999999</v>
      </c>
      <c r="P85" t="s">
        <v>322</v>
      </c>
      <c r="Q85" t="s">
        <v>323</v>
      </c>
      <c r="R85" t="s">
        <v>324</v>
      </c>
      <c r="S85">
        <v>13.154400000000001</v>
      </c>
      <c r="T85">
        <v>9.3939000000000092</v>
      </c>
      <c r="U85" t="s">
        <v>375</v>
      </c>
      <c r="V85" t="s">
        <v>343</v>
      </c>
      <c r="W85">
        <v>45</v>
      </c>
      <c r="X85">
        <v>41.2395</v>
      </c>
      <c r="Y85">
        <v>11</v>
      </c>
      <c r="AB85" s="77">
        <f t="shared" si="75"/>
        <v>13.025499999999999</v>
      </c>
      <c r="AC85" s="77">
        <f t="shared" si="76"/>
        <v>10.865119999999999</v>
      </c>
      <c r="AD85" s="77">
        <f t="shared" si="77"/>
        <v>77.597402597402592</v>
      </c>
      <c r="AE85" s="77">
        <f t="shared" si="78"/>
        <v>74.288269488746451</v>
      </c>
      <c r="AF85" s="77">
        <f t="shared" si="79"/>
        <v>9.3939000000000092</v>
      </c>
      <c r="AG85" s="77">
        <f t="shared" si="80"/>
        <v>71.412607188469337</v>
      </c>
      <c r="AH85" s="77">
        <f t="shared" si="81"/>
        <v>45</v>
      </c>
      <c r="AI85" s="77">
        <f t="shared" si="82"/>
        <v>3.7605</v>
      </c>
      <c r="AJ85" s="77">
        <f t="shared" si="83"/>
        <v>41.2395</v>
      </c>
      <c r="AK85" s="77">
        <f t="shared" si="84"/>
        <v>0</v>
      </c>
      <c r="AL85" s="77">
        <f t="shared" si="85"/>
        <v>41.2395</v>
      </c>
      <c r="AM85" s="77">
        <f t="shared" si="86"/>
        <v>91.643333333333331</v>
      </c>
      <c r="AN85" t="str">
        <f t="shared" si="65"/>
        <v/>
      </c>
      <c r="AO85" t="s">
        <v>327</v>
      </c>
      <c r="AP85" t="str">
        <f t="shared" si="66"/>
        <v>EN480-2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7"/>
        <v>EN480-2</v>
      </c>
    </row>
    <row r="86" spans="1:53">
      <c r="A86" s="35" t="s">
        <v>102</v>
      </c>
      <c r="B86" t="s">
        <v>328</v>
      </c>
      <c r="C86" t="s">
        <v>531</v>
      </c>
      <c r="D86" t="s">
        <v>319</v>
      </c>
      <c r="E86" t="s">
        <v>532</v>
      </c>
      <c r="F86" t="s">
        <v>321</v>
      </c>
      <c r="G86">
        <v>36.6</v>
      </c>
      <c r="H86">
        <v>8</v>
      </c>
      <c r="I86">
        <v>112</v>
      </c>
      <c r="J86">
        <v>6.1040000000000001</v>
      </c>
      <c r="K86" s="64">
        <v>45600</v>
      </c>
      <c r="L86">
        <v>11.17032</v>
      </c>
      <c r="M86">
        <v>5.0663200000000002</v>
      </c>
      <c r="N86">
        <v>11.510400000000001</v>
      </c>
      <c r="O86">
        <v>5.4063999999999997</v>
      </c>
      <c r="P86" t="s">
        <v>322</v>
      </c>
      <c r="Q86" t="s">
        <v>333</v>
      </c>
      <c r="R86" t="s">
        <v>533</v>
      </c>
      <c r="S86">
        <v>11.689920000000001</v>
      </c>
      <c r="T86">
        <v>5.5859199999999696</v>
      </c>
      <c r="U86" t="s">
        <v>325</v>
      </c>
      <c r="V86" t="s">
        <v>512</v>
      </c>
      <c r="W86">
        <v>10.5</v>
      </c>
      <c r="X86">
        <v>4.3959999999999999</v>
      </c>
      <c r="Y86">
        <v>47</v>
      </c>
      <c r="AB86" s="77">
        <f t="shared" si="75"/>
        <v>5.0663200000000002</v>
      </c>
      <c r="AC86" s="77">
        <f t="shared" si="76"/>
        <v>5.4063999999999997</v>
      </c>
      <c r="AD86" s="77">
        <f t="shared" si="77"/>
        <v>45.355191256830601</v>
      </c>
      <c r="AE86" s="77">
        <f t="shared" si="78"/>
        <v>46.969696969696962</v>
      </c>
      <c r="AF86" s="77">
        <f t="shared" si="79"/>
        <v>5.5859199999999696</v>
      </c>
      <c r="AG86" s="77">
        <f t="shared" si="80"/>
        <v>47.784073800333701</v>
      </c>
      <c r="AH86" s="77">
        <f t="shared" si="81"/>
        <v>10.5</v>
      </c>
      <c r="AI86" s="77">
        <f t="shared" si="82"/>
        <v>6.1040000000000001</v>
      </c>
      <c r="AJ86" s="77">
        <f t="shared" si="83"/>
        <v>4.3959999999999999</v>
      </c>
      <c r="AK86" s="77">
        <f t="shared" si="84"/>
        <v>0</v>
      </c>
      <c r="AL86" s="77">
        <f t="shared" si="85"/>
        <v>4.3959999999999999</v>
      </c>
      <c r="AM86" s="77">
        <f t="shared" si="86"/>
        <v>41.866666666666667</v>
      </c>
      <c r="AN86" t="str">
        <f t="shared" si="65"/>
        <v/>
      </c>
      <c r="AO86" t="s">
        <v>327</v>
      </c>
      <c r="AP86" t="str">
        <f t="shared" si="66"/>
        <v>SBS XL 150F-FT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7"/>
        <v xml:space="preserve">SBS XL 150F-FT </v>
      </c>
    </row>
    <row r="87" spans="1:53">
      <c r="A87" s="35" t="s">
        <v>103</v>
      </c>
      <c r="B87" t="s">
        <v>328</v>
      </c>
      <c r="C87" t="s">
        <v>531</v>
      </c>
      <c r="D87" t="s">
        <v>319</v>
      </c>
      <c r="E87" t="s">
        <v>534</v>
      </c>
      <c r="F87" t="s">
        <v>353</v>
      </c>
      <c r="G87">
        <v>22</v>
      </c>
      <c r="H87">
        <v>6</v>
      </c>
      <c r="I87">
        <v>33</v>
      </c>
      <c r="J87">
        <v>1.7985</v>
      </c>
      <c r="K87" s="64">
        <v>44445.381944444402</v>
      </c>
      <c r="L87">
        <v>4.7960000000000003</v>
      </c>
      <c r="M87">
        <v>2.9975000000000001</v>
      </c>
      <c r="N87">
        <v>5.8315000000000001</v>
      </c>
      <c r="O87">
        <v>4.0330000000000004</v>
      </c>
      <c r="P87" t="s">
        <v>322</v>
      </c>
      <c r="Q87" t="s">
        <v>333</v>
      </c>
      <c r="R87" t="s">
        <v>535</v>
      </c>
      <c r="S87">
        <v>2.8252799999999998</v>
      </c>
      <c r="T87">
        <v>1.02678</v>
      </c>
      <c r="U87" t="s">
        <v>325</v>
      </c>
      <c r="V87" t="s">
        <v>326</v>
      </c>
      <c r="W87">
        <v>7.5</v>
      </c>
      <c r="X87">
        <v>5.7015000000000002</v>
      </c>
      <c r="Y87">
        <v>0</v>
      </c>
      <c r="AB87" s="77">
        <f t="shared" si="75"/>
        <v>2.9975000000000001</v>
      </c>
      <c r="AC87" s="77">
        <f t="shared" si="76"/>
        <v>4.0330000000000004</v>
      </c>
      <c r="AD87" s="77">
        <f t="shared" si="77"/>
        <v>62.5</v>
      </c>
      <c r="AE87" s="77">
        <f t="shared" si="78"/>
        <v>69.158878504672899</v>
      </c>
      <c r="AF87" s="77">
        <f t="shared" si="79"/>
        <v>1.02678</v>
      </c>
      <c r="AG87" s="77">
        <f t="shared" si="80"/>
        <v>36.342592592592595</v>
      </c>
      <c r="AH87" s="77">
        <f t="shared" si="81"/>
        <v>7.5</v>
      </c>
      <c r="AI87" s="77">
        <f t="shared" si="82"/>
        <v>1.7985</v>
      </c>
      <c r="AJ87" s="77">
        <f t="shared" si="83"/>
        <v>5.7015000000000002</v>
      </c>
      <c r="AK87" s="77">
        <f t="shared" si="84"/>
        <v>0</v>
      </c>
      <c r="AL87" s="77">
        <f t="shared" si="85"/>
        <v>5.7015000000000002</v>
      </c>
      <c r="AM87" s="77">
        <f t="shared" si="86"/>
        <v>76.02000000000001</v>
      </c>
      <c r="AN87" t="str">
        <f t="shared" si="65"/>
        <v/>
      </c>
      <c r="AO87" t="s">
        <v>327</v>
      </c>
      <c r="AP87" t="str">
        <f t="shared" si="66"/>
        <v>SBS 12V100F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7"/>
        <v>SBS 12V100F</v>
      </c>
    </row>
    <row r="88" spans="1:53">
      <c r="A88" s="35" t="s">
        <v>104</v>
      </c>
      <c r="B88" t="s">
        <v>421</v>
      </c>
      <c r="C88" t="s">
        <v>536</v>
      </c>
      <c r="D88" t="s">
        <v>319</v>
      </c>
      <c r="E88" t="s">
        <v>537</v>
      </c>
      <c r="F88" t="s">
        <v>332</v>
      </c>
      <c r="G88">
        <v>75</v>
      </c>
      <c r="H88">
        <v>6</v>
      </c>
      <c r="I88">
        <v>71</v>
      </c>
      <c r="J88">
        <v>3.8694999999999999</v>
      </c>
      <c r="K88" s="64">
        <v>45600</v>
      </c>
      <c r="L88">
        <v>16.350000000000001</v>
      </c>
      <c r="M88">
        <v>12.480499999999999</v>
      </c>
      <c r="N88">
        <v>16.7315</v>
      </c>
      <c r="O88">
        <v>12.862</v>
      </c>
      <c r="P88" t="s">
        <v>339</v>
      </c>
      <c r="Q88" t="s">
        <v>354</v>
      </c>
      <c r="R88" t="s">
        <v>538</v>
      </c>
      <c r="S88">
        <v>6.6009600000000201</v>
      </c>
      <c r="T88">
        <v>2.73146000000001</v>
      </c>
      <c r="U88" t="s">
        <v>322</v>
      </c>
      <c r="V88" t="s">
        <v>326</v>
      </c>
      <c r="W88">
        <v>7.5</v>
      </c>
      <c r="X88">
        <v>3.6305000000000001</v>
      </c>
      <c r="Y88">
        <v>3</v>
      </c>
      <c r="AB88" s="77">
        <f t="shared" si="75"/>
        <v>12.480499999999999</v>
      </c>
      <c r="AC88" s="77">
        <f t="shared" si="76"/>
        <v>12.862</v>
      </c>
      <c r="AD88" s="77">
        <f t="shared" si="77"/>
        <v>76.333333333333329</v>
      </c>
      <c r="AE88" s="77">
        <f t="shared" si="78"/>
        <v>76.872964169381106</v>
      </c>
      <c r="AF88" s="77">
        <f t="shared" si="79"/>
        <v>2.73146000000001</v>
      </c>
      <c r="AG88" s="77">
        <f t="shared" si="80"/>
        <v>41.379738704673287</v>
      </c>
      <c r="AH88" s="77">
        <f t="shared" si="81"/>
        <v>7.5</v>
      </c>
      <c r="AI88" s="77">
        <f t="shared" si="82"/>
        <v>3.8694999999999999</v>
      </c>
      <c r="AJ88" s="77">
        <f t="shared" si="83"/>
        <v>3.6305000000000001</v>
      </c>
      <c r="AK88" s="77">
        <f t="shared" si="84"/>
        <v>0</v>
      </c>
      <c r="AL88" s="77">
        <f t="shared" si="85"/>
        <v>3.6305000000000001</v>
      </c>
      <c r="AM88" s="77">
        <f t="shared" si="86"/>
        <v>48.406666666666666</v>
      </c>
      <c r="AN88" t="str">
        <f t="shared" si="65"/>
        <v/>
      </c>
      <c r="AO88" t="s">
        <v>327</v>
      </c>
      <c r="AP88" t="str">
        <f t="shared" si="66"/>
        <v>12v170FS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7"/>
        <v>12v170FS</v>
      </c>
    </row>
    <row r="89" spans="1:53">
      <c r="A89" s="35" t="s">
        <v>105</v>
      </c>
      <c r="B89" t="s">
        <v>396</v>
      </c>
      <c r="C89" t="s">
        <v>539</v>
      </c>
      <c r="D89" t="s">
        <v>319</v>
      </c>
      <c r="E89" t="s">
        <v>540</v>
      </c>
      <c r="F89" t="s">
        <v>399</v>
      </c>
      <c r="G89">
        <v>50</v>
      </c>
      <c r="H89">
        <v>5</v>
      </c>
      <c r="I89">
        <v>40</v>
      </c>
      <c r="J89">
        <v>2.1800000000000002</v>
      </c>
      <c r="K89" s="64">
        <v>44574.541666666701</v>
      </c>
      <c r="L89">
        <v>8.7200000000000006</v>
      </c>
      <c r="M89">
        <v>6.54</v>
      </c>
      <c r="N89">
        <v>10.573</v>
      </c>
      <c r="O89">
        <v>8.3930000000000007</v>
      </c>
      <c r="P89" t="s">
        <v>375</v>
      </c>
      <c r="Q89" t="s">
        <v>354</v>
      </c>
      <c r="R89" t="s">
        <v>355</v>
      </c>
      <c r="S89">
        <v>5.1840000000000002</v>
      </c>
      <c r="T89">
        <v>3.004</v>
      </c>
      <c r="U89" t="s">
        <v>325</v>
      </c>
      <c r="V89" t="s">
        <v>442</v>
      </c>
      <c r="W89">
        <v>11.25</v>
      </c>
      <c r="X89">
        <v>9.07</v>
      </c>
      <c r="Y89">
        <v>1</v>
      </c>
      <c r="AB89" s="77">
        <f t="shared" si="75"/>
        <v>6.54</v>
      </c>
      <c r="AC89" s="77">
        <f t="shared" si="76"/>
        <v>8.3930000000000007</v>
      </c>
      <c r="AD89" s="77">
        <f t="shared" si="77"/>
        <v>75</v>
      </c>
      <c r="AE89" s="77">
        <f t="shared" si="78"/>
        <v>79.381443298969074</v>
      </c>
      <c r="AF89" s="77">
        <f t="shared" si="79"/>
        <v>3.004</v>
      </c>
      <c r="AG89" s="77">
        <f t="shared" si="80"/>
        <v>57.947530864197525</v>
      </c>
      <c r="AH89" s="77">
        <f t="shared" si="81"/>
        <v>11.25</v>
      </c>
      <c r="AI89" s="77">
        <f t="shared" si="82"/>
        <v>2.1800000000000002</v>
      </c>
      <c r="AJ89" s="77">
        <f t="shared" si="83"/>
        <v>9.07</v>
      </c>
      <c r="AK89" s="77">
        <f t="shared" si="84"/>
        <v>0</v>
      </c>
      <c r="AL89" s="77">
        <f t="shared" si="85"/>
        <v>9.07</v>
      </c>
      <c r="AM89" s="77">
        <f t="shared" si="86"/>
        <v>80.62222222222222</v>
      </c>
      <c r="AN89" t="str">
        <f t="shared" si="65"/>
        <v/>
      </c>
      <c r="AO89" t="s">
        <v>327</v>
      </c>
      <c r="AP89" t="str">
        <f t="shared" si="66"/>
        <v>SBS C11F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7"/>
        <v>SBS C11F</v>
      </c>
    </row>
    <row r="90" spans="1:53">
      <c r="A90" s="35" t="s">
        <v>106</v>
      </c>
      <c r="B90" t="s">
        <v>344</v>
      </c>
      <c r="C90" t="s">
        <v>344</v>
      </c>
      <c r="D90" t="s">
        <v>319</v>
      </c>
      <c r="E90" t="s">
        <v>541</v>
      </c>
      <c r="F90" t="s">
        <v>321</v>
      </c>
      <c r="G90">
        <v>36.6</v>
      </c>
      <c r="H90">
        <v>57</v>
      </c>
      <c r="I90">
        <v>938</v>
      </c>
      <c r="J90">
        <v>51.121000000000002</v>
      </c>
      <c r="K90" s="64">
        <v>45398</v>
      </c>
      <c r="L90">
        <v>89.362560000000002</v>
      </c>
      <c r="M90">
        <v>38.24156</v>
      </c>
      <c r="N90">
        <v>68.103200000000001</v>
      </c>
      <c r="O90">
        <v>16.982199999999999</v>
      </c>
      <c r="P90" t="s">
        <v>339</v>
      </c>
      <c r="Q90" t="s">
        <v>333</v>
      </c>
      <c r="R90" t="s">
        <v>347</v>
      </c>
      <c r="S90">
        <v>71.107200000000205</v>
      </c>
      <c r="T90">
        <v>19.986200000000199</v>
      </c>
      <c r="U90" t="s">
        <v>375</v>
      </c>
      <c r="V90" t="s">
        <v>542</v>
      </c>
      <c r="W90">
        <v>150</v>
      </c>
      <c r="X90">
        <v>98.879000000000005</v>
      </c>
      <c r="Y90">
        <v>33</v>
      </c>
      <c r="AB90" s="77">
        <f t="shared" si="75"/>
        <v>38.24156</v>
      </c>
      <c r="AC90" s="77">
        <f t="shared" si="76"/>
        <v>16.982199999999999</v>
      </c>
      <c r="AD90" s="77">
        <f t="shared" si="77"/>
        <v>42.793715846994537</v>
      </c>
      <c r="AE90" s="77">
        <f t="shared" si="78"/>
        <v>24.935979513444302</v>
      </c>
      <c r="AF90" s="77">
        <f t="shared" si="79"/>
        <v>19.986200000000199</v>
      </c>
      <c r="AG90" s="77">
        <f t="shared" si="80"/>
        <v>28.107139642680547</v>
      </c>
      <c r="AH90" s="77">
        <f t="shared" si="81"/>
        <v>150</v>
      </c>
      <c r="AI90" s="77">
        <f t="shared" si="82"/>
        <v>51.121000000000002</v>
      </c>
      <c r="AJ90" s="77">
        <f t="shared" si="83"/>
        <v>98.878999999999991</v>
      </c>
      <c r="AK90" s="77">
        <f t="shared" si="84"/>
        <v>0</v>
      </c>
      <c r="AL90" s="77">
        <f t="shared" si="85"/>
        <v>98.878999999999991</v>
      </c>
      <c r="AM90" s="77">
        <f t="shared" si="86"/>
        <v>65.919333333333327</v>
      </c>
      <c r="AN90" t="str">
        <f t="shared" si="65"/>
        <v/>
      </c>
      <c r="AO90" t="s">
        <v>327</v>
      </c>
      <c r="AP90" t="str">
        <f t="shared" si="66"/>
        <v>DDm125-33</v>
      </c>
      <c r="AQ90">
        <f>_xlfn.XLOOKUP(A90,'SYS Allocations'!A:A,'SYS Allocations'!B:B)</f>
        <v>0</v>
      </c>
      <c r="AR90" t="str">
        <f>_xlfn.XLOOKUP(A90,'SYS Allocations'!A:A,'SYS Allocations'!C:C)</f>
        <v>RA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7"/>
        <v>DDm125-33</v>
      </c>
    </row>
    <row r="91" spans="1:53">
      <c r="A91" s="35" t="s">
        <v>107</v>
      </c>
      <c r="B91" t="s">
        <v>328</v>
      </c>
      <c r="C91" t="s">
        <v>543</v>
      </c>
      <c r="D91" t="s">
        <v>319</v>
      </c>
      <c r="E91" t="s">
        <v>544</v>
      </c>
      <c r="F91" t="s">
        <v>321</v>
      </c>
      <c r="G91">
        <v>36.6</v>
      </c>
      <c r="H91">
        <v>6</v>
      </c>
      <c r="I91">
        <v>47</v>
      </c>
      <c r="J91">
        <v>2.5615000000000001</v>
      </c>
      <c r="K91" s="64">
        <v>45600</v>
      </c>
      <c r="L91">
        <v>7.9787999999999997</v>
      </c>
      <c r="M91">
        <v>5.4173</v>
      </c>
      <c r="N91">
        <v>6.7035</v>
      </c>
      <c r="O91">
        <v>4.1420000000000003</v>
      </c>
      <c r="P91" t="s">
        <v>375</v>
      </c>
      <c r="Q91" t="s">
        <v>333</v>
      </c>
      <c r="R91" t="s">
        <v>445</v>
      </c>
      <c r="S91">
        <v>5.3784000000000001</v>
      </c>
      <c r="T91">
        <v>2.8169</v>
      </c>
      <c r="U91" t="s">
        <v>322</v>
      </c>
      <c r="V91" t="s">
        <v>326</v>
      </c>
      <c r="W91">
        <v>7.5</v>
      </c>
      <c r="X91">
        <v>4.9385000000000003</v>
      </c>
      <c r="Y91">
        <v>11</v>
      </c>
      <c r="AB91" s="77">
        <f t="shared" si="75"/>
        <v>5.4173</v>
      </c>
      <c r="AC91" s="77">
        <f t="shared" si="76"/>
        <v>4.1420000000000003</v>
      </c>
      <c r="AD91" s="77">
        <f t="shared" si="77"/>
        <v>67.896174863387984</v>
      </c>
      <c r="AE91" s="77">
        <f t="shared" si="78"/>
        <v>61.788617886178869</v>
      </c>
      <c r="AF91" s="77">
        <f t="shared" si="79"/>
        <v>2.8169</v>
      </c>
      <c r="AG91" s="77">
        <f t="shared" si="80"/>
        <v>52.374312063067087</v>
      </c>
      <c r="AH91" s="77">
        <f t="shared" si="81"/>
        <v>7.5</v>
      </c>
      <c r="AI91" s="77">
        <f t="shared" si="82"/>
        <v>2.5615000000000001</v>
      </c>
      <c r="AJ91" s="77">
        <f t="shared" si="83"/>
        <v>4.9384999999999994</v>
      </c>
      <c r="AK91" s="77">
        <f t="shared" si="84"/>
        <v>0</v>
      </c>
      <c r="AL91" s="77">
        <f t="shared" si="85"/>
        <v>4.9384999999999994</v>
      </c>
      <c r="AM91" s="77">
        <f t="shared" si="86"/>
        <v>65.846666666666664</v>
      </c>
      <c r="AN91" t="str">
        <f t="shared" si="65"/>
        <v/>
      </c>
      <c r="AO91" t="s">
        <v>327</v>
      </c>
      <c r="AP91" t="str">
        <f t="shared" si="66"/>
        <v>12V101F</v>
      </c>
      <c r="AQ91">
        <f>_xlfn.XLOOKUP(A91,'SYS Allocations'!A:A,'SYS Allocations'!B:B)</f>
        <v>0</v>
      </c>
      <c r="AR91">
        <f>_xlfn.XLOOKUP(A91,'SYS Allocations'!A:A,'SYS Allocations'!C:C)</f>
        <v>0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7"/>
        <v xml:space="preserve">12V101F </v>
      </c>
    </row>
    <row r="92" spans="1:53">
      <c r="A92" s="35" t="s">
        <v>108</v>
      </c>
      <c r="B92" t="s">
        <v>396</v>
      </c>
      <c r="C92" t="s">
        <v>545</v>
      </c>
      <c r="D92" t="s">
        <v>319</v>
      </c>
      <c r="E92" t="s">
        <v>546</v>
      </c>
      <c r="F92" t="s">
        <v>399</v>
      </c>
      <c r="G92">
        <v>50</v>
      </c>
      <c r="H92">
        <v>6</v>
      </c>
      <c r="I92">
        <v>54.76</v>
      </c>
      <c r="J92">
        <v>2.9844200000000001</v>
      </c>
      <c r="K92" s="64">
        <v>44615.489583333299</v>
      </c>
      <c r="L92">
        <v>10.9</v>
      </c>
      <c r="M92">
        <v>7.9155800000000003</v>
      </c>
      <c r="N92">
        <v>10.355</v>
      </c>
      <c r="O92">
        <v>7.3705800000000004</v>
      </c>
      <c r="P92" t="s">
        <v>325</v>
      </c>
      <c r="Q92" t="s">
        <v>333</v>
      </c>
      <c r="R92" t="s">
        <v>400</v>
      </c>
      <c r="S92">
        <v>5.2271999999999998</v>
      </c>
      <c r="T92">
        <v>2.2427800000000002</v>
      </c>
      <c r="U92" t="s">
        <v>325</v>
      </c>
      <c r="V92" t="s">
        <v>515</v>
      </c>
      <c r="W92">
        <v>30</v>
      </c>
      <c r="X92">
        <v>27.01558</v>
      </c>
      <c r="Y92">
        <v>67</v>
      </c>
      <c r="AB92" s="77">
        <f t="shared" si="75"/>
        <v>7.9155800000000003</v>
      </c>
      <c r="AC92" s="77">
        <f t="shared" si="76"/>
        <v>7.3705800000000004</v>
      </c>
      <c r="AD92" s="77">
        <f t="shared" si="77"/>
        <v>72.62</v>
      </c>
      <c r="AE92" s="77">
        <f t="shared" si="78"/>
        <v>71.178947368421049</v>
      </c>
      <c r="AF92" s="77">
        <f t="shared" si="79"/>
        <v>2.2427800000000002</v>
      </c>
      <c r="AG92" s="77">
        <f t="shared" si="80"/>
        <v>42.905953474135295</v>
      </c>
      <c r="AH92" s="77">
        <f t="shared" si="81"/>
        <v>30</v>
      </c>
      <c r="AI92" s="77">
        <f t="shared" si="82"/>
        <v>2.9844200000000001</v>
      </c>
      <c r="AJ92" s="77">
        <f t="shared" si="83"/>
        <v>27.01558</v>
      </c>
      <c r="AK92" s="77">
        <f t="shared" si="84"/>
        <v>0</v>
      </c>
      <c r="AL92" s="77">
        <f t="shared" si="85"/>
        <v>27.01558</v>
      </c>
      <c r="AM92" s="77">
        <f t="shared" si="86"/>
        <v>90.051933333333338</v>
      </c>
      <c r="AN92" t="str">
        <f t="shared" si="65"/>
        <v/>
      </c>
      <c r="AO92" t="s">
        <v>327</v>
      </c>
      <c r="AP92" t="str">
        <f t="shared" si="66"/>
        <v>2DDm50-13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7"/>
        <v>2DDm50-13</v>
      </c>
    </row>
    <row r="93" spans="1:53">
      <c r="A93" s="35" t="s">
        <v>109</v>
      </c>
      <c r="B93" t="s">
        <v>328</v>
      </c>
      <c r="C93" t="s">
        <v>547</v>
      </c>
      <c r="D93" t="s">
        <v>319</v>
      </c>
      <c r="E93" t="s">
        <v>548</v>
      </c>
      <c r="F93" t="s">
        <v>321</v>
      </c>
      <c r="G93">
        <v>36.6</v>
      </c>
      <c r="H93">
        <v>17</v>
      </c>
      <c r="I93">
        <v>163</v>
      </c>
      <c r="J93">
        <v>8.8834999999999997</v>
      </c>
      <c r="K93" s="64">
        <v>45600</v>
      </c>
      <c r="L93">
        <v>25.532160000000001</v>
      </c>
      <c r="M93">
        <v>16.64866</v>
      </c>
      <c r="N93">
        <v>18.944199999999999</v>
      </c>
      <c r="O93">
        <v>10.060700000000001</v>
      </c>
      <c r="P93" t="s">
        <v>339</v>
      </c>
      <c r="Q93" t="s">
        <v>333</v>
      </c>
      <c r="R93" t="s">
        <v>366</v>
      </c>
      <c r="S93">
        <v>20.217600000000001</v>
      </c>
      <c r="T93">
        <v>11.334099999999999</v>
      </c>
      <c r="U93" t="s">
        <v>322</v>
      </c>
      <c r="V93" t="s">
        <v>335</v>
      </c>
      <c r="W93">
        <v>22.5</v>
      </c>
      <c r="X93">
        <v>13.6165</v>
      </c>
      <c r="Y93">
        <v>17</v>
      </c>
      <c r="AB93" s="77">
        <f t="shared" si="75"/>
        <v>16.64866</v>
      </c>
      <c r="AC93" s="77">
        <f t="shared" si="76"/>
        <v>10.060700000000001</v>
      </c>
      <c r="AD93" s="77">
        <f t="shared" si="77"/>
        <v>65.206625683060096</v>
      </c>
      <c r="AE93" s="77">
        <f t="shared" si="78"/>
        <v>53.10701956271577</v>
      </c>
      <c r="AF93" s="77">
        <f t="shared" si="79"/>
        <v>11.334099999999999</v>
      </c>
      <c r="AG93" s="77">
        <f t="shared" si="80"/>
        <v>56.060561095283312</v>
      </c>
      <c r="AH93" s="77">
        <f t="shared" si="81"/>
        <v>22.5</v>
      </c>
      <c r="AI93" s="77">
        <f t="shared" si="82"/>
        <v>8.8834999999999997</v>
      </c>
      <c r="AJ93" s="77">
        <f t="shared" si="83"/>
        <v>13.6165</v>
      </c>
      <c r="AK93" s="77">
        <f t="shared" si="84"/>
        <v>0</v>
      </c>
      <c r="AL93" s="77">
        <f t="shared" si="85"/>
        <v>13.6165</v>
      </c>
      <c r="AM93" s="77">
        <f t="shared" si="86"/>
        <v>60.517777777777781</v>
      </c>
      <c r="AN93" t="str">
        <f t="shared" si="65"/>
        <v/>
      </c>
      <c r="AO93" t="s">
        <v>327</v>
      </c>
      <c r="AP93" t="str">
        <f t="shared" si="66"/>
        <v>2DDm85-15</v>
      </c>
      <c r="AQ93">
        <f>_xlfn.XLOOKUP(A93,'SYS Allocations'!A:A,'SYS Allocations'!B:B)</f>
        <v>0</v>
      </c>
      <c r="AR93" t="str">
        <f>_xlfn.XLOOKUP(A93,'SYS Allocations'!A:A,'SYS Allocations'!C:C)</f>
        <v>RA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7"/>
        <v>2DDm85-15</v>
      </c>
    </row>
    <row r="94" spans="1:53">
      <c r="A94" s="35" t="s">
        <v>110</v>
      </c>
      <c r="B94" t="s">
        <v>328</v>
      </c>
      <c r="C94" t="s">
        <v>547</v>
      </c>
      <c r="D94" t="s">
        <v>392</v>
      </c>
      <c r="E94" t="s">
        <v>549</v>
      </c>
      <c r="F94" t="s">
        <v>321</v>
      </c>
      <c r="G94">
        <v>36.6</v>
      </c>
      <c r="H94">
        <v>6</v>
      </c>
      <c r="I94">
        <v>76</v>
      </c>
      <c r="J94">
        <v>4.1420000000000003</v>
      </c>
      <c r="K94" s="64">
        <v>45600</v>
      </c>
      <c r="L94">
        <v>7.9787999999999997</v>
      </c>
      <c r="M94">
        <v>3.8368000000000002</v>
      </c>
      <c r="N94">
        <v>5.7551996729999999</v>
      </c>
      <c r="O94">
        <v>1.613199673</v>
      </c>
      <c r="P94" t="s">
        <v>375</v>
      </c>
      <c r="Q94" t="s">
        <v>354</v>
      </c>
      <c r="R94" t="s">
        <v>361</v>
      </c>
      <c r="S94">
        <v>8.4240000000000297</v>
      </c>
      <c r="T94">
        <v>4.2820000000000302</v>
      </c>
      <c r="U94" t="s">
        <v>325</v>
      </c>
      <c r="V94" t="s">
        <v>326</v>
      </c>
      <c r="W94">
        <v>7.5</v>
      </c>
      <c r="X94">
        <v>3.3580000000000001</v>
      </c>
      <c r="Y94">
        <v>0</v>
      </c>
      <c r="Z94" t="s">
        <v>8</v>
      </c>
      <c r="AB94" s="77">
        <f t="shared" si="75"/>
        <v>3.8368000000000002</v>
      </c>
      <c r="AC94" s="77">
        <f t="shared" si="76"/>
        <v>1.613199673</v>
      </c>
      <c r="AD94" s="77">
        <f t="shared" si="77"/>
        <v>48.087431693989075</v>
      </c>
      <c r="AE94" s="77">
        <f t="shared" si="78"/>
        <v>28.030298941115472</v>
      </c>
      <c r="AF94" s="77">
        <f t="shared" si="79"/>
        <v>4.2820000000000302</v>
      </c>
      <c r="AG94" s="77">
        <f t="shared" si="80"/>
        <v>50.830959164292672</v>
      </c>
      <c r="AH94" s="77">
        <f t="shared" si="81"/>
        <v>7.5</v>
      </c>
      <c r="AI94" s="77">
        <f t="shared" si="82"/>
        <v>4.1420000000000003</v>
      </c>
      <c r="AJ94" s="77">
        <f t="shared" si="83"/>
        <v>3.3579999999999997</v>
      </c>
      <c r="AK94" s="77">
        <f t="shared" si="84"/>
        <v>0</v>
      </c>
      <c r="AL94" s="77">
        <f t="shared" si="85"/>
        <v>3.3579999999999997</v>
      </c>
      <c r="AM94" s="77">
        <f t="shared" si="86"/>
        <v>44.773333333333333</v>
      </c>
      <c r="AN94" t="str">
        <f t="shared" si="65"/>
        <v>Capped</v>
      </c>
      <c r="AO94" t="s">
        <v>327</v>
      </c>
      <c r="AP94" t="str">
        <f t="shared" si="66"/>
        <v>12V155F</v>
      </c>
      <c r="AQ94">
        <f>_xlfn.XLOOKUP(A94,'SYS Allocations'!A:A,'SYS Allocations'!B:B)</f>
        <v>0</v>
      </c>
      <c r="AR94">
        <f>_xlfn.XLOOKUP(A94,'SYS Allocations'!A:A,'SYS Allocations'!C:C)</f>
        <v>0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7"/>
        <v>12V155F</v>
      </c>
    </row>
    <row r="95" spans="1:53">
      <c r="A95" s="35" t="s">
        <v>111</v>
      </c>
      <c r="B95" t="s">
        <v>328</v>
      </c>
      <c r="C95" t="s">
        <v>550</v>
      </c>
      <c r="D95" t="s">
        <v>392</v>
      </c>
      <c r="E95" t="s">
        <v>551</v>
      </c>
      <c r="F95" t="s">
        <v>321</v>
      </c>
      <c r="G95">
        <v>36.6</v>
      </c>
      <c r="H95">
        <v>6</v>
      </c>
      <c r="I95">
        <v>44</v>
      </c>
      <c r="J95">
        <v>2.3980000000000001</v>
      </c>
      <c r="K95" s="64">
        <v>45600</v>
      </c>
      <c r="L95">
        <v>7.9787999999999997</v>
      </c>
      <c r="M95">
        <v>5.5808</v>
      </c>
      <c r="N95">
        <v>6.7035</v>
      </c>
      <c r="O95">
        <v>4.3055000000000003</v>
      </c>
      <c r="P95" t="s">
        <v>375</v>
      </c>
      <c r="Q95" t="s">
        <v>333</v>
      </c>
      <c r="R95" t="s">
        <v>445</v>
      </c>
      <c r="S95">
        <v>5.3784000000000001</v>
      </c>
      <c r="T95">
        <v>2.9803999999999999</v>
      </c>
      <c r="U95" t="s">
        <v>325</v>
      </c>
      <c r="V95" t="s">
        <v>356</v>
      </c>
      <c r="W95">
        <v>5.0250000000000004</v>
      </c>
      <c r="X95">
        <v>2.6269999999999998</v>
      </c>
      <c r="Y95">
        <v>2</v>
      </c>
      <c r="Z95" t="s">
        <v>8</v>
      </c>
      <c r="AB95" s="77">
        <f t="shared" si="75"/>
        <v>5.5808</v>
      </c>
      <c r="AC95" s="77">
        <f t="shared" si="76"/>
        <v>4.3055000000000003</v>
      </c>
      <c r="AD95" s="77">
        <f t="shared" si="77"/>
        <v>69.945355191256837</v>
      </c>
      <c r="AE95" s="77">
        <f t="shared" si="78"/>
        <v>64.22764227642277</v>
      </c>
      <c r="AF95" s="77">
        <f t="shared" si="79"/>
        <v>2.9803999999999999</v>
      </c>
      <c r="AG95" s="77">
        <f t="shared" si="80"/>
        <v>55.414249590956416</v>
      </c>
      <c r="AH95" s="77">
        <f t="shared" si="81"/>
        <v>5.0250000000000004</v>
      </c>
      <c r="AI95" s="77">
        <f t="shared" si="82"/>
        <v>2.3980000000000001</v>
      </c>
      <c r="AJ95" s="77">
        <f t="shared" si="83"/>
        <v>2.6270000000000002</v>
      </c>
      <c r="AK95" s="77">
        <f t="shared" si="84"/>
        <v>0</v>
      </c>
      <c r="AL95" s="77">
        <f t="shared" si="85"/>
        <v>2.6270000000000002</v>
      </c>
      <c r="AM95" s="77">
        <f t="shared" si="86"/>
        <v>52.278606965174127</v>
      </c>
      <c r="AN95" t="str">
        <f t="shared" si="65"/>
        <v>Capped</v>
      </c>
      <c r="AO95" t="s">
        <v>327</v>
      </c>
      <c r="AP95" t="str">
        <f t="shared" si="66"/>
        <v>12V101F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7"/>
        <v xml:space="preserve">12V101F </v>
      </c>
    </row>
    <row r="96" spans="1:53">
      <c r="A96" s="35" t="s">
        <v>112</v>
      </c>
      <c r="B96" t="s">
        <v>396</v>
      </c>
      <c r="C96" t="s">
        <v>552</v>
      </c>
      <c r="D96" t="s">
        <v>392</v>
      </c>
      <c r="E96" t="s">
        <v>553</v>
      </c>
      <c r="F96" t="s">
        <v>332</v>
      </c>
      <c r="G96">
        <v>75</v>
      </c>
      <c r="H96">
        <v>7</v>
      </c>
      <c r="I96">
        <v>180</v>
      </c>
      <c r="J96">
        <v>9.81</v>
      </c>
      <c r="K96" s="64">
        <v>44602.395833333299</v>
      </c>
      <c r="L96">
        <v>19.62</v>
      </c>
      <c r="M96">
        <v>9.81</v>
      </c>
      <c r="N96">
        <v>11.445</v>
      </c>
      <c r="O96">
        <v>1.635</v>
      </c>
      <c r="P96" t="s">
        <v>325</v>
      </c>
      <c r="Q96" t="s">
        <v>333</v>
      </c>
      <c r="R96" t="s">
        <v>338</v>
      </c>
      <c r="S96">
        <v>21.1248</v>
      </c>
      <c r="T96">
        <v>11.3148</v>
      </c>
      <c r="U96" t="s">
        <v>322</v>
      </c>
      <c r="V96" t="s">
        <v>554</v>
      </c>
      <c r="W96">
        <v>19.5</v>
      </c>
      <c r="X96">
        <v>9.69</v>
      </c>
      <c r="Y96">
        <v>4</v>
      </c>
      <c r="Z96" t="s">
        <v>8</v>
      </c>
      <c r="AB96" s="77">
        <f t="shared" si="75"/>
        <v>9.81</v>
      </c>
      <c r="AC96" s="77">
        <f t="shared" si="76"/>
        <v>1.635</v>
      </c>
      <c r="AD96" s="77">
        <f t="shared" si="77"/>
        <v>50</v>
      </c>
      <c r="AE96" s="77">
        <f t="shared" si="78"/>
        <v>14.285714285714286</v>
      </c>
      <c r="AF96" s="77">
        <f t="shared" si="79"/>
        <v>11.3148</v>
      </c>
      <c r="AG96" s="77">
        <f t="shared" si="80"/>
        <v>53.56169052488071</v>
      </c>
      <c r="AH96" s="77">
        <f t="shared" si="81"/>
        <v>19.5</v>
      </c>
      <c r="AI96" s="77">
        <f t="shared" si="82"/>
        <v>9.81</v>
      </c>
      <c r="AJ96" s="77">
        <f t="shared" si="83"/>
        <v>9.69</v>
      </c>
      <c r="AK96" s="77">
        <f t="shared" si="84"/>
        <v>0</v>
      </c>
      <c r="AL96" s="77">
        <f t="shared" si="85"/>
        <v>9.69</v>
      </c>
      <c r="AM96" s="77">
        <f t="shared" si="86"/>
        <v>49.692307692307686</v>
      </c>
      <c r="AN96" t="str">
        <f t="shared" si="65"/>
        <v>Capped</v>
      </c>
      <c r="AO96" t="s">
        <v>327</v>
      </c>
      <c r="AP96" t="str">
        <f t="shared" si="66"/>
        <v>DDm100-25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7"/>
        <v>DDm100-25</v>
      </c>
    </row>
    <row r="97" spans="1:53">
      <c r="A97" s="35" t="s">
        <v>113</v>
      </c>
      <c r="B97" t="s">
        <v>372</v>
      </c>
      <c r="C97" t="s">
        <v>555</v>
      </c>
      <c r="D97" t="s">
        <v>319</v>
      </c>
      <c r="E97" t="s">
        <v>556</v>
      </c>
      <c r="F97" t="s">
        <v>321</v>
      </c>
      <c r="G97">
        <v>36.6</v>
      </c>
      <c r="H97">
        <v>6</v>
      </c>
      <c r="I97">
        <v>10</v>
      </c>
      <c r="J97">
        <v>0.54500000000000004</v>
      </c>
      <c r="K97" s="64">
        <v>44553.5</v>
      </c>
      <c r="L97">
        <v>7.9787999999999997</v>
      </c>
      <c r="M97">
        <v>7.4337999999999997</v>
      </c>
      <c r="N97">
        <v>3.7605</v>
      </c>
      <c r="O97">
        <v>3.2155</v>
      </c>
      <c r="P97" t="s">
        <v>375</v>
      </c>
      <c r="Q97" t="s">
        <v>354</v>
      </c>
      <c r="R97" t="s">
        <v>557</v>
      </c>
      <c r="S97">
        <v>11.184480000000001</v>
      </c>
      <c r="T97">
        <v>10.639480000000001</v>
      </c>
      <c r="U97" t="s">
        <v>325</v>
      </c>
      <c r="V97" t="s">
        <v>326</v>
      </c>
      <c r="W97">
        <v>7.5</v>
      </c>
      <c r="X97">
        <v>6.9550000000000001</v>
      </c>
      <c r="Y97">
        <v>14</v>
      </c>
      <c r="AB97" s="77">
        <f t="shared" si="75"/>
        <v>7.4337999999999997</v>
      </c>
      <c r="AC97" s="77">
        <f t="shared" si="76"/>
        <v>3.2155</v>
      </c>
      <c r="AD97" s="77">
        <f t="shared" si="77"/>
        <v>93.169398907103826</v>
      </c>
      <c r="AE97" s="77">
        <f t="shared" si="78"/>
        <v>85.507246376811594</v>
      </c>
      <c r="AF97" s="77">
        <f t="shared" si="79"/>
        <v>10.639480000000001</v>
      </c>
      <c r="AG97" s="77">
        <f t="shared" si="80"/>
        <v>95.127176229918604</v>
      </c>
      <c r="AH97" s="77">
        <f t="shared" si="81"/>
        <v>7.5</v>
      </c>
      <c r="AI97" s="77">
        <f t="shared" si="82"/>
        <v>0.54500000000000004</v>
      </c>
      <c r="AJ97" s="77">
        <f t="shared" si="83"/>
        <v>6.9550000000000001</v>
      </c>
      <c r="AK97" s="77">
        <f t="shared" si="84"/>
        <v>0</v>
      </c>
      <c r="AL97" s="77">
        <f t="shared" si="85"/>
        <v>6.9550000000000001</v>
      </c>
      <c r="AM97" s="77">
        <f t="shared" si="86"/>
        <v>92.733333333333334</v>
      </c>
      <c r="AN97" t="str">
        <f t="shared" si="65"/>
        <v/>
      </c>
      <c r="AO97" t="s">
        <v>327</v>
      </c>
      <c r="AP97" t="str">
        <f t="shared" si="66"/>
        <v>12V190F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7"/>
        <v>12V190F</v>
      </c>
    </row>
    <row r="98" spans="1:53">
      <c r="A98" s="35" t="s">
        <v>114</v>
      </c>
      <c r="B98" t="s">
        <v>350</v>
      </c>
      <c r="C98" t="s">
        <v>558</v>
      </c>
      <c r="D98" t="s">
        <v>392</v>
      </c>
      <c r="E98" t="s">
        <v>559</v>
      </c>
      <c r="F98" t="s">
        <v>560</v>
      </c>
      <c r="G98">
        <v>37.5</v>
      </c>
      <c r="H98">
        <v>4</v>
      </c>
      <c r="I98">
        <v>36</v>
      </c>
      <c r="J98">
        <v>1.962</v>
      </c>
      <c r="K98" s="64">
        <v>44480.504861111098</v>
      </c>
      <c r="L98">
        <v>4.9050000000000002</v>
      </c>
      <c r="M98">
        <v>2.9430000000000001</v>
      </c>
      <c r="N98">
        <v>5.8042499999999997</v>
      </c>
      <c r="O98">
        <v>3.8422499999999999</v>
      </c>
      <c r="P98" t="s">
        <v>375</v>
      </c>
      <c r="Q98" t="s">
        <v>354</v>
      </c>
      <c r="R98" t="s">
        <v>355</v>
      </c>
      <c r="S98">
        <v>5.1840000000000002</v>
      </c>
      <c r="T98">
        <v>3.222</v>
      </c>
      <c r="U98" t="s">
        <v>561</v>
      </c>
      <c r="V98" t="s">
        <v>561</v>
      </c>
      <c r="W98">
        <v>0</v>
      </c>
      <c r="X98">
        <v>-1.962</v>
      </c>
      <c r="Y98">
        <v>0</v>
      </c>
      <c r="Z98" t="s">
        <v>562</v>
      </c>
      <c r="AB98" s="77">
        <f t="shared" si="75"/>
        <v>2.9430000000000001</v>
      </c>
      <c r="AC98" s="77">
        <f t="shared" si="76"/>
        <v>3.8422499999999999</v>
      </c>
      <c r="AD98" s="77">
        <f t="shared" si="77"/>
        <v>60</v>
      </c>
      <c r="AE98" s="77">
        <f t="shared" si="78"/>
        <v>66.197183098591552</v>
      </c>
      <c r="AF98" s="77">
        <f t="shared" si="79"/>
        <v>3.222</v>
      </c>
      <c r="AG98" s="77">
        <f t="shared" si="80"/>
        <v>62.152777777777771</v>
      </c>
      <c r="AH98" s="77">
        <f t="shared" si="81"/>
        <v>0</v>
      </c>
      <c r="AI98" s="77">
        <f t="shared" si="82"/>
        <v>1.962</v>
      </c>
      <c r="AJ98" s="77">
        <f t="shared" si="83"/>
        <v>-1.962</v>
      </c>
      <c r="AK98" s="77">
        <f t="shared" si="84"/>
        <v>0</v>
      </c>
      <c r="AL98" s="77">
        <f t="shared" si="85"/>
        <v>-1.962</v>
      </c>
      <c r="AM98" s="77" t="e">
        <f>AL98/AH98%</f>
        <v>#DIV/0!</v>
      </c>
      <c r="AN98" t="str">
        <f t="shared" si="65"/>
        <v>Capped</v>
      </c>
      <c r="AO98" t="s">
        <v>327</v>
      </c>
      <c r="AP98" t="str">
        <f t="shared" si="66"/>
        <v>SBS C11F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7"/>
        <v>SBS C11F</v>
      </c>
    </row>
    <row r="99" spans="1:53">
      <c r="A99" s="35" t="s">
        <v>115</v>
      </c>
      <c r="B99" t="s">
        <v>396</v>
      </c>
      <c r="C99" t="s">
        <v>563</v>
      </c>
      <c r="D99" t="s">
        <v>319</v>
      </c>
      <c r="E99" t="s">
        <v>564</v>
      </c>
      <c r="F99" t="s">
        <v>353</v>
      </c>
      <c r="G99">
        <v>22</v>
      </c>
      <c r="H99">
        <v>4</v>
      </c>
      <c r="I99">
        <v>20</v>
      </c>
      <c r="J99">
        <v>1.0900000000000001</v>
      </c>
      <c r="K99" s="64">
        <v>44879</v>
      </c>
      <c r="L99">
        <v>2.8776000000000002</v>
      </c>
      <c r="M99">
        <v>1.7876000000000001</v>
      </c>
      <c r="N99">
        <v>2.2890000000000001</v>
      </c>
      <c r="O99">
        <v>1.1990000000000001</v>
      </c>
      <c r="P99" t="s">
        <v>322</v>
      </c>
      <c r="Q99" t="s">
        <v>354</v>
      </c>
      <c r="R99" t="s">
        <v>450</v>
      </c>
      <c r="S99">
        <v>2.92896</v>
      </c>
      <c r="T99">
        <v>1.8389599999999999</v>
      </c>
      <c r="U99" t="s">
        <v>325</v>
      </c>
      <c r="V99" t="s">
        <v>565</v>
      </c>
      <c r="W99">
        <v>3.375</v>
      </c>
      <c r="X99">
        <v>2.2850000000000001</v>
      </c>
      <c r="Y99">
        <v>3</v>
      </c>
      <c r="AB99" s="77">
        <f t="shared" si="75"/>
        <v>1.7876000000000001</v>
      </c>
      <c r="AC99" s="77">
        <f t="shared" si="76"/>
        <v>1.1990000000000001</v>
      </c>
      <c r="AD99" s="77">
        <f t="shared" si="77"/>
        <v>62.121212121212118</v>
      </c>
      <c r="AE99" s="77">
        <f t="shared" si="78"/>
        <v>52.38095238095238</v>
      </c>
      <c r="AF99" s="77">
        <f t="shared" si="79"/>
        <v>1.8389599999999999</v>
      </c>
      <c r="AG99" s="77">
        <f t="shared" si="80"/>
        <v>62.785425543537634</v>
      </c>
      <c r="AH99" s="77">
        <f t="shared" si="81"/>
        <v>3.375</v>
      </c>
      <c r="AI99" s="77">
        <f t="shared" si="82"/>
        <v>1.0900000000000001</v>
      </c>
      <c r="AJ99" s="77">
        <f t="shared" si="83"/>
        <v>2.2850000000000001</v>
      </c>
      <c r="AK99" s="77">
        <f t="shared" si="84"/>
        <v>0</v>
      </c>
      <c r="AL99" s="77">
        <f t="shared" si="85"/>
        <v>2.2850000000000001</v>
      </c>
      <c r="AM99" s="77">
        <f t="shared" si="86"/>
        <v>67.703703703703709</v>
      </c>
      <c r="AN99" t="str">
        <f t="shared" si="65"/>
        <v/>
      </c>
      <c r="AO99" t="s">
        <v>327</v>
      </c>
      <c r="AP99" t="str">
        <f t="shared" si="66"/>
        <v>12V100F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7"/>
        <v>12V100F</v>
      </c>
    </row>
    <row r="100" spans="1:53">
      <c r="A100" s="35" t="s">
        <v>116</v>
      </c>
      <c r="B100" t="s">
        <v>328</v>
      </c>
      <c r="C100" t="s">
        <v>566</v>
      </c>
      <c r="D100" t="s">
        <v>330</v>
      </c>
      <c r="E100" t="s">
        <v>567</v>
      </c>
      <c r="F100" t="s">
        <v>332</v>
      </c>
      <c r="G100">
        <v>75</v>
      </c>
      <c r="H100">
        <v>6</v>
      </c>
      <c r="I100">
        <v>244</v>
      </c>
      <c r="J100">
        <v>13.298</v>
      </c>
      <c r="K100" s="64">
        <v>44431.5</v>
      </c>
      <c r="L100">
        <v>16.350000000000001</v>
      </c>
      <c r="M100">
        <v>3.052</v>
      </c>
      <c r="N100">
        <v>11.172499999999999</v>
      </c>
      <c r="O100">
        <v>-2.1255000000000002</v>
      </c>
      <c r="P100" t="s">
        <v>325</v>
      </c>
      <c r="Q100" t="s">
        <v>333</v>
      </c>
      <c r="R100" t="s">
        <v>568</v>
      </c>
      <c r="S100">
        <v>14.428800000000001</v>
      </c>
      <c r="T100">
        <v>1.1308</v>
      </c>
      <c r="U100" t="s">
        <v>325</v>
      </c>
      <c r="V100" t="s">
        <v>326</v>
      </c>
      <c r="W100">
        <v>7.5</v>
      </c>
      <c r="X100">
        <v>-5.798</v>
      </c>
      <c r="Y100">
        <v>0</v>
      </c>
      <c r="AB100" s="77">
        <f t="shared" si="75"/>
        <v>3.052</v>
      </c>
      <c r="AC100" s="77">
        <f t="shared" si="76"/>
        <v>-2.1255000000000002</v>
      </c>
      <c r="AD100" s="77">
        <f t="shared" si="77"/>
        <v>18.666666666666668</v>
      </c>
      <c r="AE100" s="77">
        <f t="shared" si="78"/>
        <v>-19.024390243902442</v>
      </c>
      <c r="AF100" s="77">
        <f t="shared" si="79"/>
        <v>1.1308</v>
      </c>
      <c r="AG100" s="77">
        <f t="shared" si="80"/>
        <v>7.8371035706365051</v>
      </c>
      <c r="AH100" s="77">
        <f t="shared" si="81"/>
        <v>7.5</v>
      </c>
      <c r="AI100" s="77">
        <f t="shared" si="82"/>
        <v>13.298</v>
      </c>
      <c r="AJ100" s="77">
        <f t="shared" si="83"/>
        <v>-5.798</v>
      </c>
      <c r="AK100" s="77">
        <f t="shared" si="84"/>
        <v>0</v>
      </c>
      <c r="AL100" s="77">
        <f t="shared" si="85"/>
        <v>-5.798</v>
      </c>
      <c r="AM100" s="77">
        <f t="shared" si="86"/>
        <v>-77.306666666666672</v>
      </c>
      <c r="AN100" t="str">
        <f t="shared" si="65"/>
        <v/>
      </c>
      <c r="AO100" t="s">
        <v>327</v>
      </c>
      <c r="AP100" t="str">
        <f t="shared" si="66"/>
        <v>DDm85-21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7"/>
        <v>DDm85-21</v>
      </c>
    </row>
    <row r="101" spans="1:53">
      <c r="A101" s="35" t="s">
        <v>117</v>
      </c>
      <c r="B101" t="s">
        <v>328</v>
      </c>
      <c r="C101" t="s">
        <v>566</v>
      </c>
      <c r="D101" t="s">
        <v>392</v>
      </c>
      <c r="E101" t="s">
        <v>569</v>
      </c>
      <c r="F101" t="s">
        <v>321</v>
      </c>
      <c r="G101">
        <v>36.6</v>
      </c>
      <c r="H101">
        <v>50</v>
      </c>
      <c r="I101">
        <v>434</v>
      </c>
      <c r="J101">
        <v>23.652999999999999</v>
      </c>
      <c r="K101" s="64">
        <v>45600</v>
      </c>
      <c r="L101">
        <v>78.192239999999998</v>
      </c>
      <c r="M101">
        <v>54.539239999999999</v>
      </c>
      <c r="N101">
        <v>54.140300000000003</v>
      </c>
      <c r="O101">
        <v>30.487300000000001</v>
      </c>
      <c r="P101" t="s">
        <v>339</v>
      </c>
      <c r="Q101" t="s">
        <v>333</v>
      </c>
      <c r="R101" t="s">
        <v>347</v>
      </c>
      <c r="S101">
        <v>71.107200000000205</v>
      </c>
      <c r="T101">
        <v>47.454200000000199</v>
      </c>
      <c r="U101" t="s">
        <v>360</v>
      </c>
      <c r="V101" t="s">
        <v>570</v>
      </c>
      <c r="W101">
        <v>105</v>
      </c>
      <c r="X101">
        <v>81.346999999999994</v>
      </c>
      <c r="Y101">
        <v>4</v>
      </c>
      <c r="Z101" t="s">
        <v>274</v>
      </c>
      <c r="AB101" s="77">
        <f t="shared" si="75"/>
        <v>54.539239999999999</v>
      </c>
      <c r="AC101" s="77">
        <f t="shared" si="76"/>
        <v>30.487300000000001</v>
      </c>
      <c r="AD101" s="77">
        <f t="shared" si="77"/>
        <v>69.750195160031225</v>
      </c>
      <c r="AE101" s="77">
        <f t="shared" si="78"/>
        <v>56.311656935776114</v>
      </c>
      <c r="AF101" s="77">
        <f t="shared" si="79"/>
        <v>47.454200000000199</v>
      </c>
      <c r="AG101" s="77">
        <f t="shared" si="80"/>
        <v>66.736139237658165</v>
      </c>
      <c r="AH101" s="77">
        <f t="shared" si="81"/>
        <v>105</v>
      </c>
      <c r="AI101" s="77">
        <f t="shared" si="82"/>
        <v>23.652999999999999</v>
      </c>
      <c r="AJ101" s="77">
        <f t="shared" si="83"/>
        <v>81.347000000000008</v>
      </c>
      <c r="AK101" s="77">
        <f t="shared" si="84"/>
        <v>0</v>
      </c>
      <c r="AL101" s="77">
        <f t="shared" si="85"/>
        <v>81.347000000000008</v>
      </c>
      <c r="AM101" s="77">
        <f t="shared" si="86"/>
        <v>77.473333333333343</v>
      </c>
      <c r="AN101" t="str">
        <f t="shared" si="65"/>
        <v>Capped</v>
      </c>
      <c r="AO101" t="s">
        <v>395</v>
      </c>
      <c r="AP101" t="str">
        <f t="shared" si="66"/>
        <v>DDm125-33</v>
      </c>
      <c r="AQ101">
        <f>_xlfn.XLOOKUP(A101,'SYS Allocations'!A:A,'SYS Allocations'!B:B)</f>
        <v>0</v>
      </c>
      <c r="AR101" t="str">
        <f>_xlfn.XLOOKUP(A101,'SYS Allocations'!A:A,'SYS Allocations'!C:C)</f>
        <v>RA</v>
      </c>
      <c r="AS101" t="str">
        <f>_xlfn.XLOOKUP(A101,'SYS Allocations'!A:A,'SYS Allocations'!D:D)</f>
        <v>PX</v>
      </c>
      <c r="AT101">
        <f>_xlfn.XLOOKUP(A101,'SYS Allocations'!A:A,'SYS Allocations'!E:E)</f>
        <v>0</v>
      </c>
      <c r="AU101" t="str">
        <f>_xlfn.XLOOKUP(A101,'SYS Allocations'!A:A,'SYS Allocations'!F:F)</f>
        <v>OPEX</v>
      </c>
      <c r="BA101" t="str">
        <f t="shared" si="67"/>
        <v>DDm125-33</v>
      </c>
    </row>
    <row r="102" spans="1:53">
      <c r="A102" s="35" t="s">
        <v>118</v>
      </c>
      <c r="B102" t="s">
        <v>328</v>
      </c>
      <c r="C102" t="s">
        <v>566</v>
      </c>
      <c r="D102" t="s">
        <v>392</v>
      </c>
      <c r="E102" t="s">
        <v>569</v>
      </c>
      <c r="F102" t="s">
        <v>321</v>
      </c>
      <c r="G102">
        <v>36.6</v>
      </c>
      <c r="H102">
        <v>50</v>
      </c>
      <c r="I102">
        <v>464</v>
      </c>
      <c r="J102">
        <v>25.288</v>
      </c>
      <c r="K102" s="64">
        <v>45600</v>
      </c>
      <c r="L102">
        <v>78.192239999999998</v>
      </c>
      <c r="M102">
        <v>52.904240000000001</v>
      </c>
      <c r="N102">
        <v>54.140300000000003</v>
      </c>
      <c r="O102">
        <v>28.8523</v>
      </c>
      <c r="P102" t="s">
        <v>339</v>
      </c>
      <c r="Q102" t="s">
        <v>333</v>
      </c>
      <c r="R102" t="s">
        <v>347</v>
      </c>
      <c r="S102">
        <v>71.107200000000205</v>
      </c>
      <c r="T102">
        <v>45.819200000000201</v>
      </c>
      <c r="U102" t="s">
        <v>360</v>
      </c>
      <c r="V102" t="s">
        <v>570</v>
      </c>
      <c r="W102">
        <v>105</v>
      </c>
      <c r="X102">
        <v>79.712000000000003</v>
      </c>
      <c r="Y102">
        <v>4</v>
      </c>
      <c r="Z102" t="s">
        <v>274</v>
      </c>
      <c r="AB102" s="77">
        <f t="shared" si="75"/>
        <v>52.904240000000001</v>
      </c>
      <c r="AC102" s="77">
        <f t="shared" si="76"/>
        <v>28.8523</v>
      </c>
      <c r="AD102" s="77">
        <f t="shared" si="77"/>
        <v>67.659194825471175</v>
      </c>
      <c r="AE102" s="77">
        <f t="shared" si="78"/>
        <v>53.291725387557875</v>
      </c>
      <c r="AF102" s="77">
        <f t="shared" si="79"/>
        <v>45.819200000000201</v>
      </c>
      <c r="AG102" s="77">
        <f t="shared" si="80"/>
        <v>64.436794023671396</v>
      </c>
      <c r="AH102" s="77">
        <f t="shared" si="81"/>
        <v>105</v>
      </c>
      <c r="AI102" s="77">
        <f t="shared" si="82"/>
        <v>25.288</v>
      </c>
      <c r="AJ102" s="77">
        <f t="shared" si="83"/>
        <v>79.712000000000003</v>
      </c>
      <c r="AK102" s="77">
        <f t="shared" si="84"/>
        <v>0</v>
      </c>
      <c r="AL102" s="77">
        <f t="shared" si="85"/>
        <v>79.712000000000003</v>
      </c>
      <c r="AM102" s="77">
        <f t="shared" si="86"/>
        <v>75.916190476190479</v>
      </c>
      <c r="AN102" t="str">
        <f t="shared" si="65"/>
        <v>Capped</v>
      </c>
      <c r="AO102" t="s">
        <v>395</v>
      </c>
      <c r="AP102" t="str">
        <f t="shared" si="66"/>
        <v>DDm125-33</v>
      </c>
      <c r="AQ102">
        <f>_xlfn.XLOOKUP(A102,'SYS Allocations'!A:A,'SYS Allocations'!B:B)</f>
        <v>0</v>
      </c>
      <c r="AR102">
        <f>_xlfn.XLOOKUP(A102,'SYS Allocations'!A:A,'SYS Allocations'!C:C)</f>
        <v>0</v>
      </c>
      <c r="AS102">
        <f>_xlfn.XLOOKUP(A102,'SYS Allocations'!A:A,'SYS Allocations'!D:D)</f>
        <v>0</v>
      </c>
      <c r="AT102">
        <f>_xlfn.XLOOKUP(A102,'SYS Allocations'!A:A,'SYS Allocations'!E:E)</f>
        <v>0</v>
      </c>
      <c r="AU102">
        <f>_xlfn.XLOOKUP(A102,'SYS Allocations'!A:A,'SYS Allocations'!F:F)</f>
        <v>0</v>
      </c>
      <c r="BA102" t="str">
        <f t="shared" si="67"/>
        <v>DDm125-33</v>
      </c>
    </row>
    <row r="103" spans="1:53">
      <c r="A103" s="35" t="s">
        <v>119</v>
      </c>
      <c r="B103" t="s">
        <v>328</v>
      </c>
      <c r="C103" t="s">
        <v>566</v>
      </c>
      <c r="D103" t="s">
        <v>392</v>
      </c>
      <c r="E103" t="s">
        <v>571</v>
      </c>
      <c r="F103" t="s">
        <v>321</v>
      </c>
      <c r="G103">
        <v>36.6</v>
      </c>
      <c r="H103">
        <v>42</v>
      </c>
      <c r="I103">
        <v>402</v>
      </c>
      <c r="J103">
        <v>21.908999999999999</v>
      </c>
      <c r="K103" s="64">
        <v>45600</v>
      </c>
      <c r="L103">
        <v>65.426159999999996</v>
      </c>
      <c r="M103">
        <v>43.517159999999997</v>
      </c>
      <c r="N103">
        <v>55.213949999999997</v>
      </c>
      <c r="O103">
        <v>33.304949999999998</v>
      </c>
      <c r="P103" t="s">
        <v>322</v>
      </c>
      <c r="Q103" t="s">
        <v>333</v>
      </c>
      <c r="R103" t="s">
        <v>572</v>
      </c>
      <c r="S103">
        <v>43.2864</v>
      </c>
      <c r="T103">
        <v>21.377400000000002</v>
      </c>
      <c r="U103" t="s">
        <v>339</v>
      </c>
      <c r="V103" t="s">
        <v>436</v>
      </c>
      <c r="W103">
        <v>67.5</v>
      </c>
      <c r="X103">
        <v>45.591000000000001</v>
      </c>
      <c r="Y103">
        <v>31</v>
      </c>
      <c r="Z103" t="s">
        <v>274</v>
      </c>
      <c r="AB103" s="77">
        <f t="shared" si="75"/>
        <v>43.517159999999997</v>
      </c>
      <c r="AC103" s="77">
        <f t="shared" si="76"/>
        <v>33.304949999999998</v>
      </c>
      <c r="AD103" s="77">
        <f t="shared" si="77"/>
        <v>66.51339464214314</v>
      </c>
      <c r="AE103" s="77">
        <f t="shared" si="78"/>
        <v>60.319810482676928</v>
      </c>
      <c r="AF103" s="77">
        <f t="shared" si="79"/>
        <v>21.377400000000002</v>
      </c>
      <c r="AG103" s="77">
        <f t="shared" si="80"/>
        <v>49.385950321579067</v>
      </c>
      <c r="AH103" s="337">
        <f>AVERAGE(W103:W104)</f>
        <v>67.5</v>
      </c>
      <c r="AI103" s="337">
        <f>SUM(J103:J104)</f>
        <v>62.293500000000002</v>
      </c>
      <c r="AJ103" s="337">
        <f t="shared" si="83"/>
        <v>5.2064999999999984</v>
      </c>
      <c r="AK103" s="337">
        <f>SUM(AA103:AA104)</f>
        <v>0</v>
      </c>
      <c r="AL103" s="337">
        <f t="shared" si="85"/>
        <v>5.2064999999999984</v>
      </c>
      <c r="AM103" s="338">
        <f t="shared" si="86"/>
        <v>7.7133333333333303</v>
      </c>
      <c r="AN103" t="str">
        <f t="shared" si="65"/>
        <v>Capped</v>
      </c>
      <c r="AO103" t="s">
        <v>395</v>
      </c>
      <c r="AP103" t="str">
        <f t="shared" si="66"/>
        <v>DDm125-27</v>
      </c>
      <c r="AQ103" t="str">
        <f>_xlfn.XLOOKUP(A103,'SYS Allocations'!A:A,'SYS Allocations'!B:B)</f>
        <v>P-Core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7"/>
        <v>DDm125-27</v>
      </c>
    </row>
    <row r="104" spans="1:53">
      <c r="A104" s="35" t="s">
        <v>120</v>
      </c>
      <c r="B104" t="s">
        <v>328</v>
      </c>
      <c r="C104" t="s">
        <v>566</v>
      </c>
      <c r="D104" t="s">
        <v>392</v>
      </c>
      <c r="E104" t="s">
        <v>571</v>
      </c>
      <c r="F104" t="s">
        <v>321</v>
      </c>
      <c r="G104">
        <v>36.6</v>
      </c>
      <c r="H104">
        <v>42</v>
      </c>
      <c r="I104">
        <v>741</v>
      </c>
      <c r="J104">
        <v>40.384500000000003</v>
      </c>
      <c r="K104" s="64">
        <v>45600</v>
      </c>
      <c r="L104">
        <v>65.426159999999996</v>
      </c>
      <c r="M104">
        <v>25.04166</v>
      </c>
      <c r="N104">
        <v>55.213949999999997</v>
      </c>
      <c r="O104">
        <v>14.82945</v>
      </c>
      <c r="P104" t="s">
        <v>322</v>
      </c>
      <c r="Q104" t="s">
        <v>333</v>
      </c>
      <c r="R104" t="s">
        <v>572</v>
      </c>
      <c r="S104">
        <v>43.2864</v>
      </c>
      <c r="T104">
        <v>2.9018999999999999</v>
      </c>
      <c r="U104" t="s">
        <v>339</v>
      </c>
      <c r="V104" t="s">
        <v>436</v>
      </c>
      <c r="W104">
        <v>67.5</v>
      </c>
      <c r="X104">
        <v>27.115500000000001</v>
      </c>
      <c r="Y104">
        <v>31</v>
      </c>
      <c r="Z104" t="s">
        <v>274</v>
      </c>
      <c r="AB104" s="77">
        <f t="shared" si="75"/>
        <v>25.04166</v>
      </c>
      <c r="AC104" s="77">
        <f t="shared" si="76"/>
        <v>14.82945</v>
      </c>
      <c r="AD104" s="77">
        <f t="shared" si="77"/>
        <v>38.274690123950421</v>
      </c>
      <c r="AE104" s="77">
        <f t="shared" si="78"/>
        <v>26.858158128516433</v>
      </c>
      <c r="AF104" s="77">
        <f t="shared" si="79"/>
        <v>2.9018999999999999</v>
      </c>
      <c r="AG104" s="77">
        <f t="shared" si="80"/>
        <v>6.7039532047017074</v>
      </c>
      <c r="AH104" s="337"/>
      <c r="AI104" s="337"/>
      <c r="AJ104" s="337"/>
      <c r="AK104" s="337"/>
      <c r="AL104" s="337"/>
      <c r="AM104" s="338"/>
      <c r="AN104" t="str">
        <f t="shared" si="65"/>
        <v>Capped</v>
      </c>
      <c r="AO104" t="s">
        <v>395</v>
      </c>
      <c r="AP104" t="str">
        <f t="shared" si="66"/>
        <v>DDm125-27</v>
      </c>
      <c r="AQ104">
        <f>_xlfn.XLOOKUP(A104,'SYS Allocations'!A:A,'SYS Allocations'!B:B)</f>
        <v>0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7"/>
        <v>DDm125-27</v>
      </c>
    </row>
    <row r="105" spans="1:53">
      <c r="A105" s="35" t="s">
        <v>121</v>
      </c>
      <c r="B105" t="s">
        <v>328</v>
      </c>
      <c r="C105" t="s">
        <v>573</v>
      </c>
      <c r="D105" t="s">
        <v>319</v>
      </c>
      <c r="E105" t="s">
        <v>574</v>
      </c>
      <c r="F105" t="s">
        <v>560</v>
      </c>
      <c r="G105">
        <v>37.5</v>
      </c>
      <c r="H105">
        <v>4</v>
      </c>
      <c r="I105">
        <v>48</v>
      </c>
      <c r="J105">
        <v>2.6160000000000001</v>
      </c>
      <c r="K105" s="64">
        <v>44564.340277777803</v>
      </c>
      <c r="L105">
        <v>4.9050000000000002</v>
      </c>
      <c r="M105">
        <v>2.2890000000000001</v>
      </c>
      <c r="N105">
        <v>5.8042499999999997</v>
      </c>
      <c r="O105">
        <v>3.18825</v>
      </c>
      <c r="P105" t="s">
        <v>375</v>
      </c>
      <c r="Q105" t="s">
        <v>354</v>
      </c>
      <c r="R105" t="s">
        <v>355</v>
      </c>
      <c r="S105">
        <v>5.1840000000000002</v>
      </c>
      <c r="T105">
        <v>2.5680000000000001</v>
      </c>
      <c r="U105" t="s">
        <v>325</v>
      </c>
      <c r="V105" t="s">
        <v>356</v>
      </c>
      <c r="W105">
        <v>5.0250000000000004</v>
      </c>
      <c r="X105">
        <v>2.4089999999999998</v>
      </c>
      <c r="Y105">
        <v>3</v>
      </c>
      <c r="AB105" s="77">
        <f t="shared" si="75"/>
        <v>2.2890000000000001</v>
      </c>
      <c r="AC105" s="77">
        <f t="shared" si="76"/>
        <v>3.18825</v>
      </c>
      <c r="AD105" s="77">
        <f t="shared" si="77"/>
        <v>46.666666666666664</v>
      </c>
      <c r="AE105" s="77">
        <f t="shared" si="78"/>
        <v>54.929577464788736</v>
      </c>
      <c r="AF105" s="77">
        <f t="shared" si="79"/>
        <v>2.5680000000000001</v>
      </c>
      <c r="AG105" s="77">
        <f t="shared" si="80"/>
        <v>49.537037037037031</v>
      </c>
      <c r="AH105" s="77">
        <f t="shared" si="81"/>
        <v>5.0250000000000004</v>
      </c>
      <c r="AI105" s="77">
        <f t="shared" si="82"/>
        <v>2.6160000000000001</v>
      </c>
      <c r="AJ105" s="77">
        <f t="shared" si="83"/>
        <v>2.4090000000000003</v>
      </c>
      <c r="AK105" s="77">
        <f t="shared" si="84"/>
        <v>0</v>
      </c>
      <c r="AL105" s="77">
        <f t="shared" si="85"/>
        <v>2.4090000000000003</v>
      </c>
      <c r="AM105" s="77">
        <f t="shared" si="86"/>
        <v>47.940298507462686</v>
      </c>
      <c r="AN105" t="str">
        <f t="shared" si="65"/>
        <v/>
      </c>
      <c r="AO105" t="s">
        <v>327</v>
      </c>
      <c r="AP105" t="str">
        <f t="shared" si="66"/>
        <v>SBS C11F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7"/>
        <v>SBS C11F</v>
      </c>
    </row>
    <row r="106" spans="1:53">
      <c r="A106" s="35" t="s">
        <v>122</v>
      </c>
      <c r="B106" t="s">
        <v>377</v>
      </c>
      <c r="C106" t="s">
        <v>575</v>
      </c>
      <c r="D106" t="s">
        <v>319</v>
      </c>
      <c r="E106" t="s">
        <v>576</v>
      </c>
      <c r="F106" t="s">
        <v>321</v>
      </c>
      <c r="G106">
        <v>36.6</v>
      </c>
      <c r="H106">
        <v>9</v>
      </c>
      <c r="I106">
        <v>48</v>
      </c>
      <c r="J106">
        <v>2.6160000000000001</v>
      </c>
      <c r="K106" s="64">
        <v>45600</v>
      </c>
      <c r="L106">
        <v>12.766080000000001</v>
      </c>
      <c r="M106">
        <v>10.150080000000001</v>
      </c>
      <c r="N106">
        <v>9.4720999999999993</v>
      </c>
      <c r="O106">
        <v>6.8560999999999996</v>
      </c>
      <c r="P106" t="s">
        <v>325</v>
      </c>
      <c r="Q106" t="s">
        <v>333</v>
      </c>
      <c r="R106" t="s">
        <v>366</v>
      </c>
      <c r="S106">
        <v>10.1088</v>
      </c>
      <c r="T106">
        <v>7.4927999999999804</v>
      </c>
      <c r="U106" t="s">
        <v>325</v>
      </c>
      <c r="V106" t="s">
        <v>442</v>
      </c>
      <c r="W106">
        <v>11.25</v>
      </c>
      <c r="X106">
        <v>8.6340000000000003</v>
      </c>
      <c r="Y106">
        <v>19</v>
      </c>
      <c r="AB106" s="77">
        <f t="shared" si="75"/>
        <v>10.150080000000001</v>
      </c>
      <c r="AC106" s="77">
        <f t="shared" si="76"/>
        <v>6.8560999999999996</v>
      </c>
      <c r="AD106" s="77">
        <f t="shared" si="77"/>
        <v>79.508196721311464</v>
      </c>
      <c r="AE106" s="77">
        <f t="shared" si="78"/>
        <v>72.382048331415419</v>
      </c>
      <c r="AF106" s="77">
        <f t="shared" si="79"/>
        <v>7.4927999999999804</v>
      </c>
      <c r="AG106" s="77">
        <f t="shared" si="80"/>
        <v>74.121557454890592</v>
      </c>
      <c r="AH106" s="77">
        <f t="shared" si="81"/>
        <v>11.25</v>
      </c>
      <c r="AI106" s="77">
        <f t="shared" si="82"/>
        <v>2.6160000000000001</v>
      </c>
      <c r="AJ106" s="77">
        <f t="shared" si="83"/>
        <v>8.6340000000000003</v>
      </c>
      <c r="AK106" s="77">
        <f t="shared" si="84"/>
        <v>0</v>
      </c>
      <c r="AL106" s="77">
        <f t="shared" si="85"/>
        <v>8.6340000000000003</v>
      </c>
      <c r="AM106" s="77">
        <f t="shared" si="86"/>
        <v>76.74666666666667</v>
      </c>
      <c r="AN106" t="str">
        <f t="shared" si="65"/>
        <v/>
      </c>
      <c r="AO106" t="s">
        <v>327</v>
      </c>
      <c r="AP106" t="str">
        <f t="shared" si="66"/>
        <v>2DDm85-15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7"/>
        <v>2DDm85-15</v>
      </c>
    </row>
    <row r="107" spans="1:53">
      <c r="A107" s="35" t="s">
        <v>123</v>
      </c>
      <c r="B107" t="s">
        <v>372</v>
      </c>
      <c r="C107" t="s">
        <v>577</v>
      </c>
      <c r="D107" t="s">
        <v>319</v>
      </c>
      <c r="E107" t="s">
        <v>578</v>
      </c>
      <c r="F107" t="s">
        <v>321</v>
      </c>
      <c r="G107">
        <v>36.6</v>
      </c>
      <c r="H107">
        <v>18</v>
      </c>
      <c r="I107">
        <v>200</v>
      </c>
      <c r="J107">
        <v>10.9</v>
      </c>
      <c r="K107" s="64">
        <v>44419.5</v>
      </c>
      <c r="L107">
        <v>27.12792</v>
      </c>
      <c r="M107">
        <v>16.227920000000001</v>
      </c>
      <c r="N107">
        <v>19.085899999999999</v>
      </c>
      <c r="O107">
        <v>8.1859000000000002</v>
      </c>
      <c r="P107" t="s">
        <v>325</v>
      </c>
      <c r="Q107" t="s">
        <v>333</v>
      </c>
      <c r="R107" t="s">
        <v>472</v>
      </c>
      <c r="S107">
        <v>22.982399999999998</v>
      </c>
      <c r="T107">
        <v>12.0824</v>
      </c>
      <c r="U107" t="s">
        <v>346</v>
      </c>
      <c r="V107" t="s">
        <v>579</v>
      </c>
      <c r="W107">
        <v>50.25</v>
      </c>
      <c r="X107">
        <v>39.35</v>
      </c>
      <c r="Y107">
        <v>71</v>
      </c>
      <c r="AB107" s="77">
        <f t="shared" si="75"/>
        <v>16.227920000000001</v>
      </c>
      <c r="AC107" s="77">
        <f t="shared" si="76"/>
        <v>8.1859000000000002</v>
      </c>
      <c r="AD107" s="77">
        <f t="shared" si="77"/>
        <v>59.819993571198978</v>
      </c>
      <c r="AE107" s="77">
        <f t="shared" si="78"/>
        <v>42.889777270131354</v>
      </c>
      <c r="AF107" s="77">
        <f t="shared" si="79"/>
        <v>12.0824</v>
      </c>
      <c r="AG107" s="77">
        <f t="shared" si="80"/>
        <v>52.572403230297972</v>
      </c>
      <c r="AH107" s="77">
        <f t="shared" si="81"/>
        <v>50.25</v>
      </c>
      <c r="AI107" s="77">
        <f t="shared" si="82"/>
        <v>10.9</v>
      </c>
      <c r="AJ107" s="77">
        <f t="shared" si="83"/>
        <v>39.35</v>
      </c>
      <c r="AK107" s="77">
        <f t="shared" si="84"/>
        <v>0</v>
      </c>
      <c r="AL107" s="77">
        <f t="shared" si="85"/>
        <v>39.35</v>
      </c>
      <c r="AM107" s="77">
        <f t="shared" si="86"/>
        <v>78.308457711442799</v>
      </c>
      <c r="AN107" t="str">
        <f t="shared" si="65"/>
        <v/>
      </c>
      <c r="AO107" t="s">
        <v>327</v>
      </c>
      <c r="AP107" t="str">
        <f t="shared" si="66"/>
        <v>DDm85-33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7"/>
        <v>DDm85-33</v>
      </c>
    </row>
    <row r="108" spans="1:53">
      <c r="A108" s="35" t="s">
        <v>124</v>
      </c>
      <c r="B108" t="s">
        <v>372</v>
      </c>
      <c r="C108" t="s">
        <v>577</v>
      </c>
      <c r="D108" t="s">
        <v>319</v>
      </c>
      <c r="E108" t="s">
        <v>578</v>
      </c>
      <c r="F108" t="s">
        <v>321</v>
      </c>
      <c r="G108">
        <v>36.6</v>
      </c>
      <c r="H108">
        <v>16</v>
      </c>
      <c r="I108">
        <v>13</v>
      </c>
      <c r="J108">
        <v>0.70850000000000002</v>
      </c>
      <c r="K108" s="64">
        <v>45048</v>
      </c>
      <c r="L108">
        <v>23.936399999999999</v>
      </c>
      <c r="M108">
        <v>23.227900000000002</v>
      </c>
      <c r="N108">
        <v>18.802499999999998</v>
      </c>
      <c r="O108">
        <v>18.094000000000001</v>
      </c>
      <c r="P108" t="s">
        <v>325</v>
      </c>
      <c r="Q108" t="s">
        <v>333</v>
      </c>
      <c r="R108" t="s">
        <v>334</v>
      </c>
      <c r="S108">
        <v>17.409600000000001</v>
      </c>
      <c r="T108">
        <v>16.7011</v>
      </c>
      <c r="U108" t="s">
        <v>346</v>
      </c>
      <c r="V108" t="s">
        <v>579</v>
      </c>
      <c r="W108">
        <v>50.25</v>
      </c>
      <c r="X108">
        <v>49.541499999999999</v>
      </c>
      <c r="Y108">
        <v>71</v>
      </c>
      <c r="AB108" s="77">
        <f t="shared" ref="AB108" si="91">M108-AA108</f>
        <v>23.227900000000002</v>
      </c>
      <c r="AC108" s="77">
        <f t="shared" ref="AC108" si="92">O108-AA108</f>
        <v>18.094000000000001</v>
      </c>
      <c r="AD108" s="77">
        <f t="shared" ref="AD108" si="93">AB108/L108%</f>
        <v>97.040072859744996</v>
      </c>
      <c r="AE108" s="77">
        <f t="shared" ref="AE108" si="94">AC108/N108%</f>
        <v>96.231884057971016</v>
      </c>
      <c r="AF108" s="77">
        <f t="shared" ref="AF108" si="95">T108-AA108</f>
        <v>16.7011</v>
      </c>
      <c r="AG108" s="77">
        <f t="shared" ref="AG108" si="96">AF108/S108%</f>
        <v>95.93040621266428</v>
      </c>
      <c r="AH108" s="337">
        <f>AVERAGE(W108:W109)</f>
        <v>50.25</v>
      </c>
      <c r="AI108" s="337">
        <f>SUM(J108:J109)</f>
        <v>1.3080000000000001</v>
      </c>
      <c r="AJ108" s="337">
        <f t="shared" ref="AJ108" si="97">AH108-AI108</f>
        <v>48.942</v>
      </c>
      <c r="AK108" s="337">
        <f>SUM(AA108:AA109)</f>
        <v>0</v>
      </c>
      <c r="AL108" s="337">
        <f t="shared" ref="AL108" si="98">AJ108-AK108</f>
        <v>48.942</v>
      </c>
      <c r="AM108" s="338">
        <f t="shared" ref="AM108" si="99">AL108/AH108%</f>
        <v>97.397014925373142</v>
      </c>
      <c r="AN108" t="str">
        <f t="shared" si="65"/>
        <v/>
      </c>
      <c r="AO108" s="52" t="s">
        <v>395</v>
      </c>
      <c r="AP108" t="str">
        <f t="shared" ref="AP108" si="100">TRIM(BA108)</f>
        <v>DDm85-25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 t="str">
        <f>_xlfn.XLOOKUP(A108,'SYS Allocations'!A:A,'SYS Allocations'!E:E)</f>
        <v>AM</v>
      </c>
      <c r="AU108">
        <f>_xlfn.XLOOKUP(A108,'SYS Allocations'!A:A,'SYS Allocations'!F:F)</f>
        <v>0</v>
      </c>
      <c r="BA108" t="str">
        <f t="shared" si="67"/>
        <v>DDm85-25</v>
      </c>
    </row>
    <row r="109" spans="1:53">
      <c r="A109" s="35" t="s">
        <v>125</v>
      </c>
      <c r="B109" t="s">
        <v>372</v>
      </c>
      <c r="C109" t="s">
        <v>577</v>
      </c>
      <c r="D109" t="s">
        <v>319</v>
      </c>
      <c r="E109" t="s">
        <v>578</v>
      </c>
      <c r="F109" t="s">
        <v>321</v>
      </c>
      <c r="G109">
        <v>36.6</v>
      </c>
      <c r="H109">
        <v>16</v>
      </c>
      <c r="I109">
        <v>11</v>
      </c>
      <c r="J109">
        <v>0.59950000000000003</v>
      </c>
      <c r="K109" s="64">
        <v>45048</v>
      </c>
      <c r="L109">
        <v>23.936399999999999</v>
      </c>
      <c r="M109">
        <v>23.3369</v>
      </c>
      <c r="N109">
        <v>18.802499999999998</v>
      </c>
      <c r="O109">
        <v>18.202999999999999</v>
      </c>
      <c r="P109" t="s">
        <v>325</v>
      </c>
      <c r="Q109" t="s">
        <v>333</v>
      </c>
      <c r="R109" t="s">
        <v>334</v>
      </c>
      <c r="S109">
        <v>17.409600000000001</v>
      </c>
      <c r="T109">
        <v>16.810099999999998</v>
      </c>
      <c r="U109" t="s">
        <v>346</v>
      </c>
      <c r="V109" t="s">
        <v>579</v>
      </c>
      <c r="W109">
        <v>50.25</v>
      </c>
      <c r="X109">
        <v>49.650500000000001</v>
      </c>
      <c r="Y109">
        <v>71</v>
      </c>
      <c r="AB109" s="77">
        <f t="shared" si="75"/>
        <v>23.3369</v>
      </c>
      <c r="AC109" s="77">
        <f t="shared" si="76"/>
        <v>18.202999999999999</v>
      </c>
      <c r="AD109" s="77">
        <f t="shared" si="77"/>
        <v>97.495446265938071</v>
      </c>
      <c r="AE109" s="77">
        <f t="shared" si="78"/>
        <v>96.811594202898547</v>
      </c>
      <c r="AF109" s="77">
        <f t="shared" si="79"/>
        <v>16.810099999999998</v>
      </c>
      <c r="AG109" s="77">
        <f t="shared" si="80"/>
        <v>96.556497564562065</v>
      </c>
      <c r="AH109" s="337"/>
      <c r="AI109" s="337"/>
      <c r="AJ109" s="337"/>
      <c r="AK109" s="337"/>
      <c r="AL109" s="337"/>
      <c r="AM109" s="338"/>
      <c r="AN109" t="str">
        <f t="shared" si="65"/>
        <v/>
      </c>
      <c r="AO109" s="52" t="s">
        <v>395</v>
      </c>
      <c r="AP109" t="str">
        <f t="shared" si="66"/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>
        <f>_xlfn.XLOOKUP(A109,'SYS Allocations'!A:A,'SYS Allocations'!E:E)</f>
        <v>0</v>
      </c>
      <c r="AU109">
        <f>_xlfn.XLOOKUP(A109,'SYS Allocations'!A:A,'SYS Allocations'!F:F)</f>
        <v>0</v>
      </c>
      <c r="BA109" t="str">
        <f t="shared" si="67"/>
        <v>DDm85-25</v>
      </c>
    </row>
    <row r="110" spans="1:53">
      <c r="A110" s="35" t="s">
        <v>126</v>
      </c>
      <c r="B110" t="s">
        <v>357</v>
      </c>
      <c r="C110" t="s">
        <v>580</v>
      </c>
      <c r="D110" t="s">
        <v>319</v>
      </c>
      <c r="E110" t="s">
        <v>581</v>
      </c>
      <c r="F110" t="s">
        <v>321</v>
      </c>
      <c r="G110">
        <v>36.6</v>
      </c>
      <c r="H110">
        <v>20</v>
      </c>
      <c r="I110">
        <v>145</v>
      </c>
      <c r="J110">
        <v>7.9024999999999999</v>
      </c>
      <c r="K110" s="64">
        <v>44286.375</v>
      </c>
      <c r="L110">
        <v>30.31944</v>
      </c>
      <c r="M110">
        <v>22.41694</v>
      </c>
      <c r="N110">
        <v>21.549299999999999</v>
      </c>
      <c r="O110">
        <v>13.646800000000001</v>
      </c>
      <c r="P110" t="s">
        <v>325</v>
      </c>
      <c r="Q110" t="s">
        <v>333</v>
      </c>
      <c r="R110" t="s">
        <v>582</v>
      </c>
      <c r="S110">
        <v>26.654399999999999</v>
      </c>
      <c r="T110">
        <v>18.751899999999999</v>
      </c>
      <c r="U110" t="s">
        <v>322</v>
      </c>
      <c r="V110" t="s">
        <v>335</v>
      </c>
      <c r="W110">
        <v>22.5</v>
      </c>
      <c r="X110">
        <v>14.5975</v>
      </c>
      <c r="Y110">
        <v>19</v>
      </c>
      <c r="AB110" s="77">
        <f t="shared" si="75"/>
        <v>22.41694</v>
      </c>
      <c r="AC110" s="77">
        <f t="shared" si="76"/>
        <v>13.646800000000001</v>
      </c>
      <c r="AD110" s="77">
        <f t="shared" si="77"/>
        <v>73.935864250790914</v>
      </c>
      <c r="AE110" s="77">
        <f t="shared" si="78"/>
        <v>63.328275164390497</v>
      </c>
      <c r="AF110" s="77">
        <f t="shared" si="79"/>
        <v>18.751899999999999</v>
      </c>
      <c r="AG110" s="77">
        <f t="shared" si="80"/>
        <v>70.351986913980426</v>
      </c>
      <c r="AH110" s="77">
        <f t="shared" si="81"/>
        <v>22.5</v>
      </c>
      <c r="AI110" s="77">
        <f t="shared" si="82"/>
        <v>7.9024999999999999</v>
      </c>
      <c r="AJ110" s="77">
        <f t="shared" si="83"/>
        <v>14.5975</v>
      </c>
      <c r="AK110" s="77">
        <f t="shared" si="84"/>
        <v>0</v>
      </c>
      <c r="AL110" s="77">
        <f t="shared" si="85"/>
        <v>14.5975</v>
      </c>
      <c r="AM110" s="77">
        <f t="shared" si="86"/>
        <v>64.87777777777778</v>
      </c>
      <c r="AN110" t="str">
        <f t="shared" si="65"/>
        <v/>
      </c>
      <c r="AO110" t="s">
        <v>327</v>
      </c>
      <c r="AP110" t="str">
        <f t="shared" si="66"/>
        <v>DDm125-25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7"/>
        <v>DDm125-25</v>
      </c>
    </row>
    <row r="111" spans="1:53">
      <c r="A111" s="35" t="s">
        <v>127</v>
      </c>
      <c r="B111" t="s">
        <v>396</v>
      </c>
      <c r="C111" t="s">
        <v>583</v>
      </c>
      <c r="D111" t="s">
        <v>319</v>
      </c>
      <c r="E111" t="s">
        <v>584</v>
      </c>
      <c r="F111" t="s">
        <v>353</v>
      </c>
      <c r="G111">
        <v>22</v>
      </c>
      <c r="H111">
        <v>6</v>
      </c>
      <c r="I111">
        <v>13</v>
      </c>
      <c r="J111">
        <v>0.70850000000000002</v>
      </c>
      <c r="K111" s="64">
        <v>44700.395833333299</v>
      </c>
      <c r="L111">
        <v>4.7960000000000003</v>
      </c>
      <c r="M111">
        <v>4.0875000000000004</v>
      </c>
      <c r="N111">
        <v>3.8149999999999999</v>
      </c>
      <c r="O111">
        <v>3.1065</v>
      </c>
      <c r="P111" t="s">
        <v>339</v>
      </c>
      <c r="Q111" t="s">
        <v>333</v>
      </c>
      <c r="R111" t="s">
        <v>535</v>
      </c>
      <c r="S111">
        <v>3.7670400000000002</v>
      </c>
      <c r="T111">
        <v>3.0585399999999998</v>
      </c>
      <c r="U111" t="s">
        <v>325</v>
      </c>
      <c r="V111" t="s">
        <v>356</v>
      </c>
      <c r="W111">
        <v>5.0250000000000004</v>
      </c>
      <c r="X111">
        <v>4.3164999999999996</v>
      </c>
      <c r="Y111">
        <v>6</v>
      </c>
      <c r="AB111" s="77">
        <f t="shared" si="75"/>
        <v>4.0875000000000004</v>
      </c>
      <c r="AC111" s="77">
        <f t="shared" si="76"/>
        <v>3.1065</v>
      </c>
      <c r="AD111" s="77">
        <f t="shared" si="77"/>
        <v>85.227272727272734</v>
      </c>
      <c r="AE111" s="77">
        <f t="shared" si="78"/>
        <v>81.428571428571431</v>
      </c>
      <c r="AF111" s="77">
        <f t="shared" si="79"/>
        <v>3.0585399999999998</v>
      </c>
      <c r="AG111" s="77">
        <f t="shared" si="80"/>
        <v>81.192129629629619</v>
      </c>
      <c r="AH111" s="77">
        <f t="shared" si="81"/>
        <v>5.0250000000000004</v>
      </c>
      <c r="AI111" s="77">
        <f t="shared" si="82"/>
        <v>0.70850000000000002</v>
      </c>
      <c r="AJ111" s="77">
        <f t="shared" si="83"/>
        <v>4.3165000000000004</v>
      </c>
      <c r="AK111" s="77">
        <f t="shared" si="84"/>
        <v>0</v>
      </c>
      <c r="AL111" s="77">
        <f t="shared" si="85"/>
        <v>4.3165000000000004</v>
      </c>
      <c r="AM111" s="77">
        <f t="shared" si="86"/>
        <v>85.900497512437809</v>
      </c>
      <c r="AN111" t="str">
        <f t="shared" si="65"/>
        <v/>
      </c>
      <c r="AO111" t="s">
        <v>327</v>
      </c>
      <c r="AP111" t="str">
        <f t="shared" si="66"/>
        <v>SBS 12V100F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7"/>
        <v>SBS 12V100F</v>
      </c>
    </row>
    <row r="112" spans="1:53">
      <c r="A112" s="35" t="s">
        <v>128</v>
      </c>
      <c r="B112" t="s">
        <v>363</v>
      </c>
      <c r="C112" t="s">
        <v>585</v>
      </c>
      <c r="D112" t="s">
        <v>319</v>
      </c>
      <c r="E112" t="s">
        <v>586</v>
      </c>
      <c r="F112" t="s">
        <v>321</v>
      </c>
      <c r="G112">
        <v>36.6</v>
      </c>
      <c r="H112">
        <v>7</v>
      </c>
      <c r="I112">
        <v>50</v>
      </c>
      <c r="J112">
        <v>2.7250000000000001</v>
      </c>
      <c r="K112" s="64">
        <v>45600</v>
      </c>
      <c r="L112">
        <v>9.57456</v>
      </c>
      <c r="M112">
        <v>6.8495600000000003</v>
      </c>
      <c r="N112">
        <v>8.4802</v>
      </c>
      <c r="O112">
        <v>5.7552000000000003</v>
      </c>
      <c r="P112" t="s">
        <v>446</v>
      </c>
      <c r="Q112" t="s">
        <v>354</v>
      </c>
      <c r="R112" t="s">
        <v>450</v>
      </c>
      <c r="S112">
        <v>7.8105600000000104</v>
      </c>
      <c r="T112">
        <v>5.0855600000000099</v>
      </c>
      <c r="U112" t="s">
        <v>325</v>
      </c>
      <c r="V112" t="s">
        <v>442</v>
      </c>
      <c r="W112">
        <v>11.25</v>
      </c>
      <c r="X112">
        <v>8.5250000000000004</v>
      </c>
      <c r="Y112">
        <v>21</v>
      </c>
      <c r="AB112" s="77">
        <f t="shared" si="75"/>
        <v>6.8495600000000003</v>
      </c>
      <c r="AC112" s="77">
        <f t="shared" si="76"/>
        <v>5.7552000000000003</v>
      </c>
      <c r="AD112" s="77">
        <f t="shared" si="77"/>
        <v>71.539162112932601</v>
      </c>
      <c r="AE112" s="77">
        <f t="shared" si="78"/>
        <v>67.866323907455012</v>
      </c>
      <c r="AF112" s="77">
        <f t="shared" si="79"/>
        <v>5.0855600000000099</v>
      </c>
      <c r="AG112" s="77">
        <f t="shared" si="80"/>
        <v>65.111336447066577</v>
      </c>
      <c r="AH112" s="77">
        <f t="shared" si="81"/>
        <v>11.25</v>
      </c>
      <c r="AI112" s="77">
        <f t="shared" si="82"/>
        <v>2.7250000000000001</v>
      </c>
      <c r="AJ112" s="77">
        <f t="shared" si="83"/>
        <v>8.5250000000000004</v>
      </c>
      <c r="AK112" s="77">
        <f t="shared" si="84"/>
        <v>0</v>
      </c>
      <c r="AL112" s="77">
        <f t="shared" si="85"/>
        <v>8.5250000000000004</v>
      </c>
      <c r="AM112" s="77">
        <f t="shared" si="86"/>
        <v>75.777777777777786</v>
      </c>
      <c r="AN112" t="str">
        <f t="shared" si="65"/>
        <v/>
      </c>
      <c r="AO112" t="s">
        <v>327</v>
      </c>
      <c r="AP112" t="str">
        <f t="shared" si="66"/>
        <v>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7"/>
        <v>12V100F</v>
      </c>
    </row>
    <row r="113" spans="1:53">
      <c r="A113" s="35" t="s">
        <v>129</v>
      </c>
      <c r="B113" t="s">
        <v>372</v>
      </c>
      <c r="C113" t="s">
        <v>587</v>
      </c>
      <c r="D113" t="s">
        <v>319</v>
      </c>
      <c r="E113" t="s">
        <v>588</v>
      </c>
      <c r="F113" t="s">
        <v>321</v>
      </c>
      <c r="G113">
        <v>36.6</v>
      </c>
      <c r="H113">
        <v>18</v>
      </c>
      <c r="I113">
        <v>22</v>
      </c>
      <c r="J113">
        <v>1.1990000000000001</v>
      </c>
      <c r="K113" s="64">
        <v>45600</v>
      </c>
      <c r="L113">
        <v>27.12792</v>
      </c>
      <c r="M113">
        <v>25.928920000000002</v>
      </c>
      <c r="N113">
        <v>22.791899999999998</v>
      </c>
      <c r="O113">
        <v>21.5929</v>
      </c>
      <c r="P113" t="s">
        <v>325</v>
      </c>
      <c r="Q113" t="s">
        <v>333</v>
      </c>
      <c r="R113" t="s">
        <v>334</v>
      </c>
      <c r="S113">
        <v>17.409600000000001</v>
      </c>
      <c r="T113">
        <v>16.210599999999999</v>
      </c>
      <c r="U113" t="s">
        <v>375</v>
      </c>
      <c r="V113" t="s">
        <v>367</v>
      </c>
      <c r="W113">
        <v>112.5</v>
      </c>
      <c r="X113">
        <v>111.301</v>
      </c>
      <c r="Y113">
        <v>22</v>
      </c>
      <c r="AB113" s="77">
        <f t="shared" si="75"/>
        <v>25.928920000000002</v>
      </c>
      <c r="AC113" s="77">
        <f t="shared" si="76"/>
        <v>21.5929</v>
      </c>
      <c r="AD113" s="77">
        <f t="shared" si="77"/>
        <v>95.580199292831892</v>
      </c>
      <c r="AE113" s="77">
        <f t="shared" si="78"/>
        <v>94.739359158297475</v>
      </c>
      <c r="AF113" s="77">
        <f t="shared" si="79"/>
        <v>16.210599999999999</v>
      </c>
      <c r="AG113" s="77">
        <f t="shared" si="80"/>
        <v>93.112995129124158</v>
      </c>
      <c r="AH113" s="337">
        <f>AVERAGE(W113:W114)</f>
        <v>112.5</v>
      </c>
      <c r="AI113" s="337">
        <f>SUM(J113:J114)</f>
        <v>3.052</v>
      </c>
      <c r="AJ113" s="337">
        <f t="shared" si="83"/>
        <v>109.44799999999999</v>
      </c>
      <c r="AK113" s="337">
        <f>SUM(AA113:AA114)</f>
        <v>0</v>
      </c>
      <c r="AL113" s="337">
        <f t="shared" si="85"/>
        <v>109.44799999999999</v>
      </c>
      <c r="AM113" s="338">
        <f t="shared" si="86"/>
        <v>97.287111111111102</v>
      </c>
      <c r="AN113" t="str">
        <f t="shared" si="65"/>
        <v/>
      </c>
      <c r="AO113" t="s">
        <v>395</v>
      </c>
      <c r="AP113" t="str">
        <f t="shared" si="66"/>
        <v>DDm85-25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 t="str">
        <f>_xlfn.XLOOKUP(A113,'SYS Allocations'!A:A,'SYS Allocations'!E:E)</f>
        <v>AM</v>
      </c>
      <c r="AU113">
        <f>_xlfn.XLOOKUP(A113,'SYS Allocations'!A:A,'SYS Allocations'!F:F)</f>
        <v>0</v>
      </c>
      <c r="BA113" t="str">
        <f t="shared" si="67"/>
        <v>DDm85-25</v>
      </c>
    </row>
    <row r="114" spans="1:53">
      <c r="A114" s="35" t="s">
        <v>130</v>
      </c>
      <c r="B114" t="s">
        <v>372</v>
      </c>
      <c r="C114" t="s">
        <v>587</v>
      </c>
      <c r="D114" t="s">
        <v>319</v>
      </c>
      <c r="E114" t="s">
        <v>588</v>
      </c>
      <c r="F114" t="s">
        <v>321</v>
      </c>
      <c r="G114">
        <v>36.6</v>
      </c>
      <c r="H114">
        <v>18</v>
      </c>
      <c r="I114">
        <v>34</v>
      </c>
      <c r="J114">
        <v>1.853</v>
      </c>
      <c r="K114" s="64">
        <v>45600</v>
      </c>
      <c r="L114">
        <v>27.12792</v>
      </c>
      <c r="M114">
        <v>25.274920000000002</v>
      </c>
      <c r="N114">
        <v>22.791899999999998</v>
      </c>
      <c r="O114">
        <v>20.9389</v>
      </c>
      <c r="P114" t="s">
        <v>325</v>
      </c>
      <c r="Q114" t="s">
        <v>333</v>
      </c>
      <c r="R114" t="s">
        <v>334</v>
      </c>
      <c r="S114">
        <v>17.409600000000001</v>
      </c>
      <c r="T114">
        <v>15.5566</v>
      </c>
      <c r="U114" t="s">
        <v>375</v>
      </c>
      <c r="V114" t="s">
        <v>367</v>
      </c>
      <c r="W114">
        <v>112.5</v>
      </c>
      <c r="X114">
        <v>110.64700000000001</v>
      </c>
      <c r="Y114">
        <v>22</v>
      </c>
      <c r="AB114" s="77">
        <f t="shared" ref="AB114" si="101">M114-AA114</f>
        <v>25.274920000000002</v>
      </c>
      <c r="AC114" s="77">
        <f t="shared" ref="AC114" si="102">O114-AA114</f>
        <v>20.9389</v>
      </c>
      <c r="AD114" s="77">
        <f t="shared" ref="AD114" si="103">AB114/L114%</f>
        <v>93.169398907103826</v>
      </c>
      <c r="AE114" s="77">
        <f t="shared" ref="AE114" si="104">AC114/N114%</f>
        <v>91.869918699186996</v>
      </c>
      <c r="AF114" s="77">
        <f t="shared" ref="AF114" si="105">T114-AA114</f>
        <v>15.5566</v>
      </c>
      <c r="AG114" s="77">
        <f t="shared" ref="AG114" si="106">AF114/S114%</f>
        <v>89.356447017737338</v>
      </c>
      <c r="AH114" s="337"/>
      <c r="AI114" s="337"/>
      <c r="AJ114" s="337"/>
      <c r="AK114" s="337"/>
      <c r="AL114" s="337"/>
      <c r="AM114" s="338"/>
      <c r="AN114" t="str">
        <f t="shared" si="65"/>
        <v/>
      </c>
      <c r="AO114" t="s">
        <v>395</v>
      </c>
      <c r="AP114" t="str">
        <f t="shared" si="6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>
        <f>_xlfn.XLOOKUP(A114,'SYS Allocations'!A:A,'SYS Allocations'!E:E)</f>
        <v>0</v>
      </c>
      <c r="AU114">
        <f>_xlfn.XLOOKUP(A114,'SYS Allocations'!A:A,'SYS Allocations'!F:F)</f>
        <v>0</v>
      </c>
      <c r="BA114" t="str">
        <f t="shared" si="67"/>
        <v>DDm85-25</v>
      </c>
    </row>
    <row r="115" spans="1:53">
      <c r="A115" s="35" t="s">
        <v>131</v>
      </c>
      <c r="B115" t="s">
        <v>372</v>
      </c>
      <c r="C115" t="s">
        <v>589</v>
      </c>
      <c r="D115" t="s">
        <v>319</v>
      </c>
      <c r="E115" t="s">
        <v>590</v>
      </c>
      <c r="F115" t="s">
        <v>321</v>
      </c>
      <c r="G115">
        <v>36.6</v>
      </c>
      <c r="H115">
        <v>23</v>
      </c>
      <c r="I115">
        <v>265</v>
      </c>
      <c r="J115">
        <v>14.442500000000001</v>
      </c>
      <c r="K115" s="64">
        <v>45600</v>
      </c>
      <c r="L115">
        <v>35.106720000000003</v>
      </c>
      <c r="M115">
        <v>20.66422</v>
      </c>
      <c r="N115">
        <v>22.083400000000001</v>
      </c>
      <c r="O115">
        <v>7.6409000000000002</v>
      </c>
      <c r="P115" t="s">
        <v>325</v>
      </c>
      <c r="Q115" t="s">
        <v>333</v>
      </c>
      <c r="R115" t="s">
        <v>347</v>
      </c>
      <c r="S115">
        <v>35.553600000000003</v>
      </c>
      <c r="T115">
        <v>21.1111</v>
      </c>
      <c r="U115" t="s">
        <v>322</v>
      </c>
      <c r="V115" t="s">
        <v>343</v>
      </c>
      <c r="W115">
        <v>45</v>
      </c>
      <c r="X115">
        <v>30.557500000000001</v>
      </c>
      <c r="Y115">
        <v>24</v>
      </c>
      <c r="AB115" s="77">
        <f t="shared" si="75"/>
        <v>20.66422</v>
      </c>
      <c r="AC115" s="77">
        <f t="shared" si="76"/>
        <v>7.6409000000000002</v>
      </c>
      <c r="AD115" s="77">
        <f t="shared" si="77"/>
        <v>58.861152508693486</v>
      </c>
      <c r="AE115" s="77">
        <f t="shared" si="78"/>
        <v>34.60019743336624</v>
      </c>
      <c r="AF115" s="77">
        <f t="shared" si="79"/>
        <v>21.1111</v>
      </c>
      <c r="AG115" s="77">
        <f t="shared" si="80"/>
        <v>59.378234552900409</v>
      </c>
      <c r="AH115" s="77">
        <f t="shared" si="81"/>
        <v>45</v>
      </c>
      <c r="AI115" s="77">
        <f t="shared" si="82"/>
        <v>14.442500000000001</v>
      </c>
      <c r="AJ115" s="77">
        <f t="shared" si="83"/>
        <v>30.557499999999997</v>
      </c>
      <c r="AK115" s="77">
        <f t="shared" si="84"/>
        <v>0</v>
      </c>
      <c r="AL115" s="77">
        <f t="shared" si="85"/>
        <v>30.557499999999997</v>
      </c>
      <c r="AM115" s="77">
        <f t="shared" si="86"/>
        <v>67.905555555555551</v>
      </c>
      <c r="AN115" t="str">
        <f t="shared" si="65"/>
        <v/>
      </c>
      <c r="AO115" t="s">
        <v>327</v>
      </c>
      <c r="AP115" t="str">
        <f t="shared" si="66"/>
        <v>DDm125-33</v>
      </c>
      <c r="AQ115">
        <f>_xlfn.XLOOKUP(A115,'SYS Allocations'!A:A,'SYS Allocations'!B:B)</f>
        <v>0</v>
      </c>
      <c r="AR115" t="str">
        <f>_xlfn.XLOOKUP(A115,'SYS Allocations'!A:A,'SYS Allocations'!C:C)</f>
        <v>RA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7"/>
        <v>DDm125-33</v>
      </c>
    </row>
    <row r="116" spans="1:53">
      <c r="A116" s="35" t="s">
        <v>132</v>
      </c>
      <c r="B116" t="s">
        <v>437</v>
      </c>
      <c r="C116" t="s">
        <v>591</v>
      </c>
      <c r="D116" t="s">
        <v>319</v>
      </c>
      <c r="E116" t="s">
        <v>592</v>
      </c>
      <c r="F116" t="s">
        <v>321</v>
      </c>
      <c r="G116">
        <v>36.6</v>
      </c>
      <c r="H116">
        <v>42</v>
      </c>
      <c r="I116">
        <v>282</v>
      </c>
      <c r="J116">
        <v>15.369</v>
      </c>
      <c r="K116" s="64">
        <v>45600</v>
      </c>
      <c r="L116">
        <v>65.426159999999996</v>
      </c>
      <c r="M116">
        <v>50.057160000000003</v>
      </c>
      <c r="N116">
        <v>49.082700000000003</v>
      </c>
      <c r="O116">
        <v>33.713700000000003</v>
      </c>
      <c r="P116" t="s">
        <v>322</v>
      </c>
      <c r="Q116" t="s">
        <v>333</v>
      </c>
      <c r="R116" t="s">
        <v>347</v>
      </c>
      <c r="S116">
        <v>53.330399999999997</v>
      </c>
      <c r="T116">
        <v>37.961399999999998</v>
      </c>
      <c r="U116" t="s">
        <v>346</v>
      </c>
      <c r="V116" t="s">
        <v>501</v>
      </c>
      <c r="W116">
        <v>180</v>
      </c>
      <c r="X116">
        <v>164.631</v>
      </c>
      <c r="Y116">
        <v>60</v>
      </c>
      <c r="AB116" s="77">
        <f t="shared" si="75"/>
        <v>50.057160000000003</v>
      </c>
      <c r="AC116" s="77">
        <f t="shared" si="76"/>
        <v>33.713700000000003</v>
      </c>
      <c r="AD116" s="77">
        <f t="shared" si="77"/>
        <v>76.50939624150341</v>
      </c>
      <c r="AE116" s="77">
        <f t="shared" si="78"/>
        <v>68.687541638907405</v>
      </c>
      <c r="AF116" s="77">
        <f t="shared" si="79"/>
        <v>37.961399999999998</v>
      </c>
      <c r="AG116" s="77">
        <f t="shared" si="80"/>
        <v>71.181539984699157</v>
      </c>
      <c r="AH116" s="337">
        <f>AVERAGE(W116:W117)</f>
        <v>180</v>
      </c>
      <c r="AI116" s="337">
        <f>SUM(J116:J117)</f>
        <v>39.131</v>
      </c>
      <c r="AJ116" s="337">
        <f t="shared" si="83"/>
        <v>140.869</v>
      </c>
      <c r="AK116" s="337">
        <f>SUM(AA116:AA117)</f>
        <v>0</v>
      </c>
      <c r="AL116" s="337">
        <f t="shared" si="85"/>
        <v>140.869</v>
      </c>
      <c r="AM116" s="338">
        <f t="shared" si="86"/>
        <v>78.260555555555555</v>
      </c>
      <c r="AN116" t="str">
        <f t="shared" si="65"/>
        <v/>
      </c>
      <c r="AO116" t="s">
        <v>395</v>
      </c>
      <c r="AP116" t="str">
        <f t="shared" si="6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7"/>
        <v>DDm125-33</v>
      </c>
    </row>
    <row r="117" spans="1:53">
      <c r="A117" s="35" t="s">
        <v>133</v>
      </c>
      <c r="B117" t="s">
        <v>437</v>
      </c>
      <c r="C117" t="s">
        <v>591</v>
      </c>
      <c r="D117" t="s">
        <v>319</v>
      </c>
      <c r="E117" t="s">
        <v>592</v>
      </c>
      <c r="F117" t="s">
        <v>321</v>
      </c>
      <c r="G117">
        <v>36.6</v>
      </c>
      <c r="H117">
        <v>42</v>
      </c>
      <c r="I117">
        <v>436</v>
      </c>
      <c r="J117">
        <v>23.762</v>
      </c>
      <c r="K117" s="64">
        <v>45600</v>
      </c>
      <c r="L117">
        <v>65.426159999999996</v>
      </c>
      <c r="M117">
        <v>41.664160000000003</v>
      </c>
      <c r="N117">
        <v>49.082700000000003</v>
      </c>
      <c r="O117">
        <v>25.320699999999999</v>
      </c>
      <c r="P117" t="s">
        <v>322</v>
      </c>
      <c r="Q117" t="s">
        <v>333</v>
      </c>
      <c r="R117" t="s">
        <v>347</v>
      </c>
      <c r="S117">
        <v>53.330399999999997</v>
      </c>
      <c r="T117">
        <v>29.5684</v>
      </c>
      <c r="U117" t="s">
        <v>346</v>
      </c>
      <c r="V117" t="s">
        <v>501</v>
      </c>
      <c r="W117">
        <v>180</v>
      </c>
      <c r="X117">
        <v>156.238</v>
      </c>
      <c r="Y117">
        <v>60</v>
      </c>
      <c r="AB117" s="77">
        <f t="shared" ref="AB117" si="107">M117-AA117</f>
        <v>41.664160000000003</v>
      </c>
      <c r="AC117" s="77">
        <f t="shared" ref="AC117" si="108">O117-AA117</f>
        <v>25.320699999999999</v>
      </c>
      <c r="AD117" s="77">
        <f t="shared" ref="AD117" si="109">AB117/L117%</f>
        <v>63.681194188991071</v>
      </c>
      <c r="AE117" s="77">
        <f t="shared" ref="AE117" si="110">AC117/N117%</f>
        <v>51.587830335331994</v>
      </c>
      <c r="AF117" s="77">
        <f t="shared" ref="AF117" si="111">T117-AA117</f>
        <v>29.5684</v>
      </c>
      <c r="AG117" s="77">
        <f t="shared" ref="AG117" si="112">AF117/S117%</f>
        <v>55.443799408967493</v>
      </c>
      <c r="AH117" s="337"/>
      <c r="AI117" s="337"/>
      <c r="AJ117" s="337"/>
      <c r="AK117" s="337"/>
      <c r="AL117" s="337"/>
      <c r="AM117" s="338"/>
      <c r="AN117" t="str">
        <f t="shared" si="65"/>
        <v/>
      </c>
      <c r="AO117" t="s">
        <v>395</v>
      </c>
      <c r="AP117" t="str">
        <f t="shared" si="66"/>
        <v>DDm125-33</v>
      </c>
      <c r="AQ117">
        <f>_xlfn.XLOOKUP(A117,'SYS Allocations'!A:A,'SYS Allocations'!B:B)</f>
        <v>0</v>
      </c>
      <c r="AR117">
        <f>_xlfn.XLOOKUP(A117,'SYS Allocations'!A:A,'SYS Allocations'!C:C)</f>
        <v>0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7"/>
        <v>DDm125-33</v>
      </c>
    </row>
    <row r="118" spans="1:53">
      <c r="A118" s="35" t="s">
        <v>134</v>
      </c>
      <c r="B118" t="s">
        <v>328</v>
      </c>
      <c r="C118" t="s">
        <v>477</v>
      </c>
      <c r="D118" t="s">
        <v>392</v>
      </c>
      <c r="E118" t="s">
        <v>593</v>
      </c>
      <c r="F118" t="s">
        <v>321</v>
      </c>
      <c r="G118">
        <v>36.6</v>
      </c>
      <c r="H118">
        <v>54</v>
      </c>
      <c r="I118">
        <v>891</v>
      </c>
      <c r="J118">
        <v>48.5595</v>
      </c>
      <c r="K118" s="64">
        <v>45600</v>
      </c>
      <c r="L118">
        <v>84.575280000000006</v>
      </c>
      <c r="M118">
        <v>36.015779999999999</v>
      </c>
      <c r="N118">
        <v>62.119100000000003</v>
      </c>
      <c r="O118">
        <v>13.5596</v>
      </c>
      <c r="P118" t="s">
        <v>339</v>
      </c>
      <c r="Q118" t="s">
        <v>333</v>
      </c>
      <c r="R118" t="s">
        <v>347</v>
      </c>
      <c r="S118">
        <v>71.107200000000205</v>
      </c>
      <c r="T118">
        <v>22.547700000000201</v>
      </c>
      <c r="U118" t="s">
        <v>339</v>
      </c>
      <c r="V118" t="s">
        <v>418</v>
      </c>
      <c r="W118">
        <v>90</v>
      </c>
      <c r="X118">
        <v>41.4405</v>
      </c>
      <c r="Y118">
        <v>51</v>
      </c>
      <c r="Z118" t="s">
        <v>274</v>
      </c>
      <c r="AB118" s="77">
        <f t="shared" si="75"/>
        <v>36.015779999999999</v>
      </c>
      <c r="AC118" s="77">
        <f t="shared" si="76"/>
        <v>13.5596</v>
      </c>
      <c r="AD118" s="77">
        <f t="shared" si="77"/>
        <v>42.584287039901014</v>
      </c>
      <c r="AE118" s="77">
        <f t="shared" si="78"/>
        <v>21.828390945779958</v>
      </c>
      <c r="AF118" s="77">
        <f t="shared" si="79"/>
        <v>22.547700000000201</v>
      </c>
      <c r="AG118" s="77">
        <f t="shared" si="80"/>
        <v>31.709447144593145</v>
      </c>
      <c r="AH118" s="337">
        <f>AVERAGE(W118:W119)</f>
        <v>90</v>
      </c>
      <c r="AI118" s="337">
        <f>SUM(J118:J119)</f>
        <v>78.807000000000002</v>
      </c>
      <c r="AJ118" s="337">
        <f t="shared" si="83"/>
        <v>11.192999999999998</v>
      </c>
      <c r="AK118" s="337">
        <f>SUM(AA118:AA119)</f>
        <v>0</v>
      </c>
      <c r="AL118" s="337">
        <f t="shared" si="85"/>
        <v>11.192999999999998</v>
      </c>
      <c r="AM118" s="338">
        <f t="shared" si="86"/>
        <v>12.436666666666664</v>
      </c>
      <c r="AN118" t="str">
        <f t="shared" si="65"/>
        <v>Capped</v>
      </c>
      <c r="AO118" t="s">
        <v>395</v>
      </c>
      <c r="AP118" t="str">
        <f t="shared" si="66"/>
        <v>DDm125-33</v>
      </c>
      <c r="AQ118" t="str">
        <f>_xlfn.XLOOKUP(A118,'SYS Allocations'!A:A,'SYS Allocations'!B:B)</f>
        <v>P-Core</v>
      </c>
      <c r="AR118" t="str">
        <f>_xlfn.XLOOKUP(A118,'SYS Allocations'!A:A,'SYS Allocations'!C:C)</f>
        <v>RA</v>
      </c>
      <c r="AS118" t="str">
        <f>_xlfn.XLOOKUP(A118,'SYS Allocations'!A:A,'SYS Allocations'!D:D)</f>
        <v>PX</v>
      </c>
      <c r="AT118">
        <f>_xlfn.XLOOKUP(A118,'SYS Allocations'!A:A,'SYS Allocations'!E:E)</f>
        <v>0</v>
      </c>
      <c r="AU118" t="str">
        <f>_xlfn.XLOOKUP(A118,'SYS Allocations'!A:A,'SYS Allocations'!F:F)</f>
        <v>OPEX</v>
      </c>
      <c r="BA118" t="str">
        <f t="shared" si="67"/>
        <v>DDm125-33</v>
      </c>
    </row>
    <row r="119" spans="1:53">
      <c r="A119" s="35" t="s">
        <v>135</v>
      </c>
      <c r="B119" t="s">
        <v>328</v>
      </c>
      <c r="C119" t="s">
        <v>477</v>
      </c>
      <c r="D119" t="s">
        <v>392</v>
      </c>
      <c r="E119" t="s">
        <v>593</v>
      </c>
      <c r="F119" t="s">
        <v>321</v>
      </c>
      <c r="G119">
        <v>36.6</v>
      </c>
      <c r="H119">
        <v>54</v>
      </c>
      <c r="I119">
        <v>555</v>
      </c>
      <c r="J119">
        <v>30.247499999999999</v>
      </c>
      <c r="K119" s="64">
        <v>45600</v>
      </c>
      <c r="L119">
        <v>84.575280000000006</v>
      </c>
      <c r="M119">
        <v>54.327779999999997</v>
      </c>
      <c r="N119">
        <v>62.119100000000003</v>
      </c>
      <c r="O119">
        <v>31.871600000000001</v>
      </c>
      <c r="P119" t="s">
        <v>339</v>
      </c>
      <c r="Q119" t="s">
        <v>333</v>
      </c>
      <c r="R119" t="s">
        <v>347</v>
      </c>
      <c r="S119">
        <v>71.107200000000205</v>
      </c>
      <c r="T119">
        <v>40.859700000000203</v>
      </c>
      <c r="U119" t="s">
        <v>339</v>
      </c>
      <c r="V119" t="s">
        <v>418</v>
      </c>
      <c r="W119">
        <v>90</v>
      </c>
      <c r="X119">
        <v>59.752499999999998</v>
      </c>
      <c r="Y119">
        <v>51</v>
      </c>
      <c r="Z119" t="s">
        <v>274</v>
      </c>
      <c r="AB119" s="77">
        <f t="shared" si="75"/>
        <v>54.327779999999997</v>
      </c>
      <c r="AC119" s="77">
        <f t="shared" si="76"/>
        <v>31.871600000000001</v>
      </c>
      <c r="AD119" s="77">
        <f t="shared" si="77"/>
        <v>64.236003711722844</v>
      </c>
      <c r="AE119" s="77">
        <f t="shared" si="78"/>
        <v>51.307246885418493</v>
      </c>
      <c r="AF119" s="77">
        <f t="shared" si="79"/>
        <v>40.859700000000203</v>
      </c>
      <c r="AG119" s="77">
        <f t="shared" si="80"/>
        <v>57.462113541244889</v>
      </c>
      <c r="AH119" s="337"/>
      <c r="AI119" s="337"/>
      <c r="AJ119" s="337"/>
      <c r="AK119" s="337"/>
      <c r="AL119" s="337"/>
      <c r="AM119" s="338"/>
      <c r="AN119" t="str">
        <f t="shared" si="65"/>
        <v>Capped</v>
      </c>
      <c r="AO119" t="s">
        <v>395</v>
      </c>
      <c r="AP119" t="str">
        <f t="shared" si="66"/>
        <v>DDm125-33</v>
      </c>
      <c r="AQ119">
        <f>_xlfn.XLOOKUP(A119,'SYS Allocations'!A:A,'SYS Allocations'!B:B)</f>
        <v>0</v>
      </c>
      <c r="AR119">
        <f>_xlfn.XLOOKUP(A119,'SYS Allocations'!A:A,'SYS Allocations'!C:C)</f>
        <v>0</v>
      </c>
      <c r="AS119">
        <f>_xlfn.XLOOKUP(A119,'SYS Allocations'!A:A,'SYS Allocations'!D:D)</f>
        <v>0</v>
      </c>
      <c r="AT119">
        <f>_xlfn.XLOOKUP(A119,'SYS Allocations'!A:A,'SYS Allocations'!E:E)</f>
        <v>0</v>
      </c>
      <c r="AU119">
        <f>_xlfn.XLOOKUP(A119,'SYS Allocations'!A:A,'SYS Allocations'!F:F)</f>
        <v>0</v>
      </c>
      <c r="BA119" t="str">
        <f t="shared" si="67"/>
        <v>DDm125-33</v>
      </c>
    </row>
    <row r="120" spans="1:53">
      <c r="A120" s="35" t="s">
        <v>136</v>
      </c>
      <c r="B120" t="s">
        <v>328</v>
      </c>
      <c r="C120" t="s">
        <v>477</v>
      </c>
      <c r="D120" t="s">
        <v>319</v>
      </c>
      <c r="E120" t="s">
        <v>594</v>
      </c>
      <c r="F120" t="s">
        <v>321</v>
      </c>
      <c r="G120">
        <v>36.6</v>
      </c>
      <c r="H120">
        <v>19</v>
      </c>
      <c r="I120">
        <v>172</v>
      </c>
      <c r="J120">
        <v>9.3740000000000006</v>
      </c>
      <c r="K120" s="64">
        <v>45600</v>
      </c>
      <c r="L120">
        <v>28.723680000000002</v>
      </c>
      <c r="M120">
        <v>19.349679999999999</v>
      </c>
      <c r="N120">
        <v>19.554600000000001</v>
      </c>
      <c r="O120">
        <v>10.1806</v>
      </c>
      <c r="P120" t="s">
        <v>325</v>
      </c>
      <c r="Q120" t="s">
        <v>333</v>
      </c>
      <c r="R120" t="s">
        <v>582</v>
      </c>
      <c r="S120">
        <v>26.654399999999999</v>
      </c>
      <c r="T120">
        <v>17.2804</v>
      </c>
      <c r="U120" t="s">
        <v>322</v>
      </c>
      <c r="V120" t="s">
        <v>335</v>
      </c>
      <c r="W120">
        <v>22.5</v>
      </c>
      <c r="X120">
        <v>13.125999999999999</v>
      </c>
      <c r="Y120">
        <v>61</v>
      </c>
      <c r="AB120" s="77">
        <f t="shared" si="75"/>
        <v>19.349679999999999</v>
      </c>
      <c r="AC120" s="77">
        <f t="shared" si="76"/>
        <v>10.1806</v>
      </c>
      <c r="AD120" s="77">
        <f t="shared" si="77"/>
        <v>67.364905889496043</v>
      </c>
      <c r="AE120" s="77">
        <f t="shared" si="78"/>
        <v>52.062430323299893</v>
      </c>
      <c r="AF120" s="77">
        <f t="shared" si="79"/>
        <v>17.2804</v>
      </c>
      <c r="AG120" s="77">
        <f t="shared" si="80"/>
        <v>64.831322408307827</v>
      </c>
      <c r="AH120" s="77">
        <f t="shared" si="81"/>
        <v>22.5</v>
      </c>
      <c r="AI120" s="77">
        <f t="shared" si="82"/>
        <v>9.3740000000000006</v>
      </c>
      <c r="AJ120" s="77">
        <f t="shared" si="83"/>
        <v>13.125999999999999</v>
      </c>
      <c r="AK120" s="77">
        <f t="shared" si="84"/>
        <v>0</v>
      </c>
      <c r="AL120" s="77">
        <f t="shared" si="85"/>
        <v>13.125999999999999</v>
      </c>
      <c r="AM120" s="77">
        <f t="shared" si="86"/>
        <v>58.337777777777774</v>
      </c>
      <c r="AN120" t="str">
        <f t="shared" si="65"/>
        <v/>
      </c>
      <c r="AO120" t="s">
        <v>327</v>
      </c>
      <c r="AP120" t="str">
        <f t="shared" si="66"/>
        <v>DDm125-25</v>
      </c>
      <c r="AQ120">
        <f>_xlfn.XLOOKUP(A120,'SYS Allocations'!A:A,'SYS Allocations'!B:B)</f>
        <v>0</v>
      </c>
      <c r="AR120" t="str">
        <f>_xlfn.XLOOKUP(A120,'SYS Allocations'!A:A,'SYS Allocations'!C:C)</f>
        <v>RA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7"/>
        <v>DDm125-25</v>
      </c>
    </row>
    <row r="121" spans="1:53">
      <c r="A121" s="35" t="s">
        <v>137</v>
      </c>
      <c r="B121" t="s">
        <v>328</v>
      </c>
      <c r="C121" t="s">
        <v>477</v>
      </c>
      <c r="D121" t="s">
        <v>319</v>
      </c>
      <c r="E121" t="s">
        <v>595</v>
      </c>
      <c r="F121" t="s">
        <v>321</v>
      </c>
      <c r="G121">
        <v>36.6</v>
      </c>
      <c r="H121">
        <v>35</v>
      </c>
      <c r="I121">
        <v>586</v>
      </c>
      <c r="J121">
        <v>31.937000000000001</v>
      </c>
      <c r="K121" s="64">
        <v>45600</v>
      </c>
      <c r="L121">
        <v>54.255839999999999</v>
      </c>
      <c r="M121">
        <v>22.318840000000002</v>
      </c>
      <c r="N121">
        <v>35.119799999999998</v>
      </c>
      <c r="O121">
        <v>3.1827999999999999</v>
      </c>
      <c r="P121" t="s">
        <v>322</v>
      </c>
      <c r="Q121" t="s">
        <v>333</v>
      </c>
      <c r="R121" t="s">
        <v>347</v>
      </c>
      <c r="S121">
        <v>53.330399999999997</v>
      </c>
      <c r="T121">
        <v>21.3934</v>
      </c>
      <c r="U121" t="s">
        <v>346</v>
      </c>
      <c r="V121" t="s">
        <v>596</v>
      </c>
      <c r="W121">
        <v>63</v>
      </c>
      <c r="X121">
        <v>31.062999999999999</v>
      </c>
      <c r="Y121">
        <v>3</v>
      </c>
      <c r="AB121" s="77">
        <f t="shared" si="75"/>
        <v>22.318840000000002</v>
      </c>
      <c r="AC121" s="77">
        <f t="shared" si="76"/>
        <v>3.1827999999999999</v>
      </c>
      <c r="AD121" s="77">
        <f t="shared" si="77"/>
        <v>41.136290581806499</v>
      </c>
      <c r="AE121" s="77">
        <f t="shared" si="78"/>
        <v>9.0626939788950978</v>
      </c>
      <c r="AF121" s="77">
        <f t="shared" si="79"/>
        <v>21.3934</v>
      </c>
      <c r="AG121" s="77">
        <f t="shared" si="80"/>
        <v>40.114831315722363</v>
      </c>
      <c r="AH121" s="77">
        <f t="shared" si="81"/>
        <v>63</v>
      </c>
      <c r="AI121" s="77">
        <f t="shared" si="82"/>
        <v>31.937000000000001</v>
      </c>
      <c r="AJ121" s="77">
        <f t="shared" si="83"/>
        <v>31.062999999999999</v>
      </c>
      <c r="AK121" s="77">
        <f t="shared" si="84"/>
        <v>0</v>
      </c>
      <c r="AL121" s="77">
        <f t="shared" si="85"/>
        <v>31.062999999999999</v>
      </c>
      <c r="AM121" s="77">
        <f t="shared" si="86"/>
        <v>49.306349206349203</v>
      </c>
      <c r="AN121" t="str">
        <f t="shared" si="65"/>
        <v/>
      </c>
      <c r="AO121" t="s">
        <v>327</v>
      </c>
      <c r="AP121" t="str">
        <f t="shared" si="66"/>
        <v>DDm125-33</v>
      </c>
      <c r="AQ121">
        <f>_xlfn.XLOOKUP(A121,'SYS Allocations'!A:A,'SYS Allocations'!B:B)</f>
        <v>0</v>
      </c>
      <c r="AR121">
        <f>_xlfn.XLOOKUP(A121,'SYS Allocations'!A:A,'SYS Allocations'!C:C)</f>
        <v>0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7"/>
        <v>DDm125-33</v>
      </c>
    </row>
    <row r="122" spans="1:53">
      <c r="A122" s="35" t="s">
        <v>138</v>
      </c>
      <c r="B122" t="s">
        <v>328</v>
      </c>
      <c r="C122" t="s">
        <v>597</v>
      </c>
      <c r="D122" t="s">
        <v>319</v>
      </c>
      <c r="E122" t="s">
        <v>598</v>
      </c>
      <c r="F122" t="s">
        <v>321</v>
      </c>
      <c r="G122">
        <v>36.6</v>
      </c>
      <c r="H122">
        <v>3</v>
      </c>
      <c r="I122">
        <v>14</v>
      </c>
      <c r="J122">
        <v>0.76300000000000001</v>
      </c>
      <c r="K122" s="64">
        <v>45600</v>
      </c>
      <c r="L122">
        <v>3.1915200000000001</v>
      </c>
      <c r="M122">
        <v>2.4285199999999998</v>
      </c>
      <c r="N122">
        <v>2.8994</v>
      </c>
      <c r="O122">
        <v>2.1364000000000001</v>
      </c>
      <c r="P122" t="s">
        <v>325</v>
      </c>
      <c r="Q122" t="s">
        <v>333</v>
      </c>
      <c r="R122" t="s">
        <v>445</v>
      </c>
      <c r="S122">
        <v>1.7927999999999999</v>
      </c>
      <c r="T122">
        <v>1.0298</v>
      </c>
      <c r="U122" t="s">
        <v>325</v>
      </c>
      <c r="V122" t="s">
        <v>356</v>
      </c>
      <c r="W122">
        <v>5.0250000000000004</v>
      </c>
      <c r="X122">
        <v>4.2619999999999996</v>
      </c>
      <c r="Y122">
        <v>6</v>
      </c>
      <c r="AB122" s="77">
        <f t="shared" ref="AB122" si="113">M122-AA122</f>
        <v>2.4285199999999998</v>
      </c>
      <c r="AC122" s="77">
        <f t="shared" ref="AC122" si="114">O122-AA122</f>
        <v>2.1364000000000001</v>
      </c>
      <c r="AD122" s="77">
        <f t="shared" ref="AD122" si="115">AB122/L122%</f>
        <v>76.09289617486337</v>
      </c>
      <c r="AE122" s="77">
        <f t="shared" ref="AE122" si="116">AC122/N122%</f>
        <v>73.684210526315795</v>
      </c>
      <c r="AF122" s="77">
        <f t="shared" ref="AF122" si="117">T122-AA122</f>
        <v>1.0298</v>
      </c>
      <c r="AG122" s="77">
        <f t="shared" ref="AG122" si="118">AF122/S122%</f>
        <v>57.440874609549311</v>
      </c>
      <c r="AH122" s="77">
        <f t="shared" ref="AH122" si="119">W122</f>
        <v>5.0250000000000004</v>
      </c>
      <c r="AI122" s="77">
        <f t="shared" ref="AI122" si="120">J122</f>
        <v>0.76300000000000001</v>
      </c>
      <c r="AJ122" s="77">
        <f t="shared" ref="AJ122" si="121">AH122-AI122</f>
        <v>4.2620000000000005</v>
      </c>
      <c r="AK122" s="77">
        <f t="shared" ref="AK122" si="122">AA122</f>
        <v>0</v>
      </c>
      <c r="AL122" s="77">
        <f t="shared" ref="AL122" si="123">AJ122-AK122</f>
        <v>4.2620000000000005</v>
      </c>
      <c r="AM122" s="77">
        <f t="shared" ref="AM122" si="124">AL122/AH122%</f>
        <v>84.815920398009951</v>
      </c>
      <c r="AN122" t="str">
        <f t="shared" si="65"/>
        <v/>
      </c>
      <c r="AO122" t="s">
        <v>327</v>
      </c>
      <c r="AP122" t="str">
        <f t="shared" si="66"/>
        <v>12V101F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7"/>
        <v xml:space="preserve">12V101F </v>
      </c>
    </row>
    <row r="123" spans="1:53">
      <c r="A123" s="35" t="s">
        <v>139</v>
      </c>
      <c r="B123" t="s">
        <v>357</v>
      </c>
      <c r="C123" t="s">
        <v>599</v>
      </c>
      <c r="D123" t="s">
        <v>392</v>
      </c>
      <c r="E123" t="s">
        <v>600</v>
      </c>
      <c r="F123" t="s">
        <v>601</v>
      </c>
      <c r="G123">
        <v>37.5</v>
      </c>
      <c r="H123">
        <v>8</v>
      </c>
      <c r="I123">
        <v>148</v>
      </c>
      <c r="J123">
        <v>8.0660000000000007</v>
      </c>
      <c r="K123" s="64">
        <v>45600</v>
      </c>
      <c r="L123">
        <v>11.445</v>
      </c>
      <c r="M123">
        <v>3.379</v>
      </c>
      <c r="N123">
        <v>10.087949673000001</v>
      </c>
      <c r="O123">
        <v>2.0219496729999999</v>
      </c>
      <c r="P123" t="s">
        <v>375</v>
      </c>
      <c r="Q123" t="s">
        <v>354</v>
      </c>
      <c r="R123" t="s">
        <v>361</v>
      </c>
      <c r="S123">
        <v>8.4240000000000297</v>
      </c>
      <c r="T123">
        <v>0.35800000000002502</v>
      </c>
      <c r="U123" t="s">
        <v>322</v>
      </c>
      <c r="V123" t="s">
        <v>602</v>
      </c>
      <c r="W123">
        <v>12</v>
      </c>
      <c r="X123">
        <v>3.9340000000000002</v>
      </c>
      <c r="Y123">
        <v>3</v>
      </c>
      <c r="Z123" t="s">
        <v>8</v>
      </c>
      <c r="AB123" s="77">
        <f t="shared" si="75"/>
        <v>3.379</v>
      </c>
      <c r="AC123" s="77">
        <f t="shared" si="76"/>
        <v>2.0219496729999999</v>
      </c>
      <c r="AD123" s="77">
        <f t="shared" si="77"/>
        <v>29.523809523809526</v>
      </c>
      <c r="AE123" s="77">
        <f t="shared" si="78"/>
        <v>20.04321728935334</v>
      </c>
      <c r="AF123" s="77">
        <f t="shared" si="79"/>
        <v>0.35800000000002502</v>
      </c>
      <c r="AG123" s="77">
        <f t="shared" si="80"/>
        <v>4.2497625830961985</v>
      </c>
      <c r="AH123" s="77">
        <f t="shared" si="81"/>
        <v>12</v>
      </c>
      <c r="AI123" s="77">
        <f t="shared" si="82"/>
        <v>8.0660000000000007</v>
      </c>
      <c r="AJ123" s="77">
        <f t="shared" si="83"/>
        <v>3.9339999999999993</v>
      </c>
      <c r="AK123" s="77">
        <f t="shared" si="84"/>
        <v>0</v>
      </c>
      <c r="AL123" s="77">
        <f t="shared" si="85"/>
        <v>3.9339999999999993</v>
      </c>
      <c r="AM123" s="77">
        <f t="shared" si="86"/>
        <v>32.783333333333331</v>
      </c>
      <c r="AN123" t="str">
        <f t="shared" si="65"/>
        <v>Capped</v>
      </c>
      <c r="AO123" t="s">
        <v>327</v>
      </c>
      <c r="AP123" t="str">
        <f t="shared" si="66"/>
        <v>12V155F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7"/>
        <v>12V155F</v>
      </c>
    </row>
    <row r="124" spans="1:53">
      <c r="A124" s="35" t="s">
        <v>140</v>
      </c>
      <c r="B124" t="s">
        <v>390</v>
      </c>
      <c r="C124" t="s">
        <v>603</v>
      </c>
      <c r="D124" t="s">
        <v>319</v>
      </c>
      <c r="E124" t="s">
        <v>604</v>
      </c>
      <c r="F124" t="s">
        <v>321</v>
      </c>
      <c r="G124">
        <v>36.6</v>
      </c>
      <c r="H124">
        <v>19</v>
      </c>
      <c r="I124">
        <v>252</v>
      </c>
      <c r="J124">
        <v>13.734</v>
      </c>
      <c r="K124" s="64">
        <v>45111</v>
      </c>
      <c r="L124">
        <v>28.723680000000002</v>
      </c>
      <c r="M124">
        <v>14.98968</v>
      </c>
      <c r="N124">
        <v>17.83785</v>
      </c>
      <c r="O124">
        <v>4.1038500000000004</v>
      </c>
      <c r="P124" t="s">
        <v>322</v>
      </c>
      <c r="Q124" t="s">
        <v>333</v>
      </c>
      <c r="R124" t="s">
        <v>605</v>
      </c>
      <c r="S124">
        <v>28.187999999999999</v>
      </c>
      <c r="T124">
        <v>14.454000000000001</v>
      </c>
      <c r="U124" t="s">
        <v>375</v>
      </c>
      <c r="V124" t="s">
        <v>335</v>
      </c>
      <c r="W124">
        <v>22.5</v>
      </c>
      <c r="X124">
        <v>8.766</v>
      </c>
      <c r="Y124">
        <v>16</v>
      </c>
      <c r="AB124" s="77">
        <f t="shared" si="75"/>
        <v>14.98968</v>
      </c>
      <c r="AC124" s="77">
        <f t="shared" si="76"/>
        <v>4.1038500000000004</v>
      </c>
      <c r="AD124" s="77">
        <f t="shared" si="77"/>
        <v>52.185792349726775</v>
      </c>
      <c r="AE124" s="77">
        <f t="shared" si="78"/>
        <v>23.006416131989003</v>
      </c>
      <c r="AF124" s="77">
        <f t="shared" si="79"/>
        <v>14.454000000000001</v>
      </c>
      <c r="AG124" s="77">
        <f t="shared" si="80"/>
        <v>51.277139208173701</v>
      </c>
      <c r="AH124" s="77">
        <f t="shared" si="81"/>
        <v>22.5</v>
      </c>
      <c r="AI124" s="77">
        <f t="shared" si="82"/>
        <v>13.734</v>
      </c>
      <c r="AJ124" s="77">
        <f t="shared" si="83"/>
        <v>8.766</v>
      </c>
      <c r="AK124" s="77">
        <f t="shared" si="84"/>
        <v>0</v>
      </c>
      <c r="AL124" s="77">
        <f t="shared" si="85"/>
        <v>8.766</v>
      </c>
      <c r="AM124" s="77">
        <f t="shared" si="86"/>
        <v>38.96</v>
      </c>
      <c r="AN124" t="str">
        <f t="shared" si="65"/>
        <v/>
      </c>
      <c r="AO124" t="s">
        <v>327</v>
      </c>
      <c r="AP124" t="str">
        <f t="shared" si="66"/>
        <v>DDm85-27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7"/>
        <v>DDm85-27</v>
      </c>
    </row>
    <row r="125" spans="1:53">
      <c r="A125" s="35" t="s">
        <v>141</v>
      </c>
      <c r="B125" t="s">
        <v>344</v>
      </c>
      <c r="C125" t="s">
        <v>606</v>
      </c>
      <c r="D125" t="s">
        <v>385</v>
      </c>
      <c r="E125" t="s">
        <v>607</v>
      </c>
      <c r="F125" t="s">
        <v>321</v>
      </c>
      <c r="G125">
        <v>36.6</v>
      </c>
      <c r="H125">
        <v>8</v>
      </c>
      <c r="I125">
        <v>109</v>
      </c>
      <c r="J125">
        <v>5.9405000000000001</v>
      </c>
      <c r="K125" s="64">
        <v>45600</v>
      </c>
      <c r="L125">
        <v>11.17032</v>
      </c>
      <c r="M125">
        <v>5.2298200000000001</v>
      </c>
      <c r="N125">
        <v>6.9869000000000003</v>
      </c>
      <c r="O125">
        <v>1.0464</v>
      </c>
      <c r="P125" t="s">
        <v>602</v>
      </c>
      <c r="Q125" t="s">
        <v>354</v>
      </c>
      <c r="R125" t="s">
        <v>450</v>
      </c>
      <c r="S125">
        <v>15.621119999999999</v>
      </c>
      <c r="T125">
        <v>9.6806200000000295</v>
      </c>
      <c r="U125" t="s">
        <v>325</v>
      </c>
      <c r="V125" t="s">
        <v>376</v>
      </c>
      <c r="W125">
        <v>48.75</v>
      </c>
      <c r="X125">
        <v>42.8095</v>
      </c>
      <c r="Y125">
        <v>12</v>
      </c>
      <c r="AB125" s="77">
        <f t="shared" si="75"/>
        <v>5.2298200000000001</v>
      </c>
      <c r="AC125" s="77">
        <f t="shared" si="76"/>
        <v>1.0464</v>
      </c>
      <c r="AD125" s="77">
        <f t="shared" si="77"/>
        <v>46.81889149102264</v>
      </c>
      <c r="AE125" s="77">
        <f t="shared" si="78"/>
        <v>14.976599063962558</v>
      </c>
      <c r="AF125" s="77">
        <f t="shared" si="79"/>
        <v>9.6806200000000295</v>
      </c>
      <c r="AG125" s="77">
        <f t="shared" si="80"/>
        <v>61.971356727302712</v>
      </c>
      <c r="AH125" s="77">
        <f t="shared" si="81"/>
        <v>48.75</v>
      </c>
      <c r="AI125" s="77">
        <f t="shared" si="82"/>
        <v>5.9405000000000001</v>
      </c>
      <c r="AJ125" s="77">
        <f t="shared" si="83"/>
        <v>42.8095</v>
      </c>
      <c r="AK125" s="77">
        <f t="shared" si="84"/>
        <v>0</v>
      </c>
      <c r="AL125" s="77">
        <f t="shared" si="85"/>
        <v>42.8095</v>
      </c>
      <c r="AM125" s="77">
        <f t="shared" si="86"/>
        <v>87.814358974358981</v>
      </c>
      <c r="AN125" t="str">
        <f t="shared" si="65"/>
        <v/>
      </c>
      <c r="AO125" t="s">
        <v>327</v>
      </c>
      <c r="AP125" t="str">
        <f t="shared" si="66"/>
        <v>12V100F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7"/>
        <v>12V100F</v>
      </c>
    </row>
    <row r="126" spans="1:53">
      <c r="A126" s="35" t="s">
        <v>142</v>
      </c>
      <c r="B126" t="s">
        <v>344</v>
      </c>
      <c r="C126" t="s">
        <v>606</v>
      </c>
      <c r="D126" t="s">
        <v>385</v>
      </c>
      <c r="E126" t="s">
        <v>608</v>
      </c>
      <c r="F126" t="s">
        <v>321</v>
      </c>
      <c r="G126">
        <v>36.6</v>
      </c>
      <c r="H126">
        <v>8</v>
      </c>
      <c r="I126">
        <v>109</v>
      </c>
      <c r="J126">
        <v>5.9405000000000001</v>
      </c>
      <c r="K126" s="64">
        <v>45600</v>
      </c>
      <c r="L126">
        <v>11.17032</v>
      </c>
      <c r="M126">
        <v>5.2298200000000001</v>
      </c>
      <c r="N126">
        <v>6.9869000000000003</v>
      </c>
      <c r="O126">
        <v>1.0464</v>
      </c>
      <c r="P126" t="s">
        <v>602</v>
      </c>
      <c r="Q126" t="s">
        <v>354</v>
      </c>
      <c r="R126" t="s">
        <v>450</v>
      </c>
      <c r="S126">
        <v>15.621119999999999</v>
      </c>
      <c r="T126">
        <v>9.6806200000000295</v>
      </c>
      <c r="U126" t="s">
        <v>325</v>
      </c>
      <c r="V126" t="s">
        <v>376</v>
      </c>
      <c r="W126">
        <v>48.75</v>
      </c>
      <c r="X126">
        <v>42.8095</v>
      </c>
      <c r="Y126">
        <v>4</v>
      </c>
      <c r="AB126" s="77">
        <f t="shared" si="75"/>
        <v>5.2298200000000001</v>
      </c>
      <c r="AC126" s="77">
        <f t="shared" si="76"/>
        <v>1.0464</v>
      </c>
      <c r="AD126" s="77">
        <f t="shared" si="77"/>
        <v>46.81889149102264</v>
      </c>
      <c r="AE126" s="77">
        <f t="shared" si="78"/>
        <v>14.976599063962558</v>
      </c>
      <c r="AF126" s="77">
        <f t="shared" si="79"/>
        <v>9.6806200000000295</v>
      </c>
      <c r="AG126" s="77">
        <f t="shared" si="80"/>
        <v>61.971356727302712</v>
      </c>
      <c r="AH126" s="77">
        <f t="shared" si="81"/>
        <v>48.75</v>
      </c>
      <c r="AI126" s="77">
        <f t="shared" si="82"/>
        <v>5.9405000000000001</v>
      </c>
      <c r="AJ126" s="77">
        <f t="shared" si="83"/>
        <v>42.8095</v>
      </c>
      <c r="AK126" s="77">
        <f t="shared" si="84"/>
        <v>0</v>
      </c>
      <c r="AL126" s="77">
        <f t="shared" si="85"/>
        <v>42.8095</v>
      </c>
      <c r="AM126" s="77">
        <f t="shared" si="86"/>
        <v>87.814358974358981</v>
      </c>
      <c r="AN126" t="str">
        <f t="shared" si="65"/>
        <v/>
      </c>
      <c r="AO126" t="s">
        <v>327</v>
      </c>
      <c r="AP126" t="str">
        <f t="shared" si="6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7"/>
        <v>12V100F</v>
      </c>
    </row>
    <row r="127" spans="1:53">
      <c r="A127" s="35" t="s">
        <v>143</v>
      </c>
      <c r="B127" t="s">
        <v>317</v>
      </c>
      <c r="C127" t="s">
        <v>609</v>
      </c>
      <c r="D127" t="s">
        <v>319</v>
      </c>
      <c r="E127" t="s">
        <v>610</v>
      </c>
      <c r="F127" t="s">
        <v>321</v>
      </c>
      <c r="G127">
        <v>36.6</v>
      </c>
      <c r="H127">
        <v>17</v>
      </c>
      <c r="I127">
        <v>199</v>
      </c>
      <c r="J127">
        <v>10.845499999999999</v>
      </c>
      <c r="K127" s="64">
        <v>44880</v>
      </c>
      <c r="L127">
        <v>25.532160000000001</v>
      </c>
      <c r="M127">
        <v>14.68666</v>
      </c>
      <c r="N127">
        <v>22.650200000000002</v>
      </c>
      <c r="O127">
        <v>11.8047</v>
      </c>
      <c r="P127" t="s">
        <v>325</v>
      </c>
      <c r="Q127" t="s">
        <v>333</v>
      </c>
      <c r="R127" t="s">
        <v>568</v>
      </c>
      <c r="S127">
        <v>14.428800000000001</v>
      </c>
      <c r="T127">
        <v>3.5832999999999999</v>
      </c>
      <c r="U127" t="s">
        <v>339</v>
      </c>
      <c r="V127" t="s">
        <v>436</v>
      </c>
      <c r="W127">
        <v>67.5</v>
      </c>
      <c r="X127">
        <v>56.654499999999999</v>
      </c>
      <c r="Y127">
        <v>38</v>
      </c>
      <c r="AB127" s="77">
        <f t="shared" si="75"/>
        <v>14.68666</v>
      </c>
      <c r="AC127" s="77">
        <f t="shared" si="76"/>
        <v>11.8047</v>
      </c>
      <c r="AD127" s="77">
        <f t="shared" si="77"/>
        <v>57.522199453551906</v>
      </c>
      <c r="AE127" s="77">
        <f t="shared" si="78"/>
        <v>52.117420596727619</v>
      </c>
      <c r="AF127" s="77">
        <f t="shared" si="79"/>
        <v>3.5832999999999999</v>
      </c>
      <c r="AG127" s="77">
        <f t="shared" si="80"/>
        <v>24.83435905965846</v>
      </c>
      <c r="AH127" s="77">
        <f t="shared" si="81"/>
        <v>67.5</v>
      </c>
      <c r="AI127" s="77">
        <f t="shared" si="82"/>
        <v>10.845499999999999</v>
      </c>
      <c r="AJ127" s="77">
        <f t="shared" si="83"/>
        <v>56.654499999999999</v>
      </c>
      <c r="AK127" s="77">
        <f t="shared" si="84"/>
        <v>0</v>
      </c>
      <c r="AL127" s="77">
        <f t="shared" si="85"/>
        <v>56.654499999999999</v>
      </c>
      <c r="AM127" s="77">
        <f t="shared" si="86"/>
        <v>83.932592592592584</v>
      </c>
      <c r="AN127" t="str">
        <f t="shared" si="65"/>
        <v/>
      </c>
      <c r="AO127" t="s">
        <v>327</v>
      </c>
      <c r="AP127" t="str">
        <f t="shared" si="66"/>
        <v>DDm85-21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7"/>
        <v>DDm85-21</v>
      </c>
    </row>
    <row r="128" spans="1:53">
      <c r="A128" s="35" t="s">
        <v>144</v>
      </c>
      <c r="B128" t="s">
        <v>344</v>
      </c>
      <c r="C128" t="s">
        <v>611</v>
      </c>
      <c r="D128" t="s">
        <v>319</v>
      </c>
      <c r="E128" t="s">
        <v>612</v>
      </c>
      <c r="F128" t="s">
        <v>321</v>
      </c>
      <c r="G128">
        <v>36.6</v>
      </c>
      <c r="H128">
        <v>45</v>
      </c>
      <c r="I128">
        <v>650</v>
      </c>
      <c r="J128">
        <v>35.424999999999997</v>
      </c>
      <c r="K128" s="64">
        <v>44062</v>
      </c>
      <c r="L128">
        <v>70.213440000000006</v>
      </c>
      <c r="M128">
        <v>34.788440000000001</v>
      </c>
      <c r="N128">
        <v>55.066800000000001</v>
      </c>
      <c r="O128">
        <v>19.6418</v>
      </c>
      <c r="P128" t="s">
        <v>322</v>
      </c>
      <c r="Q128" t="s">
        <v>333</v>
      </c>
      <c r="R128" t="s">
        <v>347</v>
      </c>
      <c r="S128">
        <v>53.330399999999997</v>
      </c>
      <c r="T128">
        <v>17.9054</v>
      </c>
      <c r="U128" t="s">
        <v>339</v>
      </c>
      <c r="V128" t="s">
        <v>436</v>
      </c>
      <c r="W128">
        <v>67.5</v>
      </c>
      <c r="X128">
        <v>32.075000000000003</v>
      </c>
      <c r="Y128">
        <v>235</v>
      </c>
      <c r="AB128" s="77">
        <f t="shared" si="75"/>
        <v>34.788440000000001</v>
      </c>
      <c r="AC128" s="77">
        <f t="shared" si="76"/>
        <v>19.6418</v>
      </c>
      <c r="AD128" s="77">
        <f t="shared" si="77"/>
        <v>49.54669647292598</v>
      </c>
      <c r="AE128" s="77">
        <f t="shared" si="78"/>
        <v>35.669041963578778</v>
      </c>
      <c r="AF128" s="77">
        <f t="shared" si="79"/>
        <v>17.9054</v>
      </c>
      <c r="AG128" s="77">
        <f t="shared" si="80"/>
        <v>33.57447159593778</v>
      </c>
      <c r="AH128" s="77">
        <f t="shared" si="81"/>
        <v>67.5</v>
      </c>
      <c r="AI128" s="77">
        <f t="shared" si="82"/>
        <v>35.424999999999997</v>
      </c>
      <c r="AJ128" s="77">
        <f t="shared" si="83"/>
        <v>32.075000000000003</v>
      </c>
      <c r="AK128" s="77">
        <f t="shared" si="84"/>
        <v>0</v>
      </c>
      <c r="AL128" s="77">
        <f t="shared" si="85"/>
        <v>32.075000000000003</v>
      </c>
      <c r="AM128" s="77">
        <f t="shared" si="86"/>
        <v>47.518518518518519</v>
      </c>
      <c r="AN128" t="str">
        <f t="shared" si="65"/>
        <v/>
      </c>
      <c r="AO128" t="s">
        <v>327</v>
      </c>
      <c r="AP128" t="str">
        <f t="shared" si="66"/>
        <v>DDm125-33</v>
      </c>
      <c r="AQ128">
        <f>_xlfn.XLOOKUP(A128,'SYS Allocations'!A:A,'SYS Allocations'!B:B)</f>
        <v>0</v>
      </c>
      <c r="AR128" t="str">
        <f>_xlfn.XLOOKUP(A128,'SYS Allocations'!A:A,'SYS Allocations'!C:C)</f>
        <v>RA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7"/>
        <v>DDm125-33</v>
      </c>
    </row>
    <row r="129" spans="1:53">
      <c r="A129" s="35" t="s">
        <v>145</v>
      </c>
      <c r="B129" t="s">
        <v>396</v>
      </c>
      <c r="C129" t="s">
        <v>613</v>
      </c>
      <c r="D129" t="s">
        <v>319</v>
      </c>
      <c r="E129" t="s">
        <v>614</v>
      </c>
      <c r="F129" t="s">
        <v>332</v>
      </c>
      <c r="G129">
        <v>75</v>
      </c>
      <c r="H129">
        <v>5</v>
      </c>
      <c r="I129">
        <v>90</v>
      </c>
      <c r="J129">
        <v>4.9050000000000002</v>
      </c>
      <c r="K129" s="64">
        <v>44652.541666666701</v>
      </c>
      <c r="L129">
        <v>13.08</v>
      </c>
      <c r="M129">
        <v>8.1750000000000007</v>
      </c>
      <c r="N129">
        <v>9.8644999999999996</v>
      </c>
      <c r="O129">
        <v>4.9595000000000002</v>
      </c>
      <c r="P129" t="s">
        <v>325</v>
      </c>
      <c r="Q129" t="s">
        <v>333</v>
      </c>
      <c r="R129" t="s">
        <v>366</v>
      </c>
      <c r="S129">
        <v>10.1088</v>
      </c>
      <c r="T129">
        <v>5.2037999999999798</v>
      </c>
      <c r="U129" t="s">
        <v>325</v>
      </c>
      <c r="V129" t="s">
        <v>430</v>
      </c>
      <c r="W129">
        <v>9</v>
      </c>
      <c r="X129">
        <v>4.0949999999999998</v>
      </c>
      <c r="Y129">
        <v>4</v>
      </c>
      <c r="AB129" s="77">
        <f t="shared" si="75"/>
        <v>8.1750000000000007</v>
      </c>
      <c r="AC129" s="77">
        <f t="shared" si="76"/>
        <v>4.9595000000000002</v>
      </c>
      <c r="AD129" s="77">
        <f t="shared" si="77"/>
        <v>62.500000000000007</v>
      </c>
      <c r="AE129" s="77">
        <f t="shared" si="78"/>
        <v>50.276243093922659</v>
      </c>
      <c r="AF129" s="77">
        <f t="shared" si="79"/>
        <v>5.2037999999999798</v>
      </c>
      <c r="AG129" s="77">
        <f t="shared" si="80"/>
        <v>51.477920227920023</v>
      </c>
      <c r="AH129" s="77">
        <f t="shared" si="81"/>
        <v>9</v>
      </c>
      <c r="AI129" s="77">
        <f t="shared" si="82"/>
        <v>4.9050000000000002</v>
      </c>
      <c r="AJ129" s="77">
        <f t="shared" si="83"/>
        <v>4.0949999999999998</v>
      </c>
      <c r="AK129" s="77">
        <f t="shared" si="84"/>
        <v>0</v>
      </c>
      <c r="AL129" s="77">
        <f t="shared" si="85"/>
        <v>4.0949999999999998</v>
      </c>
      <c r="AM129" s="77">
        <f t="shared" si="86"/>
        <v>45.5</v>
      </c>
      <c r="AN129" t="str">
        <f t="shared" si="65"/>
        <v/>
      </c>
      <c r="AO129" t="s">
        <v>327</v>
      </c>
      <c r="AP129" t="str">
        <f t="shared" si="66"/>
        <v>2DDm85-15</v>
      </c>
      <c r="AQ129">
        <f>_xlfn.XLOOKUP(A129,'SYS Allocations'!A:A,'SYS Allocations'!B:B)</f>
        <v>0</v>
      </c>
      <c r="AR129">
        <f>_xlfn.XLOOKUP(A129,'SYS Allocations'!A:A,'SYS Allocations'!C:C)</f>
        <v>0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7"/>
        <v>2DDm85-15</v>
      </c>
    </row>
    <row r="130" spans="1:53">
      <c r="A130" s="35" t="s">
        <v>146</v>
      </c>
      <c r="B130" t="s">
        <v>344</v>
      </c>
      <c r="C130" t="s">
        <v>344</v>
      </c>
      <c r="D130" t="s">
        <v>392</v>
      </c>
      <c r="E130" t="s">
        <v>615</v>
      </c>
      <c r="F130" t="s">
        <v>321</v>
      </c>
      <c r="G130">
        <v>36.6</v>
      </c>
      <c r="H130">
        <v>40</v>
      </c>
      <c r="I130">
        <v>643</v>
      </c>
      <c r="J130">
        <v>35.043500000000002</v>
      </c>
      <c r="K130" s="64">
        <v>45600</v>
      </c>
      <c r="L130">
        <v>62.234639999999999</v>
      </c>
      <c r="M130">
        <v>27.191140000000001</v>
      </c>
      <c r="N130">
        <v>45.093299999999999</v>
      </c>
      <c r="O130">
        <v>10.049799999999999</v>
      </c>
      <c r="P130" t="s">
        <v>322</v>
      </c>
      <c r="Q130" t="s">
        <v>333</v>
      </c>
      <c r="R130" t="s">
        <v>347</v>
      </c>
      <c r="S130">
        <v>53.330399999999997</v>
      </c>
      <c r="T130">
        <v>18.286899999999999</v>
      </c>
      <c r="U130" t="s">
        <v>322</v>
      </c>
      <c r="V130" t="s">
        <v>616</v>
      </c>
      <c r="W130">
        <v>73.5</v>
      </c>
      <c r="X130">
        <v>38.456499999999998</v>
      </c>
      <c r="Y130">
        <v>119</v>
      </c>
      <c r="Z130" t="s">
        <v>617</v>
      </c>
      <c r="AB130" s="77">
        <f t="shared" si="75"/>
        <v>27.191140000000001</v>
      </c>
      <c r="AC130" s="77">
        <f t="shared" si="76"/>
        <v>10.049799999999999</v>
      </c>
      <c r="AD130" s="77">
        <f t="shared" si="77"/>
        <v>43.691326888048202</v>
      </c>
      <c r="AE130" s="77">
        <f t="shared" si="78"/>
        <v>22.286681169929899</v>
      </c>
      <c r="AF130" s="77">
        <f t="shared" si="79"/>
        <v>18.286899999999999</v>
      </c>
      <c r="AG130" s="77">
        <f t="shared" si="80"/>
        <v>34.289823440289211</v>
      </c>
      <c r="AH130" s="77">
        <f t="shared" si="81"/>
        <v>73.5</v>
      </c>
      <c r="AI130" s="77">
        <f t="shared" si="82"/>
        <v>35.043500000000002</v>
      </c>
      <c r="AJ130" s="77">
        <f t="shared" si="83"/>
        <v>38.456499999999998</v>
      </c>
      <c r="AK130" s="77">
        <f t="shared" si="84"/>
        <v>0</v>
      </c>
      <c r="AL130" s="77">
        <f t="shared" si="85"/>
        <v>38.456499999999998</v>
      </c>
      <c r="AM130" s="77">
        <f t="shared" si="86"/>
        <v>52.321768707482995</v>
      </c>
      <c r="AN130" t="str">
        <f t="shared" si="65"/>
        <v>Capped</v>
      </c>
      <c r="AO130" t="s">
        <v>327</v>
      </c>
      <c r="AP130" t="str">
        <f t="shared" si="66"/>
        <v>DDm125-33</v>
      </c>
      <c r="AQ130">
        <f>_xlfn.XLOOKUP(A130,'SYS Allocations'!A:A,'SYS Allocations'!B:B)</f>
        <v>0</v>
      </c>
      <c r="AR130" t="str">
        <f>_xlfn.XLOOKUP(A130,'SYS Allocations'!A:A,'SYS Allocations'!C:C)</f>
        <v>RA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7"/>
        <v>DDm125-33</v>
      </c>
    </row>
    <row r="131" spans="1:53">
      <c r="A131" s="35" t="s">
        <v>147</v>
      </c>
      <c r="B131" t="s">
        <v>328</v>
      </c>
      <c r="C131" t="s">
        <v>618</v>
      </c>
      <c r="D131" t="s">
        <v>319</v>
      </c>
      <c r="E131" t="s">
        <v>619</v>
      </c>
      <c r="F131" t="s">
        <v>321</v>
      </c>
      <c r="G131">
        <v>36.6</v>
      </c>
      <c r="H131">
        <v>9</v>
      </c>
      <c r="I131">
        <v>136</v>
      </c>
      <c r="J131">
        <v>7.4119999999999999</v>
      </c>
      <c r="K131" s="64">
        <v>45600</v>
      </c>
      <c r="L131">
        <v>12.766080000000001</v>
      </c>
      <c r="M131">
        <v>5.3540799999999997</v>
      </c>
      <c r="N131">
        <v>9.4720999999999993</v>
      </c>
      <c r="O131">
        <v>2.0600999999999998</v>
      </c>
      <c r="P131" t="s">
        <v>325</v>
      </c>
      <c r="Q131" t="s">
        <v>333</v>
      </c>
      <c r="R131" t="s">
        <v>366</v>
      </c>
      <c r="S131">
        <v>10.1088</v>
      </c>
      <c r="T131">
        <v>2.6967999999999801</v>
      </c>
      <c r="U131" t="s">
        <v>325</v>
      </c>
      <c r="V131" t="s">
        <v>442</v>
      </c>
      <c r="W131">
        <v>11.25</v>
      </c>
      <c r="X131">
        <v>3.8380000000000001</v>
      </c>
      <c r="Y131">
        <v>29</v>
      </c>
      <c r="AB131" s="77">
        <f t="shared" si="75"/>
        <v>5.3540799999999997</v>
      </c>
      <c r="AC131" s="77">
        <f t="shared" si="76"/>
        <v>2.0600999999999998</v>
      </c>
      <c r="AD131" s="77">
        <f t="shared" si="77"/>
        <v>41.939890710382507</v>
      </c>
      <c r="AE131" s="77">
        <f t="shared" si="78"/>
        <v>21.749136939010356</v>
      </c>
      <c r="AF131" s="77">
        <f t="shared" si="79"/>
        <v>2.6967999999999801</v>
      </c>
      <c r="AG131" s="77">
        <f t="shared" si="80"/>
        <v>26.677746122190367</v>
      </c>
      <c r="AH131" s="77">
        <f t="shared" si="81"/>
        <v>11.25</v>
      </c>
      <c r="AI131" s="77">
        <f t="shared" si="82"/>
        <v>7.4119999999999999</v>
      </c>
      <c r="AJ131" s="77">
        <f t="shared" si="83"/>
        <v>3.8380000000000001</v>
      </c>
      <c r="AK131" s="77">
        <f t="shared" si="84"/>
        <v>0</v>
      </c>
      <c r="AL131" s="77">
        <f t="shared" si="85"/>
        <v>3.8380000000000001</v>
      </c>
      <c r="AM131" s="77">
        <f t="shared" si="86"/>
        <v>34.115555555555552</v>
      </c>
      <c r="AN131" t="str">
        <f t="shared" si="65"/>
        <v/>
      </c>
      <c r="AO131" t="s">
        <v>327</v>
      </c>
      <c r="AP131" t="str">
        <f t="shared" si="66"/>
        <v>2DDm85-15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7"/>
        <v>2DDm85-15</v>
      </c>
    </row>
    <row r="132" spans="1:53">
      <c r="A132" s="35" t="s">
        <v>148</v>
      </c>
      <c r="B132" t="s">
        <v>328</v>
      </c>
      <c r="C132" t="s">
        <v>618</v>
      </c>
      <c r="D132" t="s">
        <v>392</v>
      </c>
      <c r="E132" t="s">
        <v>620</v>
      </c>
      <c r="F132" t="s">
        <v>321</v>
      </c>
      <c r="G132">
        <v>36.6</v>
      </c>
      <c r="H132">
        <v>9</v>
      </c>
      <c r="I132">
        <v>109</v>
      </c>
      <c r="J132">
        <v>5.9405000000000001</v>
      </c>
      <c r="K132" s="64">
        <v>45600</v>
      </c>
      <c r="L132">
        <v>12.766080000000001</v>
      </c>
      <c r="M132">
        <v>6.8255800000000004</v>
      </c>
      <c r="N132">
        <v>10.333199563999999</v>
      </c>
      <c r="O132">
        <v>4.3926995639999999</v>
      </c>
      <c r="P132" t="s">
        <v>446</v>
      </c>
      <c r="Q132" t="s">
        <v>354</v>
      </c>
      <c r="R132" t="s">
        <v>361</v>
      </c>
      <c r="S132">
        <v>11.231999999999999</v>
      </c>
      <c r="T132">
        <v>5.2915000000000001</v>
      </c>
      <c r="U132" t="s">
        <v>325</v>
      </c>
      <c r="V132" t="s">
        <v>512</v>
      </c>
      <c r="W132">
        <v>10.5</v>
      </c>
      <c r="X132">
        <v>4.5594999999999999</v>
      </c>
      <c r="Y132">
        <v>1</v>
      </c>
      <c r="Z132" t="s">
        <v>621</v>
      </c>
      <c r="AB132" s="77">
        <f t="shared" si="75"/>
        <v>6.8255800000000004</v>
      </c>
      <c r="AC132" s="77">
        <f t="shared" si="76"/>
        <v>4.3926995639999999</v>
      </c>
      <c r="AD132" s="77">
        <f t="shared" si="77"/>
        <v>53.466530054644807</v>
      </c>
      <c r="AE132" s="77">
        <f t="shared" si="78"/>
        <v>42.5105460974914</v>
      </c>
      <c r="AF132" s="77">
        <f t="shared" si="79"/>
        <v>5.2915000000000001</v>
      </c>
      <c r="AG132" s="77">
        <f t="shared" si="80"/>
        <v>47.110933048433054</v>
      </c>
      <c r="AH132" s="77">
        <f t="shared" si="81"/>
        <v>10.5</v>
      </c>
      <c r="AI132" s="77">
        <f t="shared" si="82"/>
        <v>5.9405000000000001</v>
      </c>
      <c r="AJ132" s="77">
        <f t="shared" si="83"/>
        <v>4.5594999999999999</v>
      </c>
      <c r="AK132" s="77">
        <f t="shared" si="84"/>
        <v>0</v>
      </c>
      <c r="AL132" s="77">
        <f t="shared" si="85"/>
        <v>4.5594999999999999</v>
      </c>
      <c r="AM132" s="77">
        <f t="shared" si="86"/>
        <v>43.423809523809524</v>
      </c>
      <c r="AN132" t="str">
        <f t="shared" si="65"/>
        <v>Capped</v>
      </c>
      <c r="AO132" t="s">
        <v>327</v>
      </c>
      <c r="AP132" t="str">
        <f t="shared" si="66"/>
        <v>12V155F</v>
      </c>
      <c r="AQ132">
        <f>_xlfn.XLOOKUP(A132,'SYS Allocations'!A:A,'SYS Allocations'!B:B)</f>
        <v>0</v>
      </c>
      <c r="AR132">
        <f>_xlfn.XLOOKUP(A132,'SYS Allocations'!A:A,'SYS Allocations'!C:C)</f>
        <v>0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7"/>
        <v>12V155F</v>
      </c>
    </row>
    <row r="133" spans="1:53">
      <c r="A133" s="35" t="s">
        <v>149</v>
      </c>
      <c r="B133" t="s">
        <v>344</v>
      </c>
      <c r="C133" t="s">
        <v>344</v>
      </c>
      <c r="D133" t="s">
        <v>319</v>
      </c>
      <c r="E133" t="s">
        <v>622</v>
      </c>
      <c r="F133" t="s">
        <v>384</v>
      </c>
      <c r="G133">
        <v>55</v>
      </c>
      <c r="H133">
        <v>20</v>
      </c>
      <c r="I133">
        <v>433</v>
      </c>
      <c r="J133">
        <v>23.598500000000001</v>
      </c>
      <c r="K133" s="64">
        <v>44369</v>
      </c>
      <c r="L133">
        <v>45.561999999999998</v>
      </c>
      <c r="M133">
        <v>21.9635</v>
      </c>
      <c r="N133">
        <v>35.152500000000003</v>
      </c>
      <c r="O133">
        <v>11.554</v>
      </c>
      <c r="P133" t="s">
        <v>325</v>
      </c>
      <c r="Q133" t="s">
        <v>333</v>
      </c>
      <c r="R133" t="s">
        <v>347</v>
      </c>
      <c r="S133">
        <v>35.553600000000003</v>
      </c>
      <c r="T133">
        <v>11.9551</v>
      </c>
      <c r="U133" t="s">
        <v>322</v>
      </c>
      <c r="V133" t="s">
        <v>542</v>
      </c>
      <c r="W133">
        <v>150</v>
      </c>
      <c r="X133">
        <v>126.4015</v>
      </c>
      <c r="Y133">
        <v>16</v>
      </c>
      <c r="AB133" s="77">
        <f t="shared" si="75"/>
        <v>21.9635</v>
      </c>
      <c r="AC133" s="77">
        <f t="shared" si="76"/>
        <v>11.554</v>
      </c>
      <c r="AD133" s="77">
        <f t="shared" si="77"/>
        <v>48.205741626794264</v>
      </c>
      <c r="AE133" s="77">
        <f t="shared" si="78"/>
        <v>32.86821705426356</v>
      </c>
      <c r="AF133" s="77">
        <f t="shared" si="79"/>
        <v>11.9551</v>
      </c>
      <c r="AG133" s="77">
        <f t="shared" si="80"/>
        <v>33.62556815624859</v>
      </c>
      <c r="AH133" s="77">
        <f t="shared" si="81"/>
        <v>150</v>
      </c>
      <c r="AI133" s="77">
        <f t="shared" si="82"/>
        <v>23.598500000000001</v>
      </c>
      <c r="AJ133" s="77">
        <f t="shared" si="83"/>
        <v>126.4015</v>
      </c>
      <c r="AK133" s="77">
        <f t="shared" si="84"/>
        <v>0</v>
      </c>
      <c r="AL133" s="77">
        <f t="shared" si="85"/>
        <v>126.4015</v>
      </c>
      <c r="AM133" s="77">
        <f t="shared" si="86"/>
        <v>84.26766666666667</v>
      </c>
      <c r="AN133" t="str">
        <f t="shared" si="65"/>
        <v/>
      </c>
      <c r="AO133" t="s">
        <v>327</v>
      </c>
      <c r="AP133" t="str">
        <f t="shared" si="66"/>
        <v>DDm125-33</v>
      </c>
      <c r="AQ133">
        <f>_xlfn.XLOOKUP(A133,'SYS Allocations'!A:A,'SYS Allocations'!B:B)</f>
        <v>0</v>
      </c>
      <c r="AR133" t="str">
        <f>_xlfn.XLOOKUP(A133,'SYS Allocations'!A:A,'SYS Allocations'!C:C)</f>
        <v>RA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 t="str">
        <f>_xlfn.XLOOKUP(A133,'SYS Allocations'!A:A,'SYS Allocations'!F:F)</f>
        <v>OPEX</v>
      </c>
      <c r="BA133" t="str">
        <f t="shared" si="67"/>
        <v>DDm125-33</v>
      </c>
    </row>
    <row r="134" spans="1:53">
      <c r="A134" s="35" t="s">
        <v>150</v>
      </c>
      <c r="B134" t="s">
        <v>344</v>
      </c>
      <c r="C134" t="s">
        <v>344</v>
      </c>
      <c r="D134" t="s">
        <v>319</v>
      </c>
      <c r="E134" t="s">
        <v>623</v>
      </c>
      <c r="F134" t="s">
        <v>321</v>
      </c>
      <c r="G134">
        <v>36.6</v>
      </c>
      <c r="H134">
        <v>42</v>
      </c>
      <c r="I134">
        <v>529</v>
      </c>
      <c r="J134">
        <v>28.830500000000001</v>
      </c>
      <c r="K134" s="64">
        <v>45475</v>
      </c>
      <c r="L134">
        <v>65.426159999999996</v>
      </c>
      <c r="M134">
        <v>36.595660000000002</v>
      </c>
      <c r="N134">
        <v>51.208199999999998</v>
      </c>
      <c r="O134">
        <v>22.377700000000001</v>
      </c>
      <c r="P134" t="s">
        <v>322</v>
      </c>
      <c r="Q134" t="s">
        <v>333</v>
      </c>
      <c r="R134" t="s">
        <v>624</v>
      </c>
      <c r="S134">
        <v>49.247999999999998</v>
      </c>
      <c r="T134">
        <v>20.4175</v>
      </c>
      <c r="U134" t="s">
        <v>339</v>
      </c>
      <c r="V134" t="s">
        <v>625</v>
      </c>
      <c r="W134">
        <v>60.75</v>
      </c>
      <c r="X134">
        <v>31.919499999999999</v>
      </c>
      <c r="Y134">
        <v>3</v>
      </c>
      <c r="AB134" s="77">
        <f t="shared" ref="AB134" si="125">M134-AA134</f>
        <v>36.595660000000002</v>
      </c>
      <c r="AC134" s="77">
        <f t="shared" ref="AC134" si="126">O134-AA134</f>
        <v>22.377700000000001</v>
      </c>
      <c r="AD134" s="77">
        <f>AB134/L134%</f>
        <v>55.934292949486874</v>
      </c>
      <c r="AE134" s="77">
        <f>AC134/N134%</f>
        <v>43.699446573009801</v>
      </c>
      <c r="AF134" s="77">
        <f>T134-AA134</f>
        <v>20.4175</v>
      </c>
      <c r="AG134" s="77">
        <f>AF134/S134%</f>
        <v>41.458536387264459</v>
      </c>
      <c r="AH134" s="77">
        <f>W134</f>
        <v>60.75</v>
      </c>
      <c r="AI134" s="77">
        <f>J134</f>
        <v>28.830500000000001</v>
      </c>
      <c r="AJ134" s="77">
        <f>AH134-AI134</f>
        <v>31.919499999999999</v>
      </c>
      <c r="AK134" s="77">
        <f>AA134</f>
        <v>0</v>
      </c>
      <c r="AL134" s="77">
        <f>AJ134-AK134</f>
        <v>31.919499999999999</v>
      </c>
      <c r="AM134" s="77">
        <f>AL134/AH134%</f>
        <v>52.542386831275714</v>
      </c>
      <c r="AN134" t="str">
        <f t="shared" si="65"/>
        <v/>
      </c>
      <c r="AO134" t="s">
        <v>327</v>
      </c>
      <c r="AP134" t="str">
        <f>TRIM(BA134)</f>
        <v>SBS EON 1800</v>
      </c>
      <c r="AU134" t="str">
        <f>_xlfn.XLOOKUP(A134,'SYS Allocations'!A:A,'SYS Allocations'!F:F)</f>
        <v>OPEX</v>
      </c>
      <c r="BA134" t="str">
        <f t="shared" si="67"/>
        <v>SBS EON 1800</v>
      </c>
    </row>
    <row r="135" spans="1:53">
      <c r="A135" s="35" t="s">
        <v>151</v>
      </c>
      <c r="B135" t="s">
        <v>317</v>
      </c>
      <c r="C135" t="s">
        <v>626</v>
      </c>
      <c r="D135" t="s">
        <v>319</v>
      </c>
      <c r="E135" t="s">
        <v>627</v>
      </c>
      <c r="F135" t="s">
        <v>321</v>
      </c>
      <c r="G135">
        <v>36.6</v>
      </c>
      <c r="H135">
        <v>26</v>
      </c>
      <c r="I135">
        <v>285</v>
      </c>
      <c r="J135">
        <v>15.532500000000001</v>
      </c>
      <c r="K135" s="64">
        <v>44854</v>
      </c>
      <c r="L135">
        <v>39.893999999999998</v>
      </c>
      <c r="M135">
        <v>24.361499999999999</v>
      </c>
      <c r="N135">
        <v>28.067499999999999</v>
      </c>
      <c r="O135">
        <v>12.535</v>
      </c>
      <c r="P135" t="s">
        <v>325</v>
      </c>
      <c r="Q135" t="s">
        <v>333</v>
      </c>
      <c r="R135" t="s">
        <v>347</v>
      </c>
      <c r="S135">
        <v>35.553600000000003</v>
      </c>
      <c r="T135">
        <v>20.021100000000001</v>
      </c>
      <c r="U135" t="s">
        <v>322</v>
      </c>
      <c r="V135" t="s">
        <v>335</v>
      </c>
      <c r="W135">
        <v>22.5</v>
      </c>
      <c r="X135">
        <v>6.9675000000000002</v>
      </c>
      <c r="Y135">
        <v>98</v>
      </c>
      <c r="AB135" s="77">
        <f t="shared" si="75"/>
        <v>24.361499999999999</v>
      </c>
      <c r="AC135" s="77">
        <f t="shared" si="76"/>
        <v>12.535</v>
      </c>
      <c r="AD135" s="77">
        <f t="shared" si="77"/>
        <v>61.06557377049181</v>
      </c>
      <c r="AE135" s="77">
        <f t="shared" si="78"/>
        <v>44.660194174757279</v>
      </c>
      <c r="AF135" s="77">
        <f t="shared" si="79"/>
        <v>20.021100000000001</v>
      </c>
      <c r="AG135" s="77">
        <f t="shared" si="80"/>
        <v>56.312440934251384</v>
      </c>
      <c r="AH135" s="77">
        <f t="shared" si="81"/>
        <v>22.5</v>
      </c>
      <c r="AI135" s="77">
        <f t="shared" si="82"/>
        <v>15.532500000000001</v>
      </c>
      <c r="AJ135" s="77">
        <f t="shared" si="83"/>
        <v>6.9674999999999994</v>
      </c>
      <c r="AK135" s="77">
        <f t="shared" si="84"/>
        <v>0</v>
      </c>
      <c r="AL135" s="77">
        <f t="shared" si="85"/>
        <v>6.9674999999999994</v>
      </c>
      <c r="AM135" s="77">
        <f t="shared" si="86"/>
        <v>30.966666666666661</v>
      </c>
      <c r="AN135" t="str">
        <f t="shared" si="65"/>
        <v/>
      </c>
      <c r="AO135" t="s">
        <v>327</v>
      </c>
      <c r="AP135" t="str">
        <f>TRIM(BA135)</f>
        <v>DDm125-33</v>
      </c>
      <c r="AQ135">
        <f>_xlfn.XLOOKUP(A135,'SYS Allocations'!A:A,'SYS Allocations'!B:B)</f>
        <v>0</v>
      </c>
      <c r="AR135" t="str">
        <f>_xlfn.XLOOKUP(A135,'SYS Allocations'!A:A,'SYS Allocations'!C:C)</f>
        <v>RA</v>
      </c>
      <c r="AS135">
        <f>_xlfn.XLOOKUP(A135,'SYS Allocations'!A:A,'SYS Allocations'!D:D)</f>
        <v>0</v>
      </c>
      <c r="AT135">
        <f>_xlfn.XLOOKUP(A135,'SYS Allocations'!A:A,'SYS Allocations'!E:E)</f>
        <v>0</v>
      </c>
      <c r="AU135">
        <f>_xlfn.XLOOKUP(A135,'SYS Allocations'!A:A,'SYS Allocations'!F:F)</f>
        <v>0</v>
      </c>
      <c r="BA135" t="str">
        <f t="shared" si="67"/>
        <v>DDm125-33</v>
      </c>
    </row>
    <row r="136" spans="1:53">
      <c r="A136" s="35" t="s">
        <v>152</v>
      </c>
      <c r="B136" t="s">
        <v>363</v>
      </c>
      <c r="C136" t="s">
        <v>628</v>
      </c>
      <c r="D136" t="s">
        <v>392</v>
      </c>
      <c r="E136" t="s">
        <v>629</v>
      </c>
      <c r="F136" t="s">
        <v>321</v>
      </c>
      <c r="G136">
        <v>36.6</v>
      </c>
      <c r="H136">
        <v>5</v>
      </c>
      <c r="I136">
        <v>99</v>
      </c>
      <c r="J136">
        <v>5.3955000000000002</v>
      </c>
      <c r="K136" s="64">
        <v>44383.583333333299</v>
      </c>
      <c r="L136">
        <v>6.3830400000000003</v>
      </c>
      <c r="M136">
        <v>0.98753999999999997</v>
      </c>
      <c r="N136">
        <v>4.7088000000000001</v>
      </c>
      <c r="O136">
        <v>-0.68669999999999998</v>
      </c>
      <c r="P136" t="s">
        <v>375</v>
      </c>
      <c r="Q136" t="s">
        <v>333</v>
      </c>
      <c r="R136" t="s">
        <v>630</v>
      </c>
      <c r="S136">
        <v>9.2145600000000005</v>
      </c>
      <c r="T136">
        <v>3.8190599999999999</v>
      </c>
      <c r="U136" t="s">
        <v>424</v>
      </c>
      <c r="V136" t="s">
        <v>430</v>
      </c>
      <c r="W136">
        <v>9</v>
      </c>
      <c r="X136">
        <v>3.6044999999999998</v>
      </c>
      <c r="Y136">
        <v>4</v>
      </c>
      <c r="Z136" t="s">
        <v>631</v>
      </c>
      <c r="AB136" s="77">
        <f t="shared" si="75"/>
        <v>0.98753999999999997</v>
      </c>
      <c r="AC136" s="77">
        <f t="shared" si="76"/>
        <v>-0.68669999999999998</v>
      </c>
      <c r="AD136" s="77">
        <f t="shared" si="77"/>
        <v>15.471311475409834</v>
      </c>
      <c r="AE136" s="77">
        <f t="shared" si="78"/>
        <v>-14.583333333333334</v>
      </c>
      <c r="AF136" s="77">
        <f t="shared" si="79"/>
        <v>3.8190599999999999</v>
      </c>
      <c r="AG136" s="77">
        <f t="shared" si="80"/>
        <v>41.445929051414282</v>
      </c>
      <c r="AH136" s="77">
        <f t="shared" si="81"/>
        <v>9</v>
      </c>
      <c r="AI136" s="77">
        <f t="shared" si="82"/>
        <v>5.3955000000000002</v>
      </c>
      <c r="AJ136" s="77">
        <f t="shared" si="83"/>
        <v>3.6044999999999998</v>
      </c>
      <c r="AK136" s="77">
        <f t="shared" si="84"/>
        <v>0</v>
      </c>
      <c r="AL136" s="77">
        <f t="shared" si="85"/>
        <v>3.6044999999999998</v>
      </c>
      <c r="AM136" s="77">
        <f t="shared" si="86"/>
        <v>40.049999999999997</v>
      </c>
      <c r="AN136" t="str">
        <f t="shared" ref="AN136:AN199" si="127">IF(ISBLANK(Z136),"","Capped")</f>
        <v>Capped</v>
      </c>
      <c r="AO136" t="s">
        <v>327</v>
      </c>
      <c r="AP136" t="str">
        <f t="shared" si="66"/>
        <v>12V101F</v>
      </c>
      <c r="AQ136">
        <f>_xlfn.XLOOKUP(A136,'SYS Allocations'!A:A,'SYS Allocations'!B:B)</f>
        <v>0</v>
      </c>
      <c r="AR136">
        <f>_xlfn.XLOOKUP(A136,'SYS Allocations'!A:A,'SYS Allocations'!C:C)</f>
        <v>0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7"/>
        <v xml:space="preserve">12V101F </v>
      </c>
    </row>
    <row r="137" spans="1:53">
      <c r="A137" s="35" t="s">
        <v>153</v>
      </c>
      <c r="B137" t="s">
        <v>317</v>
      </c>
      <c r="C137" t="s">
        <v>632</v>
      </c>
      <c r="D137" t="s">
        <v>392</v>
      </c>
      <c r="E137" t="s">
        <v>633</v>
      </c>
      <c r="F137" t="s">
        <v>332</v>
      </c>
      <c r="G137">
        <v>75</v>
      </c>
      <c r="H137">
        <v>3</v>
      </c>
      <c r="I137">
        <v>16</v>
      </c>
      <c r="J137">
        <v>0.872</v>
      </c>
      <c r="K137" s="64">
        <v>44413.708333333299</v>
      </c>
      <c r="L137">
        <v>6.54</v>
      </c>
      <c r="M137">
        <v>5.6680000000000001</v>
      </c>
      <c r="N137">
        <v>7.2267000000000001</v>
      </c>
      <c r="O137">
        <v>6.3547000000000002</v>
      </c>
      <c r="P137" t="s">
        <v>325</v>
      </c>
      <c r="Q137" t="s">
        <v>354</v>
      </c>
      <c r="R137" t="s">
        <v>511</v>
      </c>
      <c r="S137">
        <v>1.7927999999999999</v>
      </c>
      <c r="T137">
        <v>0.92079999999999995</v>
      </c>
      <c r="U137" t="s">
        <v>325</v>
      </c>
      <c r="V137" t="s">
        <v>346</v>
      </c>
      <c r="W137">
        <v>3.75</v>
      </c>
      <c r="X137">
        <v>2.8780000000000001</v>
      </c>
      <c r="Y137">
        <v>1</v>
      </c>
      <c r="Z137" t="s">
        <v>425</v>
      </c>
      <c r="AB137" s="77">
        <f t="shared" si="75"/>
        <v>5.6680000000000001</v>
      </c>
      <c r="AC137" s="77">
        <f t="shared" si="76"/>
        <v>6.3547000000000002</v>
      </c>
      <c r="AD137" s="77">
        <f t="shared" si="77"/>
        <v>86.666666666666671</v>
      </c>
      <c r="AE137" s="77">
        <f t="shared" si="78"/>
        <v>87.933634992458522</v>
      </c>
      <c r="AF137" s="77">
        <f t="shared" si="79"/>
        <v>0.92079999999999995</v>
      </c>
      <c r="AG137" s="77">
        <f t="shared" si="80"/>
        <v>51.36099955377064</v>
      </c>
      <c r="AH137" s="77">
        <f t="shared" si="81"/>
        <v>3.75</v>
      </c>
      <c r="AI137" s="77">
        <f t="shared" si="82"/>
        <v>0.872</v>
      </c>
      <c r="AJ137" s="77">
        <f t="shared" si="83"/>
        <v>2.8780000000000001</v>
      </c>
      <c r="AK137" s="77">
        <f t="shared" si="84"/>
        <v>0</v>
      </c>
      <c r="AL137" s="77">
        <f t="shared" si="85"/>
        <v>2.8780000000000001</v>
      </c>
      <c r="AM137" s="77">
        <f t="shared" si="86"/>
        <v>76.74666666666667</v>
      </c>
      <c r="AN137" t="str">
        <f t="shared" si="127"/>
        <v>Capped</v>
      </c>
      <c r="AO137" t="s">
        <v>327</v>
      </c>
      <c r="AP137" t="str">
        <f t="shared" si="66"/>
        <v>12V105F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7"/>
        <v>12V105F</v>
      </c>
    </row>
    <row r="138" spans="1:53">
      <c r="A138" s="35" t="s">
        <v>154</v>
      </c>
      <c r="B138" t="s">
        <v>421</v>
      </c>
      <c r="C138" t="s">
        <v>634</v>
      </c>
      <c r="D138" t="s">
        <v>319</v>
      </c>
      <c r="E138" t="s">
        <v>635</v>
      </c>
      <c r="F138" t="s">
        <v>321</v>
      </c>
      <c r="G138">
        <v>36.6</v>
      </c>
      <c r="H138">
        <v>9</v>
      </c>
      <c r="I138">
        <v>128</v>
      </c>
      <c r="J138">
        <v>6.976</v>
      </c>
      <c r="K138" s="64">
        <v>45600</v>
      </c>
      <c r="L138">
        <v>12.766080000000001</v>
      </c>
      <c r="M138">
        <v>5.7900799999999997</v>
      </c>
      <c r="N138">
        <v>6.6925999999999997</v>
      </c>
      <c r="O138">
        <v>-0.28339999999999999</v>
      </c>
      <c r="P138" t="s">
        <v>325</v>
      </c>
      <c r="Q138" t="s">
        <v>333</v>
      </c>
      <c r="R138" t="s">
        <v>568</v>
      </c>
      <c r="S138">
        <v>14.428800000000001</v>
      </c>
      <c r="T138">
        <v>7.4527999999999999</v>
      </c>
      <c r="U138" t="s">
        <v>325</v>
      </c>
      <c r="V138" t="s">
        <v>335</v>
      </c>
      <c r="W138">
        <v>22.5</v>
      </c>
      <c r="X138">
        <v>15.523999999999999</v>
      </c>
      <c r="Y138">
        <v>4</v>
      </c>
      <c r="AB138" s="77">
        <f t="shared" si="75"/>
        <v>5.7900799999999997</v>
      </c>
      <c r="AC138" s="77">
        <f t="shared" si="76"/>
        <v>-0.28339999999999999</v>
      </c>
      <c r="AD138" s="77">
        <f t="shared" si="77"/>
        <v>45.355191256830594</v>
      </c>
      <c r="AE138" s="77">
        <f t="shared" si="78"/>
        <v>-4.234527687296417</v>
      </c>
      <c r="AF138" s="77">
        <f t="shared" si="79"/>
        <v>7.4527999999999999</v>
      </c>
      <c r="AG138" s="77">
        <f t="shared" si="80"/>
        <v>51.652251053448659</v>
      </c>
      <c r="AH138" s="77">
        <f t="shared" si="81"/>
        <v>22.5</v>
      </c>
      <c r="AI138" s="77">
        <f t="shared" si="82"/>
        <v>6.976</v>
      </c>
      <c r="AJ138" s="77">
        <f t="shared" si="83"/>
        <v>15.524000000000001</v>
      </c>
      <c r="AK138" s="77">
        <f t="shared" si="84"/>
        <v>0</v>
      </c>
      <c r="AL138" s="77">
        <f t="shared" si="85"/>
        <v>15.524000000000001</v>
      </c>
      <c r="AM138" s="77">
        <f t="shared" si="86"/>
        <v>68.995555555555555</v>
      </c>
      <c r="AN138" t="str">
        <f t="shared" si="127"/>
        <v/>
      </c>
      <c r="AO138" t="s">
        <v>327</v>
      </c>
      <c r="AP138" t="str">
        <f t="shared" si="66"/>
        <v>DDm85-21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ref="BA138:BA201" si="128">IFERROR(LEFT(R138,FIND("(",R138,1)-1),R138)</f>
        <v>DDm85-21</v>
      </c>
    </row>
    <row r="139" spans="1:53">
      <c r="A139" s="35" t="s">
        <v>155</v>
      </c>
      <c r="B139" t="s">
        <v>377</v>
      </c>
      <c r="C139" t="s">
        <v>636</v>
      </c>
      <c r="D139" t="s">
        <v>319</v>
      </c>
      <c r="E139" t="s">
        <v>637</v>
      </c>
      <c r="F139" t="s">
        <v>321</v>
      </c>
      <c r="G139">
        <v>36.6</v>
      </c>
      <c r="H139">
        <v>70</v>
      </c>
      <c r="I139">
        <v>881</v>
      </c>
      <c r="J139">
        <v>48.014499999999998</v>
      </c>
      <c r="K139" s="64">
        <v>45600</v>
      </c>
      <c r="L139">
        <v>110.10744</v>
      </c>
      <c r="M139">
        <v>62.092939999999999</v>
      </c>
      <c r="N139">
        <v>76.594300000000004</v>
      </c>
      <c r="O139">
        <v>28.579799999999999</v>
      </c>
      <c r="P139" t="s">
        <v>339</v>
      </c>
      <c r="Q139" t="s">
        <v>333</v>
      </c>
      <c r="R139" t="s">
        <v>638</v>
      </c>
      <c r="S139">
        <v>95.610240000000005</v>
      </c>
      <c r="T139">
        <v>47.595739999999999</v>
      </c>
      <c r="U139" t="s">
        <v>322</v>
      </c>
      <c r="V139" t="s">
        <v>473</v>
      </c>
      <c r="W139">
        <v>60</v>
      </c>
      <c r="X139">
        <v>11.9855</v>
      </c>
      <c r="Y139">
        <v>11</v>
      </c>
      <c r="AB139" s="77">
        <f t="shared" si="75"/>
        <v>62.092939999999999</v>
      </c>
      <c r="AC139" s="77">
        <f t="shared" si="76"/>
        <v>28.579799999999999</v>
      </c>
      <c r="AD139" s="77">
        <f t="shared" si="77"/>
        <v>56.393046646075874</v>
      </c>
      <c r="AE139" s="77">
        <f t="shared" si="78"/>
        <v>37.313220435463208</v>
      </c>
      <c r="AF139" s="77">
        <f t="shared" si="79"/>
        <v>47.595739999999999</v>
      </c>
      <c r="AG139" s="77">
        <f t="shared" si="80"/>
        <v>49.781006720619047</v>
      </c>
      <c r="AH139" s="77">
        <f>'Multiroom cooling'!F12</f>
        <v>82.5</v>
      </c>
      <c r="AI139" s="77">
        <f t="shared" si="82"/>
        <v>48.014499999999998</v>
      </c>
      <c r="AJ139" s="77">
        <f t="shared" si="83"/>
        <v>34.485500000000002</v>
      </c>
      <c r="AK139" s="77">
        <f t="shared" si="84"/>
        <v>0</v>
      </c>
      <c r="AL139" s="77">
        <f t="shared" si="85"/>
        <v>34.485500000000002</v>
      </c>
      <c r="AM139" s="77">
        <f t="shared" si="86"/>
        <v>41.800606060606064</v>
      </c>
      <c r="AN139" t="str">
        <f t="shared" si="127"/>
        <v/>
      </c>
      <c r="AO139" t="s">
        <v>327</v>
      </c>
      <c r="AP139" t="str">
        <f t="shared" si="66"/>
        <v>2CP3000</v>
      </c>
      <c r="AQ139">
        <f>_xlfn.XLOOKUP(A139,'SYS Allocations'!A:A,'SYS Allocations'!B:B)</f>
        <v>0</v>
      </c>
      <c r="AR139" t="str">
        <f>_xlfn.XLOOKUP(A139,'SYS Allocations'!A:A,'SYS Allocations'!C:C)</f>
        <v>RA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si="128"/>
        <v>2CP3000</v>
      </c>
    </row>
    <row r="140" spans="1:53">
      <c r="A140" s="35" t="s">
        <v>156</v>
      </c>
      <c r="B140" t="s">
        <v>396</v>
      </c>
      <c r="C140" t="s">
        <v>639</v>
      </c>
      <c r="D140" t="s">
        <v>640</v>
      </c>
      <c r="E140" t="s">
        <v>641</v>
      </c>
      <c r="F140" t="s">
        <v>384</v>
      </c>
      <c r="G140">
        <v>55</v>
      </c>
      <c r="H140">
        <v>8</v>
      </c>
      <c r="I140">
        <v>45</v>
      </c>
      <c r="J140">
        <v>2.4525000000000001</v>
      </c>
      <c r="K140" s="64">
        <v>44713.541666666701</v>
      </c>
      <c r="L140">
        <v>16.786000000000001</v>
      </c>
      <c r="M140">
        <v>14.333500000000001</v>
      </c>
      <c r="N140">
        <v>17.712499999999999</v>
      </c>
      <c r="O140">
        <v>15.26</v>
      </c>
      <c r="P140" t="s">
        <v>375</v>
      </c>
      <c r="Q140" t="s">
        <v>333</v>
      </c>
      <c r="R140" t="s">
        <v>445</v>
      </c>
      <c r="S140">
        <v>5.3784000000000001</v>
      </c>
      <c r="T140">
        <v>2.9258999999999999</v>
      </c>
      <c r="U140" t="s">
        <v>424</v>
      </c>
      <c r="V140" t="s">
        <v>642</v>
      </c>
      <c r="W140">
        <v>24</v>
      </c>
      <c r="X140">
        <v>21.547499999999999</v>
      </c>
      <c r="Y140">
        <v>4</v>
      </c>
      <c r="AB140" s="77">
        <f t="shared" si="75"/>
        <v>14.333500000000001</v>
      </c>
      <c r="AC140" s="77">
        <f t="shared" si="76"/>
        <v>15.26</v>
      </c>
      <c r="AD140" s="77">
        <f t="shared" si="77"/>
        <v>85.389610389610397</v>
      </c>
      <c r="AE140" s="77">
        <f t="shared" si="78"/>
        <v>86.15384615384616</v>
      </c>
      <c r="AF140" s="77">
        <f t="shared" si="79"/>
        <v>2.9258999999999999</v>
      </c>
      <c r="AG140" s="77">
        <f t="shared" si="80"/>
        <v>54.400937081659976</v>
      </c>
      <c r="AH140" s="337">
        <f>AVERAGE(W140:W141)</f>
        <v>24</v>
      </c>
      <c r="AI140" s="337">
        <f>SUM(J140:J141)</f>
        <v>7.0305</v>
      </c>
      <c r="AJ140" s="337">
        <f t="shared" si="83"/>
        <v>16.9695</v>
      </c>
      <c r="AK140" s="337">
        <f>SUM(AA140:AA141)</f>
        <v>0</v>
      </c>
      <c r="AL140" s="337">
        <f t="shared" si="85"/>
        <v>16.9695</v>
      </c>
      <c r="AM140" s="338">
        <f t="shared" si="86"/>
        <v>70.706249999999997</v>
      </c>
      <c r="AN140" t="str">
        <f t="shared" si="127"/>
        <v/>
      </c>
      <c r="AO140" t="s">
        <v>395</v>
      </c>
      <c r="AP140" t="str">
        <f t="shared" si="66"/>
        <v>12V101F</v>
      </c>
      <c r="AQ140">
        <f>_xlfn.XLOOKUP(A140,'SYS Allocations'!A:A,'SYS Allocations'!B:B)</f>
        <v>0</v>
      </c>
      <c r="AR140">
        <f>_xlfn.XLOOKUP(A140,'SYS Allocations'!A:A,'SYS Allocations'!C:C)</f>
        <v>0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8"/>
        <v xml:space="preserve">12V101F </v>
      </c>
    </row>
    <row r="141" spans="1:53">
      <c r="A141" s="35" t="s">
        <v>157</v>
      </c>
      <c r="B141" t="s">
        <v>396</v>
      </c>
      <c r="C141" t="s">
        <v>639</v>
      </c>
      <c r="D141" t="s">
        <v>640</v>
      </c>
      <c r="E141" t="s">
        <v>641</v>
      </c>
      <c r="F141" t="s">
        <v>384</v>
      </c>
      <c r="G141">
        <v>55</v>
      </c>
      <c r="H141">
        <v>8</v>
      </c>
      <c r="I141">
        <v>84</v>
      </c>
      <c r="J141">
        <v>4.5780000000000003</v>
      </c>
      <c r="K141" s="64">
        <v>44700.645833333299</v>
      </c>
      <c r="L141">
        <v>16.786000000000001</v>
      </c>
      <c r="M141">
        <v>12.208</v>
      </c>
      <c r="N141">
        <v>17.712499999999999</v>
      </c>
      <c r="O141">
        <v>13.134499999999999</v>
      </c>
      <c r="P141" t="s">
        <v>375</v>
      </c>
      <c r="Q141" t="s">
        <v>333</v>
      </c>
      <c r="R141" t="s">
        <v>445</v>
      </c>
      <c r="S141">
        <v>5.3784000000000001</v>
      </c>
      <c r="T141">
        <v>0.8004</v>
      </c>
      <c r="U141" t="s">
        <v>424</v>
      </c>
      <c r="V141" t="s">
        <v>642</v>
      </c>
      <c r="W141">
        <v>24</v>
      </c>
      <c r="X141">
        <v>19.422000000000001</v>
      </c>
      <c r="Y141">
        <v>4</v>
      </c>
      <c r="AB141" s="77">
        <f t="shared" si="75"/>
        <v>12.208</v>
      </c>
      <c r="AC141" s="77">
        <f t="shared" si="76"/>
        <v>13.134499999999999</v>
      </c>
      <c r="AD141" s="77">
        <f t="shared" si="77"/>
        <v>72.72727272727272</v>
      </c>
      <c r="AE141" s="77">
        <f t="shared" si="78"/>
        <v>74.15384615384616</v>
      </c>
      <c r="AF141" s="77">
        <f t="shared" si="79"/>
        <v>0.8004</v>
      </c>
      <c r="AG141" s="77">
        <f t="shared" si="80"/>
        <v>14.881749219098618</v>
      </c>
      <c r="AH141" s="337"/>
      <c r="AI141" s="337"/>
      <c r="AJ141" s="337"/>
      <c r="AK141" s="337"/>
      <c r="AL141" s="337"/>
      <c r="AM141" s="338"/>
      <c r="AN141" t="str">
        <f t="shared" si="127"/>
        <v/>
      </c>
      <c r="AO141" t="s">
        <v>395</v>
      </c>
      <c r="AP141" t="str">
        <f t="shared" si="6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8"/>
        <v xml:space="preserve">12V101F </v>
      </c>
    </row>
    <row r="142" spans="1:53">
      <c r="A142" s="35" t="s">
        <v>158</v>
      </c>
      <c r="B142" t="s">
        <v>396</v>
      </c>
      <c r="C142" t="s">
        <v>639</v>
      </c>
      <c r="D142" t="s">
        <v>319</v>
      </c>
      <c r="E142" t="s">
        <v>643</v>
      </c>
      <c r="F142" t="s">
        <v>384</v>
      </c>
      <c r="G142">
        <v>55</v>
      </c>
      <c r="H142">
        <v>69</v>
      </c>
      <c r="I142">
        <v>1648</v>
      </c>
      <c r="J142">
        <v>89.816000000000003</v>
      </c>
      <c r="K142" s="64">
        <v>45600</v>
      </c>
      <c r="L142">
        <v>163.06399999999999</v>
      </c>
      <c r="M142">
        <v>73.248000000000005</v>
      </c>
      <c r="N142">
        <v>138.43</v>
      </c>
      <c r="O142">
        <v>48.613999999999997</v>
      </c>
      <c r="P142" t="s">
        <v>375</v>
      </c>
      <c r="Q142" t="s">
        <v>333</v>
      </c>
      <c r="R142" t="s">
        <v>347</v>
      </c>
      <c r="S142">
        <v>106.66079999999999</v>
      </c>
      <c r="T142">
        <v>16.844800000000099</v>
      </c>
      <c r="U142" t="s">
        <v>380</v>
      </c>
      <c r="V142" t="s">
        <v>644</v>
      </c>
      <c r="W142">
        <v>195</v>
      </c>
      <c r="X142">
        <v>105.184</v>
      </c>
      <c r="Y142">
        <v>37</v>
      </c>
      <c r="AB142" s="77">
        <f t="shared" si="75"/>
        <v>73.248000000000005</v>
      </c>
      <c r="AC142" s="77">
        <f t="shared" si="76"/>
        <v>48.613999999999997</v>
      </c>
      <c r="AD142" s="77">
        <f t="shared" si="77"/>
        <v>44.919786096256693</v>
      </c>
      <c r="AE142" s="77">
        <f t="shared" si="78"/>
        <v>35.118110236220467</v>
      </c>
      <c r="AF142" s="77">
        <f t="shared" si="79"/>
        <v>16.844800000000099</v>
      </c>
      <c r="AG142" s="77">
        <f t="shared" si="80"/>
        <v>15.792868607773521</v>
      </c>
      <c r="AH142" s="337">
        <f>AVERAGE(W142:W143)</f>
        <v>195</v>
      </c>
      <c r="AI142" s="337">
        <f>SUM(J142:J143)</f>
        <v>143.44400000000002</v>
      </c>
      <c r="AJ142" s="337">
        <f t="shared" si="83"/>
        <v>51.555999999999983</v>
      </c>
      <c r="AK142" s="337">
        <f>SUM(AA142:AA143)</f>
        <v>0</v>
      </c>
      <c r="AL142" s="337">
        <f t="shared" si="85"/>
        <v>51.555999999999983</v>
      </c>
      <c r="AM142" s="338">
        <f t="shared" si="86"/>
        <v>26.438974358974352</v>
      </c>
      <c r="AN142" t="str">
        <f t="shared" si="127"/>
        <v/>
      </c>
      <c r="AO142" t="s">
        <v>395</v>
      </c>
      <c r="AP142" t="str">
        <f t="shared" ref="AP142:AP207" si="129">TRIM(BA142)</f>
        <v>DDm125-33</v>
      </c>
      <c r="AQ142" t="str">
        <f>_xlfn.XLOOKUP(A142,'SYS Allocations'!A:A,'SYS Allocations'!B:B)</f>
        <v>P-Core</v>
      </c>
      <c r="AR142" t="str">
        <f>_xlfn.XLOOKUP(A142,'SYS Allocations'!A:A,'SYS Allocations'!C:C)</f>
        <v>RA</v>
      </c>
      <c r="AS142" t="str">
        <f>_xlfn.XLOOKUP(A142,'SYS Allocations'!A:A,'SYS Allocations'!D:D)</f>
        <v>PX</v>
      </c>
      <c r="AT142">
        <f>_xlfn.XLOOKUP(A142,'SYS Allocations'!A:A,'SYS Allocations'!E:E)</f>
        <v>0</v>
      </c>
      <c r="AU142" t="str">
        <f>_xlfn.XLOOKUP(A142,'SYS Allocations'!A:A,'SYS Allocations'!F:F)</f>
        <v>OPEX</v>
      </c>
      <c r="BA142" t="str">
        <f t="shared" si="128"/>
        <v>DDm125-33</v>
      </c>
    </row>
    <row r="143" spans="1:53">
      <c r="A143" s="35" t="s">
        <v>159</v>
      </c>
      <c r="B143" t="s">
        <v>396</v>
      </c>
      <c r="C143" t="s">
        <v>639</v>
      </c>
      <c r="D143" t="s">
        <v>319</v>
      </c>
      <c r="E143" t="s">
        <v>643</v>
      </c>
      <c r="F143" t="s">
        <v>384</v>
      </c>
      <c r="G143">
        <v>55</v>
      </c>
      <c r="H143">
        <v>70</v>
      </c>
      <c r="I143">
        <v>984</v>
      </c>
      <c r="J143">
        <v>53.628</v>
      </c>
      <c r="K143" s="64">
        <v>45600</v>
      </c>
      <c r="L143">
        <v>165.46199999999999</v>
      </c>
      <c r="M143">
        <v>111.834</v>
      </c>
      <c r="N143">
        <v>141.42750000000001</v>
      </c>
      <c r="O143">
        <v>87.799499999999995</v>
      </c>
      <c r="P143" t="s">
        <v>375</v>
      </c>
      <c r="Q143" t="s">
        <v>333</v>
      </c>
      <c r="R143" t="s">
        <v>347</v>
      </c>
      <c r="S143">
        <v>106.66079999999999</v>
      </c>
      <c r="T143">
        <v>53.032800000000101</v>
      </c>
      <c r="U143" t="s">
        <v>380</v>
      </c>
      <c r="V143" t="s">
        <v>644</v>
      </c>
      <c r="W143">
        <v>195</v>
      </c>
      <c r="X143">
        <v>141.37200000000001</v>
      </c>
      <c r="Y143">
        <v>37</v>
      </c>
      <c r="AB143" s="77">
        <f t="shared" si="75"/>
        <v>111.834</v>
      </c>
      <c r="AC143" s="77">
        <f t="shared" si="76"/>
        <v>87.799499999999995</v>
      </c>
      <c r="AD143" s="77">
        <f t="shared" si="77"/>
        <v>67.588932806324109</v>
      </c>
      <c r="AE143" s="77">
        <f t="shared" si="78"/>
        <v>62.080924855491318</v>
      </c>
      <c r="AF143" s="77">
        <f t="shared" si="79"/>
        <v>53.032800000000101</v>
      </c>
      <c r="AG143" s="77">
        <f t="shared" si="80"/>
        <v>49.720984654156076</v>
      </c>
      <c r="AH143" s="337"/>
      <c r="AI143" s="337"/>
      <c r="AJ143" s="337"/>
      <c r="AK143" s="337"/>
      <c r="AL143" s="337"/>
      <c r="AM143" s="338"/>
      <c r="AN143" t="str">
        <f t="shared" si="127"/>
        <v/>
      </c>
      <c r="AO143" t="s">
        <v>395</v>
      </c>
      <c r="AP143" t="str">
        <f t="shared" si="129"/>
        <v>DDm125-33</v>
      </c>
      <c r="AQ143">
        <f>_xlfn.XLOOKUP(A143,'SYS Allocations'!A:A,'SYS Allocations'!B:B)</f>
        <v>0</v>
      </c>
      <c r="AR143">
        <f>_xlfn.XLOOKUP(A143,'SYS Allocations'!A:A,'SYS Allocations'!C:C)</f>
        <v>0</v>
      </c>
      <c r="AS143">
        <f>_xlfn.XLOOKUP(A143,'SYS Allocations'!A:A,'SYS Allocations'!D:D)</f>
        <v>0</v>
      </c>
      <c r="AT143">
        <f>_xlfn.XLOOKUP(A143,'SYS Allocations'!A:A,'SYS Allocations'!E:E)</f>
        <v>0</v>
      </c>
      <c r="AU143">
        <f>_xlfn.XLOOKUP(A143,'SYS Allocations'!A:A,'SYS Allocations'!F:F)</f>
        <v>0</v>
      </c>
      <c r="BA143" t="str">
        <f t="shared" si="128"/>
        <v>DDm125-33</v>
      </c>
    </row>
    <row r="144" spans="1:53">
      <c r="A144" s="35" t="s">
        <v>160</v>
      </c>
      <c r="B144" t="s">
        <v>396</v>
      </c>
      <c r="C144" t="s">
        <v>639</v>
      </c>
      <c r="D144" t="s">
        <v>319</v>
      </c>
      <c r="E144" t="s">
        <v>645</v>
      </c>
      <c r="F144" t="s">
        <v>601</v>
      </c>
      <c r="G144">
        <v>37.5</v>
      </c>
      <c r="H144">
        <v>12</v>
      </c>
      <c r="I144">
        <v>120</v>
      </c>
      <c r="J144">
        <v>6.54</v>
      </c>
      <c r="K144" s="64">
        <v>44637.666666666701</v>
      </c>
      <c r="L144">
        <v>17.984999999999999</v>
      </c>
      <c r="M144">
        <v>11.445</v>
      </c>
      <c r="N144">
        <v>10.43675</v>
      </c>
      <c r="O144">
        <v>3.8967499999999999</v>
      </c>
      <c r="P144" t="s">
        <v>325</v>
      </c>
      <c r="Q144" t="s">
        <v>333</v>
      </c>
      <c r="R144" t="s">
        <v>605</v>
      </c>
      <c r="S144">
        <v>18.792000000000002</v>
      </c>
      <c r="T144">
        <v>12.252000000000001</v>
      </c>
      <c r="U144" t="s">
        <v>325</v>
      </c>
      <c r="V144" t="s">
        <v>642</v>
      </c>
      <c r="W144">
        <v>24</v>
      </c>
      <c r="X144">
        <v>17.46</v>
      </c>
      <c r="Y144">
        <v>3</v>
      </c>
      <c r="AB144" s="77">
        <f t="shared" ref="AB144:AB211" si="130">M144-AA144</f>
        <v>11.445</v>
      </c>
      <c r="AC144" s="77">
        <f t="shared" ref="AC144:AC211" si="131">O144-AA144</f>
        <v>3.8967499999999999</v>
      </c>
      <c r="AD144" s="77">
        <f t="shared" ref="AD144:AD211" si="132">AB144/L144%</f>
        <v>63.636363636363647</v>
      </c>
      <c r="AE144" s="77">
        <f t="shared" ref="AE144:AE211" si="133">AC144/N144%</f>
        <v>37.336814621409921</v>
      </c>
      <c r="AF144" s="77">
        <f t="shared" ref="AF144:AF211" si="134">T144-AA144</f>
        <v>12.252000000000001</v>
      </c>
      <c r="AG144" s="77">
        <f t="shared" ref="AG144:AG211" si="135">AF144/S144%</f>
        <v>65.197956577266922</v>
      </c>
      <c r="AH144" s="77">
        <f t="shared" ref="AH144:AH211" si="136">W144</f>
        <v>24</v>
      </c>
      <c r="AI144" s="77">
        <f t="shared" ref="AI144:AI211" si="137">J144</f>
        <v>6.54</v>
      </c>
      <c r="AJ144" s="77">
        <f t="shared" ref="AJ144:AJ211" si="138">AH144-AI144</f>
        <v>17.46</v>
      </c>
      <c r="AK144" s="77">
        <f t="shared" ref="AK144:AK211" si="139">AA144</f>
        <v>0</v>
      </c>
      <c r="AL144" s="77">
        <f t="shared" ref="AL144:AL211" si="140">AJ144-AK144</f>
        <v>17.46</v>
      </c>
      <c r="AM144" s="77">
        <f t="shared" ref="AM144:AM211" si="141">AL144/AH144%</f>
        <v>72.75</v>
      </c>
      <c r="AN144" t="str">
        <f t="shared" si="127"/>
        <v/>
      </c>
      <c r="AO144" t="s">
        <v>327</v>
      </c>
      <c r="AP144" t="str">
        <f t="shared" si="129"/>
        <v>DDm85-27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8"/>
        <v>DDm85-27</v>
      </c>
    </row>
    <row r="145" spans="1:53">
      <c r="A145" s="35" t="s">
        <v>161</v>
      </c>
      <c r="B145" t="s">
        <v>396</v>
      </c>
      <c r="C145" t="s">
        <v>639</v>
      </c>
      <c r="D145" t="s">
        <v>319</v>
      </c>
      <c r="E145" t="s">
        <v>646</v>
      </c>
      <c r="F145" t="s">
        <v>321</v>
      </c>
      <c r="G145">
        <v>36.6</v>
      </c>
      <c r="H145">
        <v>35</v>
      </c>
      <c r="I145">
        <v>468</v>
      </c>
      <c r="J145">
        <v>25.506</v>
      </c>
      <c r="K145" s="64">
        <v>45600</v>
      </c>
      <c r="L145">
        <v>54.255839999999999</v>
      </c>
      <c r="M145">
        <v>28.749839999999999</v>
      </c>
      <c r="N145">
        <v>35.119799999999998</v>
      </c>
      <c r="O145">
        <v>9.6137999999999995</v>
      </c>
      <c r="P145" t="s">
        <v>322</v>
      </c>
      <c r="Q145" t="s">
        <v>333</v>
      </c>
      <c r="R145" t="s">
        <v>347</v>
      </c>
      <c r="S145">
        <v>53.330399999999997</v>
      </c>
      <c r="T145">
        <v>27.824400000000001</v>
      </c>
      <c r="U145" t="s">
        <v>380</v>
      </c>
      <c r="V145" t="s">
        <v>647</v>
      </c>
      <c r="W145">
        <v>135</v>
      </c>
      <c r="X145">
        <v>109.494</v>
      </c>
      <c r="Y145">
        <v>135</v>
      </c>
      <c r="AB145" s="77">
        <f t="shared" si="130"/>
        <v>28.749839999999999</v>
      </c>
      <c r="AC145" s="77">
        <f t="shared" si="131"/>
        <v>9.6137999999999995</v>
      </c>
      <c r="AD145" s="77">
        <f t="shared" si="132"/>
        <v>52.989392478302797</v>
      </c>
      <c r="AE145" s="77">
        <f t="shared" si="133"/>
        <v>27.374301675977655</v>
      </c>
      <c r="AF145" s="77">
        <f t="shared" si="134"/>
        <v>27.824400000000001</v>
      </c>
      <c r="AG145" s="77">
        <f t="shared" si="135"/>
        <v>52.173619549075198</v>
      </c>
      <c r="AH145" s="77">
        <f t="shared" si="136"/>
        <v>135</v>
      </c>
      <c r="AI145" s="77">
        <f t="shared" si="137"/>
        <v>25.506</v>
      </c>
      <c r="AJ145" s="77">
        <f t="shared" si="138"/>
        <v>109.494</v>
      </c>
      <c r="AK145" s="77">
        <f t="shared" si="139"/>
        <v>0</v>
      </c>
      <c r="AL145" s="77">
        <f t="shared" si="140"/>
        <v>109.494</v>
      </c>
      <c r="AM145" s="77">
        <f t="shared" si="141"/>
        <v>81.106666666666655</v>
      </c>
      <c r="AN145" t="str">
        <f t="shared" si="127"/>
        <v/>
      </c>
      <c r="AO145" t="s">
        <v>327</v>
      </c>
      <c r="AP145" t="str">
        <f t="shared" si="129"/>
        <v>DDm125-33</v>
      </c>
      <c r="AQ145">
        <f>_xlfn.XLOOKUP(A145,'SYS Allocations'!A:A,'SYS Allocations'!B:B)</f>
        <v>0</v>
      </c>
      <c r="AR145" t="str">
        <f>_xlfn.XLOOKUP(A145,'SYS Allocations'!A:A,'SYS Allocations'!C:C)</f>
        <v>RA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8"/>
        <v>DDm125-33</v>
      </c>
    </row>
    <row r="146" spans="1:53">
      <c r="A146" s="35" t="s">
        <v>162</v>
      </c>
      <c r="B146" t="s">
        <v>328</v>
      </c>
      <c r="C146" t="s">
        <v>648</v>
      </c>
      <c r="D146" t="s">
        <v>319</v>
      </c>
      <c r="E146" t="s">
        <v>649</v>
      </c>
      <c r="F146" t="s">
        <v>321</v>
      </c>
      <c r="G146">
        <v>36.6</v>
      </c>
      <c r="H146">
        <v>35</v>
      </c>
      <c r="I146">
        <v>517</v>
      </c>
      <c r="J146">
        <v>28.176500000000001</v>
      </c>
      <c r="K146" s="64">
        <v>45600</v>
      </c>
      <c r="L146">
        <v>54.255839999999999</v>
      </c>
      <c r="M146">
        <v>26.079339999999998</v>
      </c>
      <c r="N146">
        <v>35.119799999999998</v>
      </c>
      <c r="O146">
        <v>6.9432999999999998</v>
      </c>
      <c r="P146" t="s">
        <v>322</v>
      </c>
      <c r="Q146" t="s">
        <v>333</v>
      </c>
      <c r="R146" t="s">
        <v>347</v>
      </c>
      <c r="S146">
        <v>53.330399999999997</v>
      </c>
      <c r="T146">
        <v>25.1539</v>
      </c>
      <c r="U146" t="s">
        <v>339</v>
      </c>
      <c r="V146" t="s">
        <v>436</v>
      </c>
      <c r="W146">
        <v>67.5</v>
      </c>
      <c r="X146">
        <v>39.323500000000003</v>
      </c>
      <c r="Y146">
        <v>44</v>
      </c>
      <c r="AB146" s="77">
        <f t="shared" si="130"/>
        <v>26.079339999999998</v>
      </c>
      <c r="AC146" s="77">
        <f t="shared" si="131"/>
        <v>6.9432999999999998</v>
      </c>
      <c r="AD146" s="77">
        <f t="shared" si="132"/>
        <v>48.067341690774668</v>
      </c>
      <c r="AE146" s="77">
        <f t="shared" si="133"/>
        <v>19.770328988206085</v>
      </c>
      <c r="AF146" s="77">
        <f t="shared" si="134"/>
        <v>25.1539</v>
      </c>
      <c r="AG146" s="77">
        <f t="shared" si="135"/>
        <v>47.166156638615121</v>
      </c>
      <c r="AH146" s="77">
        <f t="shared" si="136"/>
        <v>67.5</v>
      </c>
      <c r="AI146" s="77">
        <f t="shared" si="137"/>
        <v>28.176500000000001</v>
      </c>
      <c r="AJ146" s="77">
        <f t="shared" si="138"/>
        <v>39.323499999999996</v>
      </c>
      <c r="AK146" s="77">
        <f t="shared" si="139"/>
        <v>0</v>
      </c>
      <c r="AL146" s="77">
        <f t="shared" si="140"/>
        <v>39.323499999999996</v>
      </c>
      <c r="AM146" s="77">
        <f t="shared" si="141"/>
        <v>58.25703703703703</v>
      </c>
      <c r="AN146" t="str">
        <f t="shared" si="127"/>
        <v/>
      </c>
      <c r="AO146" t="s">
        <v>327</v>
      </c>
      <c r="AP146" t="str">
        <f t="shared" si="129"/>
        <v>DDm125-33</v>
      </c>
      <c r="AQ146">
        <f>_xlfn.XLOOKUP(A146,'SYS Allocations'!A:A,'SYS Allocations'!B:B)</f>
        <v>0</v>
      </c>
      <c r="AR146">
        <f>_xlfn.XLOOKUP(A146,'SYS Allocations'!A:A,'SYS Allocations'!C:C)</f>
        <v>0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8"/>
        <v>DDm125-33</v>
      </c>
    </row>
    <row r="147" spans="1:53">
      <c r="A147" s="35" t="s">
        <v>163</v>
      </c>
      <c r="B147" t="s">
        <v>421</v>
      </c>
      <c r="C147" t="s">
        <v>650</v>
      </c>
      <c r="D147" t="s">
        <v>319</v>
      </c>
      <c r="E147" t="s">
        <v>651</v>
      </c>
      <c r="F147" t="s">
        <v>321</v>
      </c>
      <c r="G147">
        <v>36.6</v>
      </c>
      <c r="H147">
        <v>18</v>
      </c>
      <c r="I147">
        <v>183</v>
      </c>
      <c r="J147">
        <v>9.9734999999999996</v>
      </c>
      <c r="K147" s="64">
        <v>45600</v>
      </c>
      <c r="L147">
        <v>27.12792</v>
      </c>
      <c r="M147">
        <v>17.154419999999998</v>
      </c>
      <c r="N147">
        <v>12.1099</v>
      </c>
      <c r="O147">
        <v>2.1364000000000001</v>
      </c>
      <c r="P147" t="s">
        <v>325</v>
      </c>
      <c r="Q147" t="s">
        <v>333</v>
      </c>
      <c r="R147" t="s">
        <v>347</v>
      </c>
      <c r="S147">
        <v>35.553600000000003</v>
      </c>
      <c r="T147">
        <v>25.580100000000002</v>
      </c>
      <c r="U147" t="s">
        <v>325</v>
      </c>
      <c r="V147" t="s">
        <v>335</v>
      </c>
      <c r="W147">
        <v>22.5</v>
      </c>
      <c r="X147">
        <v>12.5265</v>
      </c>
      <c r="Y147">
        <v>174</v>
      </c>
      <c r="AB147" s="77">
        <f t="shared" si="130"/>
        <v>17.154419999999998</v>
      </c>
      <c r="AC147" s="77">
        <f t="shared" si="131"/>
        <v>2.1364000000000001</v>
      </c>
      <c r="AD147" s="77">
        <f t="shared" si="132"/>
        <v>63.235294117647051</v>
      </c>
      <c r="AE147" s="77">
        <f t="shared" si="133"/>
        <v>17.641764176417642</v>
      </c>
      <c r="AF147" s="77">
        <f t="shared" si="134"/>
        <v>25.580100000000002</v>
      </c>
      <c r="AG147" s="77">
        <f t="shared" si="135"/>
        <v>71.947988389361413</v>
      </c>
      <c r="AH147" s="77">
        <f t="shared" si="136"/>
        <v>22.5</v>
      </c>
      <c r="AI147" s="77">
        <f t="shared" si="137"/>
        <v>9.9734999999999996</v>
      </c>
      <c r="AJ147" s="77">
        <f t="shared" si="138"/>
        <v>12.5265</v>
      </c>
      <c r="AK147" s="77">
        <f t="shared" si="139"/>
        <v>0</v>
      </c>
      <c r="AL147" s="77">
        <f t="shared" si="140"/>
        <v>12.5265</v>
      </c>
      <c r="AM147" s="77">
        <f t="shared" si="141"/>
        <v>55.673333333333332</v>
      </c>
      <c r="AN147" t="str">
        <f t="shared" si="127"/>
        <v/>
      </c>
      <c r="AO147" t="s">
        <v>327</v>
      </c>
      <c r="AP147" t="str">
        <f t="shared" si="129"/>
        <v>DDm125-33</v>
      </c>
      <c r="AQ147">
        <f>_xlfn.XLOOKUP(A147,'SYS Allocations'!A:A,'SYS Allocations'!B:B)</f>
        <v>0</v>
      </c>
      <c r="AR147" t="str">
        <f>_xlfn.XLOOKUP(A147,'SYS Allocations'!A:A,'SYS Allocations'!C:C)</f>
        <v>RA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8"/>
        <v>DDm125-33</v>
      </c>
    </row>
    <row r="148" spans="1:53">
      <c r="A148" s="35" t="s">
        <v>164</v>
      </c>
      <c r="B148" t="s">
        <v>377</v>
      </c>
      <c r="C148" t="s">
        <v>652</v>
      </c>
      <c r="D148" t="s">
        <v>392</v>
      </c>
      <c r="E148" t="s">
        <v>653</v>
      </c>
      <c r="F148" t="s">
        <v>321</v>
      </c>
      <c r="G148">
        <v>36.6</v>
      </c>
      <c r="H148">
        <v>11</v>
      </c>
      <c r="I148">
        <v>142</v>
      </c>
      <c r="J148">
        <v>7.7389999999999999</v>
      </c>
      <c r="K148" s="64">
        <v>44707.604166666701</v>
      </c>
      <c r="L148">
        <v>15.957599999999999</v>
      </c>
      <c r="M148">
        <v>8.2186000000000003</v>
      </c>
      <c r="N148">
        <v>6.0495000000000001</v>
      </c>
      <c r="O148">
        <v>-1.6895</v>
      </c>
      <c r="P148" t="s">
        <v>322</v>
      </c>
      <c r="Q148" t="s">
        <v>333</v>
      </c>
      <c r="R148" t="s">
        <v>568</v>
      </c>
      <c r="S148">
        <v>21.6432</v>
      </c>
      <c r="T148">
        <v>13.904199999999999</v>
      </c>
      <c r="U148" t="s">
        <v>322</v>
      </c>
      <c r="V148" t="s">
        <v>654</v>
      </c>
      <c r="W148">
        <v>21</v>
      </c>
      <c r="X148">
        <v>13.260999999999999</v>
      </c>
      <c r="Y148">
        <v>1</v>
      </c>
      <c r="Z148" t="s">
        <v>8</v>
      </c>
      <c r="AB148" s="77">
        <f t="shared" si="130"/>
        <v>8.2186000000000003</v>
      </c>
      <c r="AC148" s="77">
        <f t="shared" si="131"/>
        <v>-1.6895</v>
      </c>
      <c r="AD148" s="77">
        <f t="shared" si="132"/>
        <v>51.502732240437162</v>
      </c>
      <c r="AE148" s="77">
        <f t="shared" si="133"/>
        <v>-27.927927927927929</v>
      </c>
      <c r="AF148" s="77">
        <f t="shared" si="134"/>
        <v>13.904199999999999</v>
      </c>
      <c r="AG148" s="77">
        <f t="shared" si="135"/>
        <v>64.242810674946398</v>
      </c>
      <c r="AH148" s="77">
        <f t="shared" si="136"/>
        <v>21</v>
      </c>
      <c r="AI148" s="77">
        <f t="shared" si="137"/>
        <v>7.7389999999999999</v>
      </c>
      <c r="AJ148" s="77">
        <f t="shared" si="138"/>
        <v>13.260999999999999</v>
      </c>
      <c r="AK148" s="77">
        <f t="shared" si="139"/>
        <v>0</v>
      </c>
      <c r="AL148" s="77">
        <f t="shared" si="140"/>
        <v>13.260999999999999</v>
      </c>
      <c r="AM148" s="77">
        <f t="shared" si="141"/>
        <v>63.147619047619045</v>
      </c>
      <c r="AN148" t="str">
        <f t="shared" si="127"/>
        <v>Capped</v>
      </c>
      <c r="AO148" t="s">
        <v>327</v>
      </c>
      <c r="AP148" t="str">
        <f t="shared" si="129"/>
        <v>DDm85-21</v>
      </c>
      <c r="AQ148">
        <f>_xlfn.XLOOKUP(A148,'SYS Allocations'!A:A,'SYS Allocations'!B:B)</f>
        <v>0</v>
      </c>
      <c r="AR148">
        <f>_xlfn.XLOOKUP(A148,'SYS Allocations'!A:A,'SYS Allocations'!C:C)</f>
        <v>0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8"/>
        <v>DDm85-21</v>
      </c>
    </row>
    <row r="149" spans="1:53">
      <c r="A149" s="35" t="s">
        <v>165</v>
      </c>
      <c r="B149" t="s">
        <v>421</v>
      </c>
      <c r="C149" t="s">
        <v>655</v>
      </c>
      <c r="D149" t="s">
        <v>319</v>
      </c>
      <c r="E149" t="s">
        <v>656</v>
      </c>
      <c r="F149" t="s">
        <v>321</v>
      </c>
      <c r="G149">
        <v>36.6</v>
      </c>
      <c r="H149">
        <v>10</v>
      </c>
      <c r="I149">
        <v>94</v>
      </c>
      <c r="J149">
        <v>5.1230000000000002</v>
      </c>
      <c r="K149" s="64">
        <v>45600</v>
      </c>
      <c r="L149">
        <v>14.361840000000001</v>
      </c>
      <c r="M149">
        <v>9.2388399999999997</v>
      </c>
      <c r="N149">
        <v>17.734300000000001</v>
      </c>
      <c r="O149">
        <v>12.6113</v>
      </c>
      <c r="P149" t="s">
        <v>339</v>
      </c>
      <c r="Q149" t="s">
        <v>354</v>
      </c>
      <c r="R149" t="s">
        <v>355</v>
      </c>
      <c r="S149">
        <v>3.456</v>
      </c>
      <c r="T149">
        <v>-1.667</v>
      </c>
      <c r="U149" t="s">
        <v>325</v>
      </c>
      <c r="V149" t="s">
        <v>442</v>
      </c>
      <c r="W149">
        <v>11.25</v>
      </c>
      <c r="X149">
        <v>6.1269999999999998</v>
      </c>
      <c r="Y149">
        <v>4</v>
      </c>
      <c r="AB149" s="77">
        <f t="shared" si="130"/>
        <v>9.2388399999999997</v>
      </c>
      <c r="AC149" s="77">
        <f t="shared" si="131"/>
        <v>12.6113</v>
      </c>
      <c r="AD149" s="77">
        <f t="shared" si="132"/>
        <v>64.329083181542188</v>
      </c>
      <c r="AE149" s="77">
        <f t="shared" si="133"/>
        <v>71.112476951444378</v>
      </c>
      <c r="AF149" s="77">
        <f t="shared" si="134"/>
        <v>-1.667</v>
      </c>
      <c r="AG149" s="77">
        <f t="shared" si="135"/>
        <v>-48.234953703703702</v>
      </c>
      <c r="AH149" s="77">
        <f t="shared" si="136"/>
        <v>11.25</v>
      </c>
      <c r="AI149" s="77">
        <f t="shared" si="137"/>
        <v>5.1230000000000002</v>
      </c>
      <c r="AJ149" s="77">
        <f t="shared" si="138"/>
        <v>6.1269999999999998</v>
      </c>
      <c r="AK149" s="77">
        <f t="shared" si="139"/>
        <v>0</v>
      </c>
      <c r="AL149" s="77">
        <f t="shared" si="140"/>
        <v>6.1269999999999998</v>
      </c>
      <c r="AM149" s="77">
        <f t="shared" si="141"/>
        <v>54.462222222222216</v>
      </c>
      <c r="AN149" t="str">
        <f t="shared" si="127"/>
        <v/>
      </c>
      <c r="AO149" t="s">
        <v>327</v>
      </c>
      <c r="AP149" t="str">
        <f t="shared" si="129"/>
        <v>SBS C11F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8"/>
        <v>SBS C11F</v>
      </c>
    </row>
    <row r="150" spans="1:53">
      <c r="A150" s="35" t="s">
        <v>166</v>
      </c>
      <c r="B150" t="s">
        <v>421</v>
      </c>
      <c r="C150" t="s">
        <v>657</v>
      </c>
      <c r="D150" t="s">
        <v>319</v>
      </c>
      <c r="E150" t="s">
        <v>658</v>
      </c>
      <c r="F150" t="s">
        <v>321</v>
      </c>
      <c r="G150">
        <v>36.6</v>
      </c>
      <c r="H150">
        <v>26</v>
      </c>
      <c r="I150">
        <v>318</v>
      </c>
      <c r="J150">
        <v>17.331</v>
      </c>
      <c r="K150" s="64">
        <v>45600</v>
      </c>
      <c r="L150">
        <v>39.893999999999998</v>
      </c>
      <c r="M150">
        <v>22.562999999999999</v>
      </c>
      <c r="N150">
        <v>28.067499999999999</v>
      </c>
      <c r="O150">
        <v>10.736499999999999</v>
      </c>
      <c r="P150" t="s">
        <v>325</v>
      </c>
      <c r="Q150" t="s">
        <v>333</v>
      </c>
      <c r="R150" t="s">
        <v>347</v>
      </c>
      <c r="S150">
        <v>35.553600000000003</v>
      </c>
      <c r="T150">
        <v>18.2226</v>
      </c>
      <c r="U150" t="s">
        <v>322</v>
      </c>
      <c r="V150" t="s">
        <v>401</v>
      </c>
      <c r="W150">
        <v>37.5</v>
      </c>
      <c r="X150">
        <v>20.169</v>
      </c>
      <c r="Y150">
        <v>18</v>
      </c>
      <c r="AB150" s="77">
        <f t="shared" si="130"/>
        <v>22.562999999999999</v>
      </c>
      <c r="AC150" s="77">
        <f t="shared" si="131"/>
        <v>10.736499999999999</v>
      </c>
      <c r="AD150" s="77">
        <f t="shared" si="132"/>
        <v>56.557377049180332</v>
      </c>
      <c r="AE150" s="77">
        <f t="shared" si="133"/>
        <v>38.252427184466015</v>
      </c>
      <c r="AF150" s="77">
        <f t="shared" si="134"/>
        <v>18.2226</v>
      </c>
      <c r="AG150" s="77">
        <f t="shared" si="135"/>
        <v>51.253881463480489</v>
      </c>
      <c r="AH150" s="77">
        <f t="shared" si="136"/>
        <v>37.5</v>
      </c>
      <c r="AI150" s="77">
        <f t="shared" si="137"/>
        <v>17.331</v>
      </c>
      <c r="AJ150" s="77">
        <f t="shared" si="138"/>
        <v>20.169</v>
      </c>
      <c r="AK150" s="77">
        <f t="shared" si="139"/>
        <v>0</v>
      </c>
      <c r="AL150" s="77">
        <f t="shared" si="140"/>
        <v>20.169</v>
      </c>
      <c r="AM150" s="77">
        <f t="shared" si="141"/>
        <v>53.783999999999999</v>
      </c>
      <c r="AN150" t="str">
        <f t="shared" si="127"/>
        <v/>
      </c>
      <c r="AO150" t="s">
        <v>327</v>
      </c>
      <c r="AP150" t="str">
        <f t="shared" si="129"/>
        <v>DDm125-33</v>
      </c>
      <c r="AQ150">
        <f>_xlfn.XLOOKUP(A150,'SYS Allocations'!A:A,'SYS Allocations'!B:B)</f>
        <v>0</v>
      </c>
      <c r="AR150" t="str">
        <f>_xlfn.XLOOKUP(A150,'SYS Allocations'!A:A,'SYS Allocations'!C:C)</f>
        <v>RA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8"/>
        <v>DDm125-33</v>
      </c>
    </row>
    <row r="151" spans="1:53">
      <c r="A151" s="35" t="s">
        <v>167</v>
      </c>
      <c r="B151" t="s">
        <v>344</v>
      </c>
      <c r="C151" t="s">
        <v>344</v>
      </c>
      <c r="D151" t="s">
        <v>392</v>
      </c>
      <c r="E151" t="s">
        <v>659</v>
      </c>
      <c r="F151" t="s">
        <v>332</v>
      </c>
      <c r="G151">
        <v>75</v>
      </c>
      <c r="H151">
        <v>35</v>
      </c>
      <c r="I151">
        <v>1430</v>
      </c>
      <c r="J151">
        <v>77.935000000000002</v>
      </c>
      <c r="K151" s="64">
        <v>44944</v>
      </c>
      <c r="L151">
        <v>111.18</v>
      </c>
      <c r="M151">
        <v>33.244999999999997</v>
      </c>
      <c r="N151">
        <v>95.375</v>
      </c>
      <c r="O151">
        <v>17.440000000000001</v>
      </c>
      <c r="P151" t="s">
        <v>339</v>
      </c>
      <c r="Q151" t="s">
        <v>333</v>
      </c>
      <c r="R151" t="s">
        <v>660</v>
      </c>
      <c r="S151">
        <v>113.616</v>
      </c>
      <c r="T151">
        <v>35.680999999999997</v>
      </c>
      <c r="U151" t="s">
        <v>424</v>
      </c>
      <c r="V151" t="s">
        <v>661</v>
      </c>
      <c r="W151">
        <v>71.25</v>
      </c>
      <c r="X151">
        <v>-6.6849999999999996</v>
      </c>
      <c r="Y151">
        <v>45</v>
      </c>
      <c r="Z151" t="s">
        <v>662</v>
      </c>
      <c r="AB151" s="77">
        <f t="shared" si="130"/>
        <v>33.244999999999997</v>
      </c>
      <c r="AC151" s="77">
        <f t="shared" si="131"/>
        <v>17.440000000000001</v>
      </c>
      <c r="AD151" s="77">
        <f t="shared" si="132"/>
        <v>29.901960784313719</v>
      </c>
      <c r="AE151" s="77">
        <f t="shared" si="133"/>
        <v>18.285714285714288</v>
      </c>
      <c r="AF151" s="77">
        <f t="shared" si="134"/>
        <v>35.680999999999997</v>
      </c>
      <c r="AG151" s="77">
        <f t="shared" si="135"/>
        <v>31.404907759470493</v>
      </c>
      <c r="AH151" s="77">
        <f t="shared" si="136"/>
        <v>71.25</v>
      </c>
      <c r="AI151" s="77">
        <f t="shared" si="137"/>
        <v>77.935000000000002</v>
      </c>
      <c r="AJ151" s="77">
        <f t="shared" si="138"/>
        <v>-6.6850000000000023</v>
      </c>
      <c r="AK151" s="77">
        <f t="shared" si="139"/>
        <v>0</v>
      </c>
      <c r="AL151" s="77">
        <f t="shared" si="140"/>
        <v>-6.6850000000000023</v>
      </c>
      <c r="AM151" s="77">
        <f t="shared" si="141"/>
        <v>-9.3824561403508806</v>
      </c>
      <c r="AN151" t="str">
        <f t="shared" si="127"/>
        <v>Capped</v>
      </c>
      <c r="AO151" t="s">
        <v>327</v>
      </c>
      <c r="AP151" t="str">
        <f t="shared" si="129"/>
        <v>DDm125-33</v>
      </c>
      <c r="AQ151">
        <f>_xlfn.XLOOKUP(A151,'SYS Allocations'!A:A,'SYS Allocations'!B:B)</f>
        <v>0</v>
      </c>
      <c r="AR151">
        <f>_xlfn.XLOOKUP(A151,'SYS Allocations'!A:A,'SYS Allocations'!C:C)</f>
        <v>0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8"/>
        <v xml:space="preserve">DDm125-33 </v>
      </c>
    </row>
    <row r="152" spans="1:53">
      <c r="A152" s="35" t="s">
        <v>168</v>
      </c>
      <c r="B152" t="s">
        <v>390</v>
      </c>
      <c r="C152" t="s">
        <v>663</v>
      </c>
      <c r="D152" t="s">
        <v>664</v>
      </c>
      <c r="E152" t="s">
        <v>665</v>
      </c>
      <c r="F152" t="s">
        <v>332</v>
      </c>
      <c r="G152">
        <v>75</v>
      </c>
      <c r="H152">
        <v>12</v>
      </c>
      <c r="I152">
        <v>240</v>
      </c>
      <c r="J152">
        <v>13.08</v>
      </c>
      <c r="K152" s="64">
        <v>44676.708333333299</v>
      </c>
      <c r="L152">
        <v>35.97</v>
      </c>
      <c r="M152">
        <v>22.89</v>
      </c>
      <c r="N152">
        <v>27.522500000000001</v>
      </c>
      <c r="O152">
        <v>14.442500000000001</v>
      </c>
      <c r="P152" t="s">
        <v>325</v>
      </c>
      <c r="Q152" t="s">
        <v>333</v>
      </c>
      <c r="R152" t="s">
        <v>405</v>
      </c>
      <c r="S152">
        <v>28.123200000000001</v>
      </c>
      <c r="T152">
        <v>15.043200000000001</v>
      </c>
      <c r="U152" t="s">
        <v>325</v>
      </c>
      <c r="V152" t="s">
        <v>335</v>
      </c>
      <c r="W152">
        <v>22.5</v>
      </c>
      <c r="X152">
        <v>9.42</v>
      </c>
      <c r="Y152">
        <v>7</v>
      </c>
      <c r="Z152" t="s">
        <v>8</v>
      </c>
      <c r="AB152" s="77">
        <f t="shared" si="130"/>
        <v>22.89</v>
      </c>
      <c r="AC152" s="77">
        <f t="shared" si="131"/>
        <v>14.442500000000001</v>
      </c>
      <c r="AD152" s="77">
        <f t="shared" si="132"/>
        <v>63.636363636363647</v>
      </c>
      <c r="AE152" s="77">
        <f t="shared" si="133"/>
        <v>52.475247524752476</v>
      </c>
      <c r="AF152" s="77">
        <f t="shared" si="134"/>
        <v>15.043200000000001</v>
      </c>
      <c r="AG152" s="77">
        <f t="shared" si="135"/>
        <v>53.49035671616317</v>
      </c>
      <c r="AH152" s="77">
        <f t="shared" si="136"/>
        <v>22.5</v>
      </c>
      <c r="AI152" s="77">
        <f t="shared" si="137"/>
        <v>13.08</v>
      </c>
      <c r="AJ152" s="77">
        <f t="shared" si="138"/>
        <v>9.42</v>
      </c>
      <c r="AK152" s="77">
        <f t="shared" si="139"/>
        <v>0</v>
      </c>
      <c r="AL152" s="77">
        <f t="shared" si="140"/>
        <v>9.42</v>
      </c>
      <c r="AM152" s="77">
        <f t="shared" si="141"/>
        <v>41.866666666666667</v>
      </c>
      <c r="AN152" t="str">
        <f t="shared" si="127"/>
        <v>Capped</v>
      </c>
      <c r="AO152" t="s">
        <v>327</v>
      </c>
      <c r="AP152" t="str">
        <f t="shared" si="129"/>
        <v>DDm100-33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8"/>
        <v>DDm100-33</v>
      </c>
    </row>
    <row r="153" spans="1:53">
      <c r="A153" s="35" t="s">
        <v>169</v>
      </c>
      <c r="B153" t="s">
        <v>421</v>
      </c>
      <c r="C153" t="s">
        <v>666</v>
      </c>
      <c r="D153" t="s">
        <v>319</v>
      </c>
      <c r="E153" t="s">
        <v>667</v>
      </c>
      <c r="F153" t="s">
        <v>321</v>
      </c>
      <c r="G153">
        <v>36.6</v>
      </c>
      <c r="H153">
        <v>48</v>
      </c>
      <c r="I153">
        <v>308</v>
      </c>
      <c r="J153">
        <v>16.786000000000001</v>
      </c>
      <c r="K153" s="64">
        <v>45600</v>
      </c>
      <c r="L153">
        <v>75.000720000000001</v>
      </c>
      <c r="M153">
        <v>58.21472</v>
      </c>
      <c r="N153">
        <v>50.1509</v>
      </c>
      <c r="O153">
        <v>33.364899999999999</v>
      </c>
      <c r="P153" t="s">
        <v>339</v>
      </c>
      <c r="Q153" t="s">
        <v>333</v>
      </c>
      <c r="R153" t="s">
        <v>347</v>
      </c>
      <c r="S153">
        <v>71.107200000000205</v>
      </c>
      <c r="T153">
        <v>54.321200000000204</v>
      </c>
      <c r="U153" t="s">
        <v>322</v>
      </c>
      <c r="V153" t="s">
        <v>418</v>
      </c>
      <c r="W153">
        <v>90</v>
      </c>
      <c r="X153">
        <v>73.213999999999999</v>
      </c>
      <c r="Y153">
        <v>55</v>
      </c>
      <c r="AB153" s="77">
        <f t="shared" si="130"/>
        <v>58.21472</v>
      </c>
      <c r="AC153" s="77">
        <f t="shared" si="131"/>
        <v>33.364899999999999</v>
      </c>
      <c r="AD153" s="77">
        <f t="shared" si="132"/>
        <v>77.618881525404021</v>
      </c>
      <c r="AE153" s="77">
        <f t="shared" si="133"/>
        <v>66.52901543142795</v>
      </c>
      <c r="AF153" s="77">
        <f t="shared" si="134"/>
        <v>54.321200000000204</v>
      </c>
      <c r="AG153" s="77">
        <f t="shared" si="135"/>
        <v>76.393389136402575</v>
      </c>
      <c r="AH153" s="337">
        <f>AVERAGE(W153:W154)</f>
        <v>90</v>
      </c>
      <c r="AI153" s="337">
        <f>SUM(J153:J154)</f>
        <v>37.768500000000003</v>
      </c>
      <c r="AJ153" s="337">
        <f t="shared" si="138"/>
        <v>52.231499999999997</v>
      </c>
      <c r="AK153" s="337">
        <f>SUM(AA153:AA154)</f>
        <v>0</v>
      </c>
      <c r="AL153" s="337">
        <f t="shared" si="140"/>
        <v>52.231499999999997</v>
      </c>
      <c r="AM153" s="338">
        <f t="shared" si="141"/>
        <v>58.034999999999997</v>
      </c>
      <c r="AN153" t="str">
        <f t="shared" si="127"/>
        <v/>
      </c>
      <c r="AO153" t="s">
        <v>327</v>
      </c>
      <c r="AP153" t="str">
        <f t="shared" si="129"/>
        <v>DDm125-33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8"/>
        <v>DDm125-33</v>
      </c>
    </row>
    <row r="154" spans="1:53">
      <c r="A154" s="35" t="s">
        <v>170</v>
      </c>
      <c r="B154" t="s">
        <v>421</v>
      </c>
      <c r="C154" t="s">
        <v>666</v>
      </c>
      <c r="D154" t="s">
        <v>319</v>
      </c>
      <c r="E154" t="s">
        <v>667</v>
      </c>
      <c r="F154" t="s">
        <v>321</v>
      </c>
      <c r="G154">
        <v>36.6</v>
      </c>
      <c r="H154">
        <v>42</v>
      </c>
      <c r="I154">
        <v>385</v>
      </c>
      <c r="J154">
        <v>20.982500000000002</v>
      </c>
      <c r="K154" s="64">
        <v>45600</v>
      </c>
      <c r="L154">
        <v>65.426159999999996</v>
      </c>
      <c r="M154">
        <v>44.443660000000001</v>
      </c>
      <c r="N154">
        <v>38.182699999999997</v>
      </c>
      <c r="O154">
        <v>17.200199999999999</v>
      </c>
      <c r="P154" t="s">
        <v>339</v>
      </c>
      <c r="Q154" t="s">
        <v>333</v>
      </c>
      <c r="R154" t="s">
        <v>347</v>
      </c>
      <c r="S154">
        <v>71.107200000000205</v>
      </c>
      <c r="T154">
        <v>50.124700000000203</v>
      </c>
      <c r="U154" t="s">
        <v>322</v>
      </c>
      <c r="V154" t="s">
        <v>418</v>
      </c>
      <c r="W154">
        <v>90</v>
      </c>
      <c r="X154">
        <v>69.017499999999998</v>
      </c>
      <c r="Y154">
        <v>55</v>
      </c>
      <c r="AB154" s="77">
        <f t="shared" si="130"/>
        <v>44.443660000000001</v>
      </c>
      <c r="AC154" s="77">
        <f t="shared" si="131"/>
        <v>17.200199999999999</v>
      </c>
      <c r="AD154" s="77">
        <f t="shared" si="132"/>
        <v>67.929494868719175</v>
      </c>
      <c r="AE154" s="77">
        <f t="shared" si="133"/>
        <v>45.047102483585498</v>
      </c>
      <c r="AF154" s="77">
        <f t="shared" si="134"/>
        <v>50.124700000000203</v>
      </c>
      <c r="AG154" s="77">
        <f t="shared" si="135"/>
        <v>70.491736420503216</v>
      </c>
      <c r="AH154" s="337"/>
      <c r="AI154" s="337"/>
      <c r="AJ154" s="337"/>
      <c r="AK154" s="337"/>
      <c r="AL154" s="337"/>
      <c r="AM154" s="338"/>
      <c r="AN154" t="str">
        <f t="shared" si="127"/>
        <v/>
      </c>
      <c r="AO154" t="s">
        <v>327</v>
      </c>
      <c r="AP154" t="str">
        <f t="shared" si="129"/>
        <v>DDm125-33</v>
      </c>
      <c r="AQ154">
        <f>_xlfn.XLOOKUP(A154,'SYS Allocations'!A:A,'SYS Allocations'!B:B)</f>
        <v>0</v>
      </c>
      <c r="AR154" t="str">
        <f>_xlfn.XLOOKUP(A154,'SYS Allocations'!A:A,'SYS Allocations'!C:C)</f>
        <v>RA</v>
      </c>
      <c r="AS154" t="str">
        <f>_xlfn.XLOOKUP(A154,'SYS Allocations'!A:A,'SYS Allocations'!D:D)</f>
        <v>PX</v>
      </c>
      <c r="AT154">
        <f>_xlfn.XLOOKUP(A154,'SYS Allocations'!A:A,'SYS Allocations'!E:E)</f>
        <v>0</v>
      </c>
      <c r="AU154" t="str">
        <f>_xlfn.XLOOKUP(A154,'SYS Allocations'!A:A,'SYS Allocations'!F:F)</f>
        <v>OPEX</v>
      </c>
      <c r="BA154" t="str">
        <f t="shared" si="128"/>
        <v>DDm125-33</v>
      </c>
    </row>
    <row r="155" spans="1:53">
      <c r="A155" s="35" t="s">
        <v>171</v>
      </c>
      <c r="B155" t="s">
        <v>421</v>
      </c>
      <c r="C155" t="s">
        <v>666</v>
      </c>
      <c r="D155" t="s">
        <v>319</v>
      </c>
      <c r="E155" t="s">
        <v>667</v>
      </c>
      <c r="F155" t="s">
        <v>321</v>
      </c>
      <c r="G155">
        <v>36.6</v>
      </c>
      <c r="H155">
        <v>27</v>
      </c>
      <c r="I155">
        <v>0</v>
      </c>
      <c r="J155">
        <v>0</v>
      </c>
      <c r="K155" s="64">
        <v>0</v>
      </c>
      <c r="L155">
        <v>41.489759999999997</v>
      </c>
      <c r="M155">
        <v>41.489759999999997</v>
      </c>
      <c r="N155">
        <v>42.924199999999999</v>
      </c>
      <c r="O155">
        <v>42.924199999999999</v>
      </c>
      <c r="P155" t="s">
        <v>325</v>
      </c>
      <c r="Q155" t="s">
        <v>668</v>
      </c>
      <c r="R155" t="s">
        <v>669</v>
      </c>
      <c r="S155">
        <v>18.446400000000001</v>
      </c>
      <c r="T155">
        <v>18.446400000000001</v>
      </c>
      <c r="U155" t="s">
        <v>322</v>
      </c>
      <c r="V155" t="s">
        <v>418</v>
      </c>
      <c r="W155">
        <v>90</v>
      </c>
      <c r="X155">
        <v>90</v>
      </c>
      <c r="Y155">
        <v>55</v>
      </c>
      <c r="AB155" s="77"/>
      <c r="AC155" s="77"/>
      <c r="AD155" s="77"/>
      <c r="AE155" s="77"/>
      <c r="AF155" s="77"/>
      <c r="AG155" s="77"/>
      <c r="AH155" s="97"/>
      <c r="AI155" s="97"/>
      <c r="AJ155" s="97"/>
      <c r="AK155" s="97"/>
      <c r="AL155" s="97"/>
      <c r="AM155" s="97"/>
      <c r="AN155" t="str">
        <f t="shared" si="127"/>
        <v/>
      </c>
      <c r="AO155" t="s">
        <v>327</v>
      </c>
      <c r="AP155" t="str">
        <f t="shared" si="129"/>
        <v>VH34</v>
      </c>
      <c r="AQ155">
        <f>_xlfn.XLOOKUP(A155,'SYS Allocations'!A:A,'SYS Allocations'!B:B)</f>
        <v>0</v>
      </c>
      <c r="AR155">
        <f>_xlfn.XLOOKUP(A155,'SYS Allocations'!A:A,'SYS Allocations'!C:C)</f>
        <v>0</v>
      </c>
      <c r="AS155">
        <f>_xlfn.XLOOKUP(A155,'SYS Allocations'!A:A,'SYS Allocations'!D:D)</f>
        <v>0</v>
      </c>
      <c r="AT155">
        <f>_xlfn.XLOOKUP(A155,'SYS Allocations'!A:A,'SYS Allocations'!E:E)</f>
        <v>0</v>
      </c>
      <c r="AU155">
        <f>_xlfn.XLOOKUP(A155,'SYS Allocations'!A:A,'SYS Allocations'!F:F)</f>
        <v>0</v>
      </c>
      <c r="BA155" t="str">
        <f t="shared" si="128"/>
        <v>VH34</v>
      </c>
    </row>
    <row r="156" spans="1:53">
      <c r="A156" s="35" t="s">
        <v>172</v>
      </c>
      <c r="B156" t="s">
        <v>421</v>
      </c>
      <c r="C156" t="s">
        <v>666</v>
      </c>
      <c r="D156" t="s">
        <v>392</v>
      </c>
      <c r="E156" t="s">
        <v>670</v>
      </c>
      <c r="F156" t="s">
        <v>321</v>
      </c>
      <c r="G156">
        <v>36.6</v>
      </c>
      <c r="H156">
        <v>64</v>
      </c>
      <c r="I156">
        <v>874</v>
      </c>
      <c r="J156">
        <v>47.633000000000003</v>
      </c>
      <c r="K156" s="64">
        <v>45600</v>
      </c>
      <c r="L156">
        <v>100.53288000000001</v>
      </c>
      <c r="M156">
        <v>52.899880000000003</v>
      </c>
      <c r="N156">
        <v>92.966099999999997</v>
      </c>
      <c r="O156">
        <v>45.333100000000002</v>
      </c>
      <c r="P156" t="s">
        <v>322</v>
      </c>
      <c r="Q156" t="s">
        <v>333</v>
      </c>
      <c r="R156" t="s">
        <v>347</v>
      </c>
      <c r="S156">
        <v>53.330399999999997</v>
      </c>
      <c r="T156">
        <v>5.6973999999999796</v>
      </c>
      <c r="U156" t="s">
        <v>375</v>
      </c>
      <c r="V156" t="s">
        <v>367</v>
      </c>
      <c r="W156">
        <v>112.5</v>
      </c>
      <c r="X156">
        <v>64.867000000000004</v>
      </c>
      <c r="Y156">
        <v>39</v>
      </c>
      <c r="Z156" t="s">
        <v>671</v>
      </c>
      <c r="AB156" s="77">
        <f t="shared" si="130"/>
        <v>52.899880000000003</v>
      </c>
      <c r="AC156" s="77">
        <f t="shared" si="131"/>
        <v>45.333100000000002</v>
      </c>
      <c r="AD156" s="77">
        <f t="shared" si="132"/>
        <v>52.619481308005902</v>
      </c>
      <c r="AE156" s="77">
        <f t="shared" si="133"/>
        <v>48.763043733145743</v>
      </c>
      <c r="AF156" s="77">
        <f t="shared" si="134"/>
        <v>5.6973999999999796</v>
      </c>
      <c r="AG156" s="77">
        <f t="shared" si="135"/>
        <v>10.68321257669168</v>
      </c>
      <c r="AH156" s="337">
        <f>AVERAGE(W156:W157)</f>
        <v>112.5</v>
      </c>
      <c r="AI156" s="337">
        <f>SUM(J156:J157)</f>
        <v>83.875500000000002</v>
      </c>
      <c r="AJ156" s="337">
        <f t="shared" si="138"/>
        <v>28.624499999999998</v>
      </c>
      <c r="AK156" s="337">
        <f>SUM(AA156:AA157)</f>
        <v>0</v>
      </c>
      <c r="AL156" s="337">
        <f t="shared" si="140"/>
        <v>28.624499999999998</v>
      </c>
      <c r="AM156" s="338">
        <f t="shared" si="141"/>
        <v>25.443999999999999</v>
      </c>
      <c r="AN156" t="str">
        <f t="shared" si="127"/>
        <v>Capped</v>
      </c>
      <c r="AO156" t="s">
        <v>395</v>
      </c>
      <c r="AP156" t="str">
        <f t="shared" si="129"/>
        <v>DDm125-33</v>
      </c>
      <c r="AQ156" t="str">
        <f>_xlfn.XLOOKUP(A156,'SYS Allocations'!A:A,'SYS Allocations'!B:B)</f>
        <v>P-Core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8"/>
        <v>DDm125-33</v>
      </c>
    </row>
    <row r="157" spans="1:53">
      <c r="A157" s="35" t="s">
        <v>173</v>
      </c>
      <c r="B157" t="s">
        <v>421</v>
      </c>
      <c r="C157" t="s">
        <v>666</v>
      </c>
      <c r="D157" t="s">
        <v>392</v>
      </c>
      <c r="E157" t="s">
        <v>670</v>
      </c>
      <c r="F157" t="s">
        <v>321</v>
      </c>
      <c r="G157">
        <v>36.6</v>
      </c>
      <c r="H157">
        <v>64</v>
      </c>
      <c r="I157">
        <v>665</v>
      </c>
      <c r="J157">
        <v>36.2425</v>
      </c>
      <c r="K157" s="64">
        <v>45600</v>
      </c>
      <c r="L157">
        <v>100.53288000000001</v>
      </c>
      <c r="M157">
        <v>64.290379999999999</v>
      </c>
      <c r="N157">
        <v>92.966099999999997</v>
      </c>
      <c r="O157">
        <v>56.723599999999998</v>
      </c>
      <c r="P157" t="s">
        <v>322</v>
      </c>
      <c r="Q157" t="s">
        <v>333</v>
      </c>
      <c r="R157" t="s">
        <v>347</v>
      </c>
      <c r="S157">
        <v>53.330399999999997</v>
      </c>
      <c r="T157">
        <v>17.087900000000001</v>
      </c>
      <c r="U157" t="s">
        <v>375</v>
      </c>
      <c r="V157" t="s">
        <v>367</v>
      </c>
      <c r="W157">
        <v>112.5</v>
      </c>
      <c r="X157">
        <v>76.257499999999993</v>
      </c>
      <c r="Y157">
        <v>39</v>
      </c>
      <c r="Z157" t="s">
        <v>671</v>
      </c>
      <c r="AB157" s="77">
        <f t="shared" si="130"/>
        <v>64.290379999999999</v>
      </c>
      <c r="AC157" s="77">
        <f t="shared" si="131"/>
        <v>56.723599999999998</v>
      </c>
      <c r="AD157" s="77">
        <f t="shared" si="132"/>
        <v>63.949605343047963</v>
      </c>
      <c r="AE157" s="77">
        <f t="shared" si="133"/>
        <v>61.015359362176106</v>
      </c>
      <c r="AF157" s="77">
        <f t="shared" si="134"/>
        <v>17.087900000000001</v>
      </c>
      <c r="AG157" s="77">
        <f t="shared" si="135"/>
        <v>32.041574786613268</v>
      </c>
      <c r="AH157" s="337"/>
      <c r="AI157" s="337"/>
      <c r="AJ157" s="337"/>
      <c r="AK157" s="337"/>
      <c r="AL157" s="337"/>
      <c r="AM157" s="338"/>
      <c r="AN157" t="str">
        <f t="shared" si="127"/>
        <v>Capped</v>
      </c>
      <c r="AO157" t="s">
        <v>395</v>
      </c>
      <c r="AP157" t="str">
        <f t="shared" si="129"/>
        <v>DDm125-33</v>
      </c>
      <c r="AQ157">
        <f>_xlfn.XLOOKUP(A157,'SYS Allocations'!A:A,'SYS Allocations'!B:B)</f>
        <v>0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8"/>
        <v>DDm125-33</v>
      </c>
    </row>
    <row r="158" spans="1:53">
      <c r="A158" s="35" t="s">
        <v>174</v>
      </c>
      <c r="B158" t="s">
        <v>421</v>
      </c>
      <c r="C158" t="s">
        <v>666</v>
      </c>
      <c r="D158" t="s">
        <v>392</v>
      </c>
      <c r="E158" t="s">
        <v>672</v>
      </c>
      <c r="F158" t="s">
        <v>384</v>
      </c>
      <c r="G158">
        <v>55</v>
      </c>
      <c r="H158">
        <v>84</v>
      </c>
      <c r="I158">
        <v>1854</v>
      </c>
      <c r="J158">
        <v>101.04300000000001</v>
      </c>
      <c r="K158" s="64">
        <v>45600</v>
      </c>
      <c r="L158">
        <v>199.03399999999999</v>
      </c>
      <c r="M158">
        <v>97.991</v>
      </c>
      <c r="N158">
        <v>161.5925</v>
      </c>
      <c r="O158">
        <v>60.549500000000002</v>
      </c>
      <c r="P158" t="s">
        <v>446</v>
      </c>
      <c r="Q158" t="s">
        <v>333</v>
      </c>
      <c r="R158" t="s">
        <v>347</v>
      </c>
      <c r="S158">
        <v>142.21440000000001</v>
      </c>
      <c r="T158">
        <v>41.171399999999899</v>
      </c>
      <c r="U158" t="s">
        <v>346</v>
      </c>
      <c r="V158" t="s">
        <v>673</v>
      </c>
      <c r="W158">
        <v>375</v>
      </c>
      <c r="X158">
        <v>273.95699999999999</v>
      </c>
      <c r="Y158">
        <v>94</v>
      </c>
      <c r="Z158" t="s">
        <v>274</v>
      </c>
      <c r="AB158" s="77">
        <f t="shared" si="130"/>
        <v>97.991</v>
      </c>
      <c r="AC158" s="77">
        <f t="shared" si="131"/>
        <v>60.549500000000002</v>
      </c>
      <c r="AD158" s="77">
        <f t="shared" si="132"/>
        <v>49.233296823658272</v>
      </c>
      <c r="AE158" s="77">
        <f t="shared" si="133"/>
        <v>37.470489038785836</v>
      </c>
      <c r="AF158" s="77">
        <f t="shared" si="134"/>
        <v>41.171399999999899</v>
      </c>
      <c r="AG158" s="77">
        <f t="shared" si="135"/>
        <v>28.950232887808756</v>
      </c>
      <c r="AH158" s="337">
        <f>AVERAGE(W158:W159)</f>
        <v>375</v>
      </c>
      <c r="AI158" s="337">
        <f>SUM(J158:J159)</f>
        <v>202.631</v>
      </c>
      <c r="AJ158" s="337">
        <f t="shared" si="138"/>
        <v>172.369</v>
      </c>
      <c r="AK158" s="337">
        <f>SUM(AA158:AA159)</f>
        <v>0</v>
      </c>
      <c r="AL158" s="337">
        <f t="shared" si="140"/>
        <v>172.369</v>
      </c>
      <c r="AM158" s="338">
        <f t="shared" si="141"/>
        <v>45.965066666666665</v>
      </c>
      <c r="AN158" t="str">
        <f t="shared" si="127"/>
        <v>Capped</v>
      </c>
      <c r="AO158" t="s">
        <v>395</v>
      </c>
      <c r="AP158" t="str">
        <f t="shared" si="129"/>
        <v>DDm125-33</v>
      </c>
      <c r="AQ158" t="str">
        <f>_xlfn.XLOOKUP(A158,'SYS Allocations'!A:A,'SYS Allocations'!B:B)</f>
        <v>P-Core</v>
      </c>
      <c r="AR158" t="str">
        <f>_xlfn.XLOOKUP(A158,'SYS Allocations'!A:A,'SYS Allocations'!C:C)</f>
        <v>RA</v>
      </c>
      <c r="AS158" t="str">
        <f>_xlfn.XLOOKUP(A158,'SYS Allocations'!A:A,'SYS Allocations'!D:D)</f>
        <v>PX</v>
      </c>
      <c r="AT158">
        <f>_xlfn.XLOOKUP(A158,'SYS Allocations'!A:A,'SYS Allocations'!E:E)</f>
        <v>0</v>
      </c>
      <c r="AU158" t="str">
        <f>_xlfn.XLOOKUP(A158,'SYS Allocations'!A:A,'SYS Allocations'!F:F)</f>
        <v>OPEX</v>
      </c>
      <c r="BA158" t="str">
        <f t="shared" si="128"/>
        <v>DDm125-33</v>
      </c>
    </row>
    <row r="159" spans="1:53">
      <c r="A159" s="35" t="s">
        <v>175</v>
      </c>
      <c r="B159" t="s">
        <v>421</v>
      </c>
      <c r="C159" t="s">
        <v>666</v>
      </c>
      <c r="D159" t="s">
        <v>392</v>
      </c>
      <c r="E159" t="s">
        <v>672</v>
      </c>
      <c r="F159" t="s">
        <v>384</v>
      </c>
      <c r="G159">
        <v>55</v>
      </c>
      <c r="H159">
        <v>84</v>
      </c>
      <c r="I159">
        <v>1864</v>
      </c>
      <c r="J159">
        <v>101.58799999999999</v>
      </c>
      <c r="K159" s="64">
        <v>45600</v>
      </c>
      <c r="L159">
        <v>199.03399999999999</v>
      </c>
      <c r="M159">
        <v>97.445999999999998</v>
      </c>
      <c r="N159">
        <v>161.5925</v>
      </c>
      <c r="O159">
        <v>60.0045</v>
      </c>
      <c r="P159" t="s">
        <v>446</v>
      </c>
      <c r="Q159" t="s">
        <v>333</v>
      </c>
      <c r="R159" t="s">
        <v>347</v>
      </c>
      <c r="S159">
        <v>142.21440000000001</v>
      </c>
      <c r="T159">
        <v>40.626399999999897</v>
      </c>
      <c r="U159" t="s">
        <v>346</v>
      </c>
      <c r="V159" t="s">
        <v>673</v>
      </c>
      <c r="W159">
        <v>375</v>
      </c>
      <c r="X159">
        <v>273.41199999999998</v>
      </c>
      <c r="Y159">
        <v>94</v>
      </c>
      <c r="Z159" t="s">
        <v>274</v>
      </c>
      <c r="AB159" s="77">
        <f t="shared" si="130"/>
        <v>97.445999999999998</v>
      </c>
      <c r="AC159" s="77">
        <f t="shared" si="131"/>
        <v>60.0045</v>
      </c>
      <c r="AD159" s="77">
        <f t="shared" si="132"/>
        <v>48.95947426067908</v>
      </c>
      <c r="AE159" s="77">
        <f t="shared" si="133"/>
        <v>37.133220910623947</v>
      </c>
      <c r="AF159" s="77">
        <f t="shared" si="134"/>
        <v>40.626399999999897</v>
      </c>
      <c r="AG159" s="77">
        <f t="shared" si="135"/>
        <v>28.567008685477628</v>
      </c>
      <c r="AH159" s="337"/>
      <c r="AI159" s="337"/>
      <c r="AJ159" s="337"/>
      <c r="AK159" s="337"/>
      <c r="AL159" s="337"/>
      <c r="AM159" s="338"/>
      <c r="AN159" t="str">
        <f t="shared" si="127"/>
        <v>Capped</v>
      </c>
      <c r="AO159" t="s">
        <v>395</v>
      </c>
      <c r="AP159" t="str">
        <f t="shared" si="129"/>
        <v>DDm125-33</v>
      </c>
      <c r="AQ159">
        <f>_xlfn.XLOOKUP(A159,'SYS Allocations'!A:A,'SYS Allocations'!B:B)</f>
        <v>0</v>
      </c>
      <c r="AR159">
        <f>_xlfn.XLOOKUP(A159,'SYS Allocations'!A:A,'SYS Allocations'!C:C)</f>
        <v>0</v>
      </c>
      <c r="AS159">
        <f>_xlfn.XLOOKUP(A159,'SYS Allocations'!A:A,'SYS Allocations'!D:D)</f>
        <v>0</v>
      </c>
      <c r="AT159">
        <f>_xlfn.XLOOKUP(A159,'SYS Allocations'!A:A,'SYS Allocations'!E:E)</f>
        <v>0</v>
      </c>
      <c r="AU159">
        <f>_xlfn.XLOOKUP(A159,'SYS Allocations'!A:A,'SYS Allocations'!F:F)</f>
        <v>0</v>
      </c>
      <c r="BA159" t="str">
        <f t="shared" si="128"/>
        <v>DDm125-33</v>
      </c>
    </row>
    <row r="160" spans="1:53">
      <c r="A160" s="35" t="s">
        <v>176</v>
      </c>
      <c r="B160" t="s">
        <v>396</v>
      </c>
      <c r="C160" t="s">
        <v>674</v>
      </c>
      <c r="D160" t="s">
        <v>319</v>
      </c>
      <c r="E160" t="s">
        <v>675</v>
      </c>
      <c r="F160" t="s">
        <v>676</v>
      </c>
      <c r="G160">
        <v>45</v>
      </c>
      <c r="H160">
        <v>15</v>
      </c>
      <c r="I160">
        <v>137</v>
      </c>
      <c r="J160">
        <v>7.4664999999999999</v>
      </c>
      <c r="K160" s="64">
        <v>44391.458333333299</v>
      </c>
      <c r="L160">
        <v>27.468</v>
      </c>
      <c r="M160">
        <v>20.0015</v>
      </c>
      <c r="N160">
        <v>27.849499999999999</v>
      </c>
      <c r="O160">
        <v>20.382999999999999</v>
      </c>
      <c r="P160" t="s">
        <v>325</v>
      </c>
      <c r="Q160" t="s">
        <v>333</v>
      </c>
      <c r="R160" t="s">
        <v>366</v>
      </c>
      <c r="S160">
        <v>10.1088</v>
      </c>
      <c r="T160">
        <v>2.6422999999999801</v>
      </c>
      <c r="U160" t="s">
        <v>325</v>
      </c>
      <c r="V160" t="s">
        <v>335</v>
      </c>
      <c r="W160">
        <v>22.5</v>
      </c>
      <c r="X160">
        <v>15.0335</v>
      </c>
      <c r="Y160">
        <v>27</v>
      </c>
      <c r="AB160" s="77">
        <f t="shared" si="130"/>
        <v>20.0015</v>
      </c>
      <c r="AC160" s="77">
        <f t="shared" si="131"/>
        <v>20.382999999999999</v>
      </c>
      <c r="AD160" s="77">
        <f t="shared" si="132"/>
        <v>72.817460317460316</v>
      </c>
      <c r="AE160" s="77">
        <f t="shared" si="133"/>
        <v>73.189823874755376</v>
      </c>
      <c r="AF160" s="77">
        <f t="shared" si="134"/>
        <v>2.6422999999999801</v>
      </c>
      <c r="AG160" s="77">
        <f t="shared" si="135"/>
        <v>26.138611902500593</v>
      </c>
      <c r="AH160" s="77">
        <f t="shared" si="136"/>
        <v>22.5</v>
      </c>
      <c r="AI160" s="77">
        <f t="shared" si="137"/>
        <v>7.4664999999999999</v>
      </c>
      <c r="AJ160" s="77">
        <f t="shared" si="138"/>
        <v>15.0335</v>
      </c>
      <c r="AK160" s="77">
        <f t="shared" si="139"/>
        <v>0</v>
      </c>
      <c r="AL160" s="77">
        <f t="shared" si="140"/>
        <v>15.0335</v>
      </c>
      <c r="AM160" s="77">
        <f t="shared" si="141"/>
        <v>66.815555555555548</v>
      </c>
      <c r="AN160" t="str">
        <f t="shared" si="127"/>
        <v/>
      </c>
      <c r="AO160" t="s">
        <v>327</v>
      </c>
      <c r="AP160" t="str">
        <f t="shared" si="129"/>
        <v>2DDm85-15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8"/>
        <v>2DDm85-15</v>
      </c>
    </row>
    <row r="161" spans="1:53">
      <c r="A161" s="35" t="s">
        <v>177</v>
      </c>
      <c r="B161" t="s">
        <v>357</v>
      </c>
      <c r="C161" t="s">
        <v>677</v>
      </c>
      <c r="D161" t="s">
        <v>330</v>
      </c>
      <c r="E161" t="s">
        <v>678</v>
      </c>
      <c r="F161" t="s">
        <v>321</v>
      </c>
      <c r="G161">
        <v>36.6</v>
      </c>
      <c r="H161">
        <v>23</v>
      </c>
      <c r="I161">
        <v>221</v>
      </c>
      <c r="J161">
        <v>12.044499999999999</v>
      </c>
      <c r="K161" s="64">
        <v>44663</v>
      </c>
      <c r="L161">
        <v>35.106720000000003</v>
      </c>
      <c r="M161">
        <v>23.06222</v>
      </c>
      <c r="N161">
        <v>22.083400000000001</v>
      </c>
      <c r="O161">
        <v>10.0389</v>
      </c>
      <c r="P161" t="s">
        <v>325</v>
      </c>
      <c r="Q161" t="s">
        <v>333</v>
      </c>
      <c r="R161" t="s">
        <v>347</v>
      </c>
      <c r="S161">
        <v>35.553600000000003</v>
      </c>
      <c r="T161">
        <v>23.5091</v>
      </c>
      <c r="U161" t="s">
        <v>339</v>
      </c>
      <c r="V161" t="s">
        <v>340</v>
      </c>
      <c r="W161">
        <v>33.75</v>
      </c>
      <c r="X161">
        <v>21.705500000000001</v>
      </c>
      <c r="Y161">
        <v>16</v>
      </c>
      <c r="AB161" s="77">
        <f t="shared" si="130"/>
        <v>23.06222</v>
      </c>
      <c r="AC161" s="77">
        <f t="shared" si="131"/>
        <v>10.0389</v>
      </c>
      <c r="AD161" s="77">
        <f t="shared" si="132"/>
        <v>65.691753601589667</v>
      </c>
      <c r="AE161" s="77">
        <f t="shared" si="133"/>
        <v>45.459032576505429</v>
      </c>
      <c r="AF161" s="77">
        <f t="shared" si="134"/>
        <v>23.5091</v>
      </c>
      <c r="AG161" s="77">
        <f t="shared" si="135"/>
        <v>66.122980513928269</v>
      </c>
      <c r="AH161" s="77">
        <f t="shared" si="136"/>
        <v>33.75</v>
      </c>
      <c r="AI161" s="77">
        <f t="shared" si="137"/>
        <v>12.044499999999999</v>
      </c>
      <c r="AJ161" s="77">
        <f t="shared" si="138"/>
        <v>21.705500000000001</v>
      </c>
      <c r="AK161" s="77">
        <f t="shared" si="139"/>
        <v>0</v>
      </c>
      <c r="AL161" s="77">
        <f t="shared" si="140"/>
        <v>21.705500000000001</v>
      </c>
      <c r="AM161" s="77">
        <f t="shared" si="141"/>
        <v>64.312592592592594</v>
      </c>
      <c r="AN161" t="str">
        <f t="shared" si="127"/>
        <v/>
      </c>
      <c r="AO161" t="s">
        <v>327</v>
      </c>
      <c r="AP161" t="str">
        <f t="shared" si="129"/>
        <v>DDm125-33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8"/>
        <v>DDm125-33</v>
      </c>
    </row>
    <row r="162" spans="1:53">
      <c r="A162" s="35" t="s">
        <v>178</v>
      </c>
      <c r="B162" t="s">
        <v>328</v>
      </c>
      <c r="C162" t="s">
        <v>679</v>
      </c>
      <c r="D162" t="s">
        <v>392</v>
      </c>
      <c r="E162" t="s">
        <v>680</v>
      </c>
      <c r="F162" t="s">
        <v>560</v>
      </c>
      <c r="G162">
        <v>37.5</v>
      </c>
      <c r="H162">
        <v>4</v>
      </c>
      <c r="I162">
        <v>35</v>
      </c>
      <c r="J162">
        <v>1.9075</v>
      </c>
      <c r="K162" s="64">
        <v>44564.486111111102</v>
      </c>
      <c r="L162">
        <v>4.9050000000000002</v>
      </c>
      <c r="M162">
        <v>2.9975000000000001</v>
      </c>
      <c r="N162">
        <v>5.9132499999999997</v>
      </c>
      <c r="O162">
        <v>4.0057499999999999</v>
      </c>
      <c r="P162" t="s">
        <v>339</v>
      </c>
      <c r="Q162" t="s">
        <v>354</v>
      </c>
      <c r="R162" t="s">
        <v>355</v>
      </c>
      <c r="S162">
        <v>3.456</v>
      </c>
      <c r="T162">
        <v>1.5485</v>
      </c>
      <c r="U162" t="s">
        <v>424</v>
      </c>
      <c r="V162" t="s">
        <v>446</v>
      </c>
      <c r="W162">
        <v>6</v>
      </c>
      <c r="X162">
        <v>4.0925000000000002</v>
      </c>
      <c r="Y162">
        <v>2</v>
      </c>
      <c r="Z162" t="s">
        <v>8</v>
      </c>
      <c r="AB162" s="77">
        <f t="shared" si="130"/>
        <v>2.9975000000000001</v>
      </c>
      <c r="AC162" s="77">
        <f t="shared" si="131"/>
        <v>4.0057499999999999</v>
      </c>
      <c r="AD162" s="77">
        <f t="shared" si="132"/>
        <v>61.111111111111107</v>
      </c>
      <c r="AE162" s="77">
        <f t="shared" si="133"/>
        <v>67.741935483870975</v>
      </c>
      <c r="AF162" s="77">
        <f t="shared" si="134"/>
        <v>1.5485</v>
      </c>
      <c r="AG162" s="77">
        <f t="shared" si="135"/>
        <v>44.80613425925926</v>
      </c>
      <c r="AH162" s="77">
        <f t="shared" si="136"/>
        <v>6</v>
      </c>
      <c r="AI162" s="77">
        <f t="shared" si="137"/>
        <v>1.9075</v>
      </c>
      <c r="AJ162" s="77">
        <f t="shared" si="138"/>
        <v>4.0925000000000002</v>
      </c>
      <c r="AK162" s="77">
        <f t="shared" si="139"/>
        <v>0</v>
      </c>
      <c r="AL162" s="77">
        <f t="shared" si="140"/>
        <v>4.0925000000000002</v>
      </c>
      <c r="AM162" s="77">
        <f t="shared" si="141"/>
        <v>68.208333333333343</v>
      </c>
      <c r="AN162" t="str">
        <f t="shared" si="127"/>
        <v>Capped</v>
      </c>
      <c r="AO162" t="s">
        <v>327</v>
      </c>
      <c r="AP162" t="str">
        <f t="shared" si="129"/>
        <v>SBS C11F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8"/>
        <v>SBS C11F</v>
      </c>
    </row>
    <row r="163" spans="1:53">
      <c r="A163" s="35" t="s">
        <v>179</v>
      </c>
      <c r="B163" t="s">
        <v>390</v>
      </c>
      <c r="C163" t="s">
        <v>681</v>
      </c>
      <c r="D163" t="s">
        <v>319</v>
      </c>
      <c r="E163" t="s">
        <v>682</v>
      </c>
      <c r="F163" t="s">
        <v>321</v>
      </c>
      <c r="G163">
        <v>36.6</v>
      </c>
      <c r="H163">
        <v>29</v>
      </c>
      <c r="I163">
        <v>462</v>
      </c>
      <c r="J163">
        <v>25.178999999999998</v>
      </c>
      <c r="K163" s="64">
        <v>44553.416666666701</v>
      </c>
      <c r="L163">
        <v>44.681280000000001</v>
      </c>
      <c r="M163">
        <v>19.502279999999999</v>
      </c>
      <c r="N163">
        <v>34.051600000000001</v>
      </c>
      <c r="O163">
        <v>8.8726000000000003</v>
      </c>
      <c r="P163" t="s">
        <v>325</v>
      </c>
      <c r="Q163" t="s">
        <v>333</v>
      </c>
      <c r="R163" t="s">
        <v>347</v>
      </c>
      <c r="S163">
        <v>35.553600000000003</v>
      </c>
      <c r="T163">
        <v>10.374599999999999</v>
      </c>
      <c r="U163" t="s">
        <v>380</v>
      </c>
      <c r="V163" t="s">
        <v>406</v>
      </c>
      <c r="W163">
        <v>54</v>
      </c>
      <c r="X163">
        <v>28.821000000000002</v>
      </c>
      <c r="Y163">
        <v>24</v>
      </c>
      <c r="AB163" s="77">
        <f t="shared" si="130"/>
        <v>19.502279999999999</v>
      </c>
      <c r="AC163" s="77">
        <f t="shared" si="131"/>
        <v>8.8726000000000003</v>
      </c>
      <c r="AD163" s="77">
        <f t="shared" si="132"/>
        <v>43.647540983606554</v>
      </c>
      <c r="AE163" s="77">
        <f t="shared" si="133"/>
        <v>26.056338028169016</v>
      </c>
      <c r="AF163" s="77">
        <f t="shared" si="134"/>
        <v>10.374599999999999</v>
      </c>
      <c r="AG163" s="77">
        <f t="shared" si="135"/>
        <v>29.180167409207503</v>
      </c>
      <c r="AH163" s="77">
        <f t="shared" si="136"/>
        <v>54</v>
      </c>
      <c r="AI163" s="77">
        <f t="shared" si="137"/>
        <v>25.178999999999998</v>
      </c>
      <c r="AJ163" s="77">
        <f t="shared" si="138"/>
        <v>28.821000000000002</v>
      </c>
      <c r="AK163" s="77">
        <f t="shared" si="139"/>
        <v>0</v>
      </c>
      <c r="AL163" s="77">
        <f t="shared" si="140"/>
        <v>28.821000000000002</v>
      </c>
      <c r="AM163" s="77">
        <f t="shared" si="141"/>
        <v>53.37222222222222</v>
      </c>
      <c r="AN163" t="str">
        <f t="shared" si="127"/>
        <v/>
      </c>
      <c r="AO163" t="s">
        <v>327</v>
      </c>
      <c r="AP163" t="str">
        <f t="shared" si="129"/>
        <v>DDm125-33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8"/>
        <v>DDm125-33</v>
      </c>
    </row>
    <row r="164" spans="1:53">
      <c r="A164" s="35" t="s">
        <v>180</v>
      </c>
      <c r="B164" t="s">
        <v>363</v>
      </c>
      <c r="C164" t="s">
        <v>683</v>
      </c>
      <c r="D164" t="s">
        <v>392</v>
      </c>
      <c r="E164" t="s">
        <v>684</v>
      </c>
      <c r="F164" t="s">
        <v>384</v>
      </c>
      <c r="G164">
        <v>55</v>
      </c>
      <c r="H164">
        <v>13</v>
      </c>
      <c r="I164">
        <v>281</v>
      </c>
      <c r="J164">
        <v>15.314500000000001</v>
      </c>
      <c r="K164" s="64">
        <v>45098</v>
      </c>
      <c r="L164">
        <v>28.776</v>
      </c>
      <c r="M164">
        <v>13.461499999999999</v>
      </c>
      <c r="N164">
        <v>19.456499999999998</v>
      </c>
      <c r="O164">
        <v>4.1420000000000003</v>
      </c>
      <c r="P164" t="s">
        <v>322</v>
      </c>
      <c r="Q164" t="s">
        <v>333</v>
      </c>
      <c r="R164" t="s">
        <v>685</v>
      </c>
      <c r="S164">
        <v>27.086400000000001</v>
      </c>
      <c r="T164">
        <v>11.7719</v>
      </c>
      <c r="U164" t="s">
        <v>322</v>
      </c>
      <c r="V164" t="s">
        <v>455</v>
      </c>
      <c r="W164">
        <v>33</v>
      </c>
      <c r="X164">
        <v>17.685500000000001</v>
      </c>
      <c r="Y164">
        <v>0</v>
      </c>
      <c r="Z164" t="s">
        <v>8</v>
      </c>
      <c r="AB164" s="77">
        <f t="shared" si="130"/>
        <v>13.461499999999999</v>
      </c>
      <c r="AC164" s="77">
        <f t="shared" si="131"/>
        <v>4.1420000000000003</v>
      </c>
      <c r="AD164" s="77">
        <f t="shared" si="132"/>
        <v>46.780303030303024</v>
      </c>
      <c r="AE164" s="77">
        <f t="shared" si="133"/>
        <v>21.288515406162468</v>
      </c>
      <c r="AF164" s="77">
        <f t="shared" si="134"/>
        <v>11.7719</v>
      </c>
      <c r="AG164" s="77">
        <f t="shared" si="135"/>
        <v>43.460555850906729</v>
      </c>
      <c r="AH164" s="77">
        <f t="shared" si="136"/>
        <v>33</v>
      </c>
      <c r="AI164" s="77">
        <f t="shared" si="137"/>
        <v>15.314500000000001</v>
      </c>
      <c r="AJ164" s="77">
        <f t="shared" si="138"/>
        <v>17.685499999999998</v>
      </c>
      <c r="AK164" s="77">
        <f t="shared" si="139"/>
        <v>0</v>
      </c>
      <c r="AL164" s="77">
        <f t="shared" si="140"/>
        <v>17.685499999999998</v>
      </c>
      <c r="AM164" s="77">
        <f t="shared" si="141"/>
        <v>53.592424242424229</v>
      </c>
      <c r="AN164" t="str">
        <f t="shared" si="127"/>
        <v>Capped</v>
      </c>
      <c r="AO164" t="s">
        <v>327</v>
      </c>
      <c r="AP164" t="str">
        <f t="shared" si="129"/>
        <v>2CP1000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8"/>
        <v xml:space="preserve">2CP1000 </v>
      </c>
    </row>
    <row r="165" spans="1:53">
      <c r="A165" s="35" t="s">
        <v>181</v>
      </c>
      <c r="B165" t="s">
        <v>377</v>
      </c>
      <c r="C165" t="s">
        <v>409</v>
      </c>
      <c r="D165" t="s">
        <v>330</v>
      </c>
      <c r="E165" t="s">
        <v>686</v>
      </c>
      <c r="F165" t="s">
        <v>321</v>
      </c>
      <c r="G165">
        <v>36.6</v>
      </c>
      <c r="H165">
        <v>8</v>
      </c>
      <c r="I165">
        <v>53</v>
      </c>
      <c r="J165">
        <v>2.8885000000000001</v>
      </c>
      <c r="K165" s="64">
        <v>44624.375</v>
      </c>
      <c r="L165">
        <v>11.17032</v>
      </c>
      <c r="M165">
        <v>8.2818199999999997</v>
      </c>
      <c r="N165">
        <v>10.169700000000001</v>
      </c>
      <c r="O165">
        <v>7.2812000000000001</v>
      </c>
      <c r="P165" t="s">
        <v>446</v>
      </c>
      <c r="Q165" t="s">
        <v>354</v>
      </c>
      <c r="R165" t="s">
        <v>511</v>
      </c>
      <c r="S165">
        <v>7.1712000000000096</v>
      </c>
      <c r="T165">
        <v>4.2827000000000099</v>
      </c>
      <c r="U165" t="s">
        <v>325</v>
      </c>
      <c r="V165" t="s">
        <v>442</v>
      </c>
      <c r="W165">
        <v>11.25</v>
      </c>
      <c r="X165">
        <v>8.3614999999999995</v>
      </c>
      <c r="Y165">
        <v>0</v>
      </c>
      <c r="AB165" s="77">
        <f t="shared" si="130"/>
        <v>8.2818199999999997</v>
      </c>
      <c r="AC165" s="77">
        <f t="shared" si="131"/>
        <v>7.2812000000000001</v>
      </c>
      <c r="AD165" s="77">
        <f t="shared" si="132"/>
        <v>74.141295862607336</v>
      </c>
      <c r="AE165" s="77">
        <f t="shared" si="133"/>
        <v>71.59699892818864</v>
      </c>
      <c r="AF165" s="77">
        <f t="shared" si="134"/>
        <v>4.2827000000000099</v>
      </c>
      <c r="AG165" s="77">
        <f t="shared" si="135"/>
        <v>59.720827755466367</v>
      </c>
      <c r="AH165" s="77">
        <f t="shared" si="136"/>
        <v>11.25</v>
      </c>
      <c r="AI165" s="77">
        <f t="shared" si="137"/>
        <v>2.8885000000000001</v>
      </c>
      <c r="AJ165" s="77">
        <f t="shared" si="138"/>
        <v>8.3614999999999995</v>
      </c>
      <c r="AK165" s="77">
        <f t="shared" si="139"/>
        <v>0</v>
      </c>
      <c r="AL165" s="77">
        <f t="shared" si="140"/>
        <v>8.3614999999999995</v>
      </c>
      <c r="AM165" s="77">
        <f t="shared" si="141"/>
        <v>74.324444444444438</v>
      </c>
      <c r="AN165" t="str">
        <f t="shared" si="127"/>
        <v/>
      </c>
      <c r="AO165" t="s">
        <v>327</v>
      </c>
      <c r="AP165" t="str">
        <f t="shared" si="129"/>
        <v>12V105F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8"/>
        <v>12V105F</v>
      </c>
    </row>
    <row r="166" spans="1:53">
      <c r="A166" s="35" t="s">
        <v>182</v>
      </c>
      <c r="B166" t="s">
        <v>377</v>
      </c>
      <c r="C166" t="s">
        <v>687</v>
      </c>
      <c r="D166" t="s">
        <v>319</v>
      </c>
      <c r="E166" t="s">
        <v>688</v>
      </c>
      <c r="F166" t="s">
        <v>321</v>
      </c>
      <c r="G166">
        <v>36.6</v>
      </c>
      <c r="H166">
        <v>31</v>
      </c>
      <c r="I166">
        <v>579</v>
      </c>
      <c r="J166">
        <v>31.555499999999999</v>
      </c>
      <c r="K166" s="64">
        <v>44498.708333333299</v>
      </c>
      <c r="L166">
        <v>47.872799999999998</v>
      </c>
      <c r="M166">
        <v>16.317299999999999</v>
      </c>
      <c r="N166">
        <v>36.787500000000001</v>
      </c>
      <c r="O166">
        <v>5.2320000000000002</v>
      </c>
      <c r="P166" t="s">
        <v>322</v>
      </c>
      <c r="Q166" t="s">
        <v>333</v>
      </c>
      <c r="R166" t="s">
        <v>689</v>
      </c>
      <c r="S166">
        <v>37.908000000000001</v>
      </c>
      <c r="T166">
        <v>6.3525000000000098</v>
      </c>
      <c r="U166" t="s">
        <v>446</v>
      </c>
      <c r="V166" t="s">
        <v>690</v>
      </c>
      <c r="W166">
        <v>99.75</v>
      </c>
      <c r="X166">
        <v>68.194500000000005</v>
      </c>
      <c r="Y166">
        <v>21</v>
      </c>
      <c r="AB166" s="77">
        <f t="shared" si="130"/>
        <v>16.317299999999999</v>
      </c>
      <c r="AC166" s="77">
        <f t="shared" si="131"/>
        <v>5.2320000000000002</v>
      </c>
      <c r="AD166" s="77">
        <f t="shared" si="132"/>
        <v>34.084699453551913</v>
      </c>
      <c r="AE166" s="77">
        <f t="shared" si="133"/>
        <v>14.222222222222223</v>
      </c>
      <c r="AF166" s="77">
        <f t="shared" si="134"/>
        <v>6.3525000000000098</v>
      </c>
      <c r="AG166" s="77">
        <f t="shared" si="135"/>
        <v>16.757676479898727</v>
      </c>
      <c r="AH166" s="77">
        <f t="shared" si="136"/>
        <v>99.75</v>
      </c>
      <c r="AI166" s="77">
        <f t="shared" si="137"/>
        <v>31.555499999999999</v>
      </c>
      <c r="AJ166" s="77">
        <f t="shared" si="138"/>
        <v>68.194500000000005</v>
      </c>
      <c r="AK166" s="77">
        <f t="shared" si="139"/>
        <v>0</v>
      </c>
      <c r="AL166" s="77">
        <f t="shared" si="140"/>
        <v>68.194500000000005</v>
      </c>
      <c r="AM166" s="77">
        <f t="shared" si="141"/>
        <v>68.365413533834584</v>
      </c>
      <c r="AN166" t="str">
        <f t="shared" si="127"/>
        <v/>
      </c>
      <c r="AO166" t="s">
        <v>327</v>
      </c>
      <c r="AP166" t="str">
        <f t="shared" si="129"/>
        <v>2CP1400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8"/>
        <v>2CP1400</v>
      </c>
    </row>
    <row r="167" spans="1:53">
      <c r="A167" s="35" t="s">
        <v>183</v>
      </c>
      <c r="B167" t="s">
        <v>377</v>
      </c>
      <c r="C167" t="s">
        <v>687</v>
      </c>
      <c r="D167" t="s">
        <v>319</v>
      </c>
      <c r="E167" t="s">
        <v>691</v>
      </c>
      <c r="F167" t="s">
        <v>399</v>
      </c>
      <c r="G167">
        <v>50</v>
      </c>
      <c r="H167">
        <v>11</v>
      </c>
      <c r="I167">
        <v>163.1</v>
      </c>
      <c r="J167">
        <v>8.8889499999999995</v>
      </c>
      <c r="K167" s="64">
        <v>44729.636111111096</v>
      </c>
      <c r="L167">
        <v>21.8</v>
      </c>
      <c r="M167">
        <v>12.911049999999999</v>
      </c>
      <c r="N167">
        <v>17.521750000000001</v>
      </c>
      <c r="O167">
        <v>8.6327999999999996</v>
      </c>
      <c r="P167" t="s">
        <v>322</v>
      </c>
      <c r="Q167" t="s">
        <v>333</v>
      </c>
      <c r="R167" t="s">
        <v>366</v>
      </c>
      <c r="S167">
        <v>15.1632</v>
      </c>
      <c r="T167">
        <v>6.2742499999999897</v>
      </c>
      <c r="U167" t="s">
        <v>322</v>
      </c>
      <c r="V167" t="s">
        <v>343</v>
      </c>
      <c r="W167">
        <v>45</v>
      </c>
      <c r="X167">
        <v>36.111049999999999</v>
      </c>
      <c r="Y167">
        <v>96</v>
      </c>
      <c r="AB167" s="77">
        <f t="shared" si="130"/>
        <v>12.911049999999999</v>
      </c>
      <c r="AC167" s="77">
        <f t="shared" si="131"/>
        <v>8.6327999999999996</v>
      </c>
      <c r="AD167" s="77">
        <f t="shared" si="132"/>
        <v>59.224999999999994</v>
      </c>
      <c r="AE167" s="77">
        <f t="shared" si="133"/>
        <v>49.269051321928458</v>
      </c>
      <c r="AF167" s="77">
        <f t="shared" si="134"/>
        <v>6.2742499999999897</v>
      </c>
      <c r="AG167" s="77">
        <f t="shared" si="135"/>
        <v>41.378139179065037</v>
      </c>
      <c r="AH167" s="77">
        <f t="shared" si="136"/>
        <v>45</v>
      </c>
      <c r="AI167" s="77">
        <f t="shared" si="137"/>
        <v>8.8889499999999995</v>
      </c>
      <c r="AJ167" s="77">
        <f t="shared" si="138"/>
        <v>36.111049999999999</v>
      </c>
      <c r="AK167" s="77">
        <f t="shared" si="139"/>
        <v>0</v>
      </c>
      <c r="AL167" s="77">
        <f t="shared" si="140"/>
        <v>36.111049999999999</v>
      </c>
      <c r="AM167" s="77">
        <f t="shared" si="141"/>
        <v>80.24677777777778</v>
      </c>
      <c r="AN167" t="str">
        <f t="shared" si="127"/>
        <v/>
      </c>
      <c r="AO167" t="s">
        <v>327</v>
      </c>
      <c r="AP167" t="str">
        <f t="shared" si="129"/>
        <v>2DDm85-15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8"/>
        <v>2DDm85-15</v>
      </c>
    </row>
    <row r="168" spans="1:53">
      <c r="A168" s="35" t="s">
        <v>184</v>
      </c>
      <c r="B168" t="s">
        <v>317</v>
      </c>
      <c r="C168" t="s">
        <v>692</v>
      </c>
      <c r="D168" t="s">
        <v>319</v>
      </c>
      <c r="E168" t="s">
        <v>693</v>
      </c>
      <c r="F168" t="s">
        <v>321</v>
      </c>
      <c r="G168">
        <v>36.6</v>
      </c>
      <c r="H168">
        <v>7</v>
      </c>
      <c r="I168">
        <v>96</v>
      </c>
      <c r="J168">
        <v>5.2320000000000002</v>
      </c>
      <c r="K168" s="64">
        <v>45600</v>
      </c>
      <c r="L168">
        <v>9.57456</v>
      </c>
      <c r="M168">
        <v>4.3425599999999998</v>
      </c>
      <c r="N168">
        <v>5.4282000000000004</v>
      </c>
      <c r="O168">
        <v>0.19620000000000001</v>
      </c>
      <c r="P168" t="s">
        <v>430</v>
      </c>
      <c r="Q168" t="s">
        <v>333</v>
      </c>
      <c r="R168" t="s">
        <v>630</v>
      </c>
      <c r="S168">
        <v>18.429120000000001</v>
      </c>
      <c r="T168">
        <v>13.19712</v>
      </c>
      <c r="U168" t="s">
        <v>325</v>
      </c>
      <c r="V168" t="s">
        <v>442</v>
      </c>
      <c r="W168">
        <v>11.25</v>
      </c>
      <c r="X168">
        <v>6.0179999999999998</v>
      </c>
      <c r="Y168">
        <v>8</v>
      </c>
      <c r="AB168" s="77">
        <f t="shared" si="130"/>
        <v>4.3425599999999998</v>
      </c>
      <c r="AC168" s="77">
        <f t="shared" si="131"/>
        <v>0.19620000000000001</v>
      </c>
      <c r="AD168" s="77">
        <f t="shared" si="132"/>
        <v>45.355191256830601</v>
      </c>
      <c r="AE168" s="77">
        <f t="shared" si="133"/>
        <v>3.6144578313253013</v>
      </c>
      <c r="AF168" s="77">
        <f t="shared" si="134"/>
        <v>13.19712</v>
      </c>
      <c r="AG168" s="77">
        <f t="shared" si="135"/>
        <v>71.610147418867527</v>
      </c>
      <c r="AH168" s="77">
        <f t="shared" si="136"/>
        <v>11.25</v>
      </c>
      <c r="AI168" s="77">
        <f t="shared" si="137"/>
        <v>5.2320000000000002</v>
      </c>
      <c r="AJ168" s="77">
        <f t="shared" si="138"/>
        <v>6.0179999999999998</v>
      </c>
      <c r="AK168" s="77">
        <f t="shared" si="139"/>
        <v>0</v>
      </c>
      <c r="AL168" s="77">
        <f t="shared" si="140"/>
        <v>6.0179999999999998</v>
      </c>
      <c r="AM168" s="77">
        <f t="shared" si="141"/>
        <v>53.493333333333332</v>
      </c>
      <c r="AN168" t="str">
        <f t="shared" si="127"/>
        <v/>
      </c>
      <c r="AO168" t="s">
        <v>327</v>
      </c>
      <c r="AP168" t="str">
        <f t="shared" si="129"/>
        <v>12V101F</v>
      </c>
      <c r="AQ168">
        <f>_xlfn.XLOOKUP(A168,'SYS Allocations'!A:A,'SYS Allocations'!B:B)</f>
        <v>0</v>
      </c>
      <c r="AR168" t="str">
        <f>_xlfn.XLOOKUP(A168,'SYS Allocations'!A:A,'SYS Allocations'!C:C)</f>
        <v>RA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8"/>
        <v xml:space="preserve">12V101F </v>
      </c>
    </row>
    <row r="169" spans="1:53">
      <c r="A169" s="35" t="s">
        <v>185</v>
      </c>
      <c r="B169" t="s">
        <v>317</v>
      </c>
      <c r="C169" t="s">
        <v>692</v>
      </c>
      <c r="D169" t="s">
        <v>319</v>
      </c>
      <c r="E169" t="s">
        <v>694</v>
      </c>
      <c r="F169" t="s">
        <v>321</v>
      </c>
      <c r="G169">
        <v>36.6</v>
      </c>
      <c r="H169">
        <v>18</v>
      </c>
      <c r="I169">
        <v>226</v>
      </c>
      <c r="J169">
        <v>12.317</v>
      </c>
      <c r="K169" s="64">
        <v>44565.75</v>
      </c>
      <c r="L169">
        <v>27.12792</v>
      </c>
      <c r="M169">
        <v>14.810919999999999</v>
      </c>
      <c r="N169">
        <v>15.84315</v>
      </c>
      <c r="O169">
        <v>3.5261499999999999</v>
      </c>
      <c r="P169" t="s">
        <v>322</v>
      </c>
      <c r="Q169" t="s">
        <v>333</v>
      </c>
      <c r="R169" t="s">
        <v>605</v>
      </c>
      <c r="S169">
        <v>28.187999999999999</v>
      </c>
      <c r="T169">
        <v>15.871</v>
      </c>
      <c r="U169" t="s">
        <v>339</v>
      </c>
      <c r="V169" t="s">
        <v>335</v>
      </c>
      <c r="W169">
        <v>22.5</v>
      </c>
      <c r="X169">
        <v>10.183</v>
      </c>
      <c r="Y169">
        <v>9</v>
      </c>
      <c r="AB169" s="77">
        <f t="shared" si="130"/>
        <v>14.810919999999999</v>
      </c>
      <c r="AC169" s="77">
        <f t="shared" si="131"/>
        <v>3.5261499999999999</v>
      </c>
      <c r="AD169" s="77">
        <f t="shared" si="132"/>
        <v>54.596592735454834</v>
      </c>
      <c r="AE169" s="77">
        <f t="shared" si="133"/>
        <v>22.256621947024424</v>
      </c>
      <c r="AF169" s="77">
        <f t="shared" si="134"/>
        <v>15.871</v>
      </c>
      <c r="AG169" s="77">
        <f t="shared" si="135"/>
        <v>56.304101035901809</v>
      </c>
      <c r="AH169" s="77">
        <f t="shared" si="136"/>
        <v>22.5</v>
      </c>
      <c r="AI169" s="77">
        <f t="shared" si="137"/>
        <v>12.317</v>
      </c>
      <c r="AJ169" s="77">
        <f t="shared" si="138"/>
        <v>10.183</v>
      </c>
      <c r="AK169" s="77">
        <f t="shared" si="139"/>
        <v>0</v>
      </c>
      <c r="AL169" s="77">
        <f t="shared" si="140"/>
        <v>10.183</v>
      </c>
      <c r="AM169" s="77">
        <f t="shared" si="141"/>
        <v>45.257777777777775</v>
      </c>
      <c r="AN169" t="str">
        <f t="shared" si="127"/>
        <v/>
      </c>
      <c r="AO169" t="s">
        <v>327</v>
      </c>
      <c r="AP169" t="str">
        <f t="shared" si="129"/>
        <v>DDm85-27</v>
      </c>
      <c r="AQ169">
        <f>_xlfn.XLOOKUP(A169,'SYS Allocations'!A:A,'SYS Allocations'!B:B)</f>
        <v>0</v>
      </c>
      <c r="AR169">
        <f>_xlfn.XLOOKUP(A169,'SYS Allocations'!A:A,'SYS Allocations'!C:C)</f>
        <v>0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8"/>
        <v>DDm85-27</v>
      </c>
    </row>
    <row r="170" spans="1:53">
      <c r="A170" s="35" t="s">
        <v>186</v>
      </c>
      <c r="B170" t="s">
        <v>421</v>
      </c>
      <c r="C170" t="s">
        <v>695</v>
      </c>
      <c r="D170" t="s">
        <v>319</v>
      </c>
      <c r="E170" t="s">
        <v>696</v>
      </c>
      <c r="F170" t="s">
        <v>321</v>
      </c>
      <c r="G170">
        <v>36.6</v>
      </c>
      <c r="H170">
        <v>11</v>
      </c>
      <c r="I170">
        <v>103</v>
      </c>
      <c r="J170">
        <v>5.6135000000000002</v>
      </c>
      <c r="K170" s="64">
        <v>45600</v>
      </c>
      <c r="L170">
        <v>15.957599999999999</v>
      </c>
      <c r="M170">
        <v>10.344099999999999</v>
      </c>
      <c r="N170">
        <v>11.663</v>
      </c>
      <c r="O170">
        <v>6.0495000000000001</v>
      </c>
      <c r="P170" t="s">
        <v>446</v>
      </c>
      <c r="Q170" t="s">
        <v>354</v>
      </c>
      <c r="R170" t="s">
        <v>557</v>
      </c>
      <c r="S170">
        <v>14.91264</v>
      </c>
      <c r="T170">
        <v>9.2991400000000208</v>
      </c>
      <c r="U170" t="s">
        <v>322</v>
      </c>
      <c r="V170" t="s">
        <v>512</v>
      </c>
      <c r="W170">
        <v>10.5</v>
      </c>
      <c r="X170">
        <v>4.8864999999999998</v>
      </c>
      <c r="Y170">
        <v>6</v>
      </c>
      <c r="AB170" s="77">
        <f t="shared" si="130"/>
        <v>10.344099999999999</v>
      </c>
      <c r="AC170" s="77">
        <f t="shared" si="131"/>
        <v>6.0495000000000001</v>
      </c>
      <c r="AD170" s="77">
        <f t="shared" si="132"/>
        <v>64.822404371584696</v>
      </c>
      <c r="AE170" s="77">
        <f t="shared" si="133"/>
        <v>51.869158878504678</v>
      </c>
      <c r="AF170" s="77">
        <f t="shared" si="134"/>
        <v>9.2991400000000208</v>
      </c>
      <c r="AG170" s="77">
        <f t="shared" si="135"/>
        <v>62.357436376121342</v>
      </c>
      <c r="AH170" s="77">
        <f t="shared" si="136"/>
        <v>10.5</v>
      </c>
      <c r="AI170" s="77">
        <f t="shared" si="137"/>
        <v>5.6135000000000002</v>
      </c>
      <c r="AJ170" s="77">
        <f t="shared" si="138"/>
        <v>4.8864999999999998</v>
      </c>
      <c r="AK170" s="77">
        <f t="shared" si="139"/>
        <v>0</v>
      </c>
      <c r="AL170" s="77">
        <f t="shared" si="140"/>
        <v>4.8864999999999998</v>
      </c>
      <c r="AM170" s="77">
        <f t="shared" si="141"/>
        <v>46.538095238095238</v>
      </c>
      <c r="AN170" t="str">
        <f t="shared" si="127"/>
        <v/>
      </c>
      <c r="AO170" t="s">
        <v>327</v>
      </c>
      <c r="AP170" t="str">
        <f t="shared" si="129"/>
        <v>12V190F</v>
      </c>
      <c r="AQ170">
        <f>_xlfn.XLOOKUP(A170,'SYS Allocations'!A:A,'SYS Allocations'!B:B)</f>
        <v>0</v>
      </c>
      <c r="AR170" t="str">
        <f>_xlfn.XLOOKUP(A170,'SYS Allocations'!A:A,'SYS Allocations'!C:C)</f>
        <v>RA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8"/>
        <v>12V190F</v>
      </c>
    </row>
    <row r="171" spans="1:53">
      <c r="A171" s="35" t="s">
        <v>187</v>
      </c>
      <c r="B171" t="s">
        <v>396</v>
      </c>
      <c r="C171" t="s">
        <v>697</v>
      </c>
      <c r="D171" t="s">
        <v>319</v>
      </c>
      <c r="E171" t="s">
        <v>698</v>
      </c>
      <c r="F171" t="s">
        <v>321</v>
      </c>
      <c r="G171">
        <v>36.6</v>
      </c>
      <c r="H171">
        <v>32</v>
      </c>
      <c r="I171">
        <v>342</v>
      </c>
      <c r="J171">
        <v>18.638999999999999</v>
      </c>
      <c r="K171" s="64">
        <v>45600</v>
      </c>
      <c r="L171">
        <v>49.468559999999997</v>
      </c>
      <c r="M171">
        <v>30.829560000000001</v>
      </c>
      <c r="N171">
        <v>35.675699999999999</v>
      </c>
      <c r="O171">
        <v>17.0367</v>
      </c>
      <c r="P171" t="s">
        <v>339</v>
      </c>
      <c r="Q171" t="s">
        <v>333</v>
      </c>
      <c r="R171" t="s">
        <v>338</v>
      </c>
      <c r="S171">
        <v>42.249600000000001</v>
      </c>
      <c r="T171">
        <v>23.610600000000002</v>
      </c>
      <c r="U171" t="s">
        <v>322</v>
      </c>
      <c r="V171" t="s">
        <v>343</v>
      </c>
      <c r="W171">
        <v>45</v>
      </c>
      <c r="X171">
        <v>26.361000000000001</v>
      </c>
      <c r="Y171">
        <v>40</v>
      </c>
      <c r="AB171" s="77">
        <f t="shared" si="130"/>
        <v>30.829560000000001</v>
      </c>
      <c r="AC171" s="77">
        <f t="shared" si="131"/>
        <v>17.0367</v>
      </c>
      <c r="AD171" s="77">
        <f t="shared" si="132"/>
        <v>62.321523003701756</v>
      </c>
      <c r="AE171" s="77">
        <f t="shared" si="133"/>
        <v>47.754353803849682</v>
      </c>
      <c r="AF171" s="77">
        <f t="shared" si="134"/>
        <v>23.610600000000002</v>
      </c>
      <c r="AG171" s="77">
        <f t="shared" si="135"/>
        <v>55.883605998636682</v>
      </c>
      <c r="AH171" s="337">
        <f>AVERAGE(W171:W172)</f>
        <v>45</v>
      </c>
      <c r="AI171" s="337">
        <f>SUM(J171:J172)</f>
        <v>31.991499999999998</v>
      </c>
      <c r="AJ171" s="337">
        <f t="shared" si="138"/>
        <v>13.008500000000002</v>
      </c>
      <c r="AK171" s="337">
        <f>SUM(AA171:AA172)</f>
        <v>0</v>
      </c>
      <c r="AL171" s="337">
        <f t="shared" si="140"/>
        <v>13.008500000000002</v>
      </c>
      <c r="AM171" s="338">
        <f t="shared" si="141"/>
        <v>28.907777777777781</v>
      </c>
      <c r="AN171" t="str">
        <f t="shared" si="127"/>
        <v/>
      </c>
      <c r="AO171" t="s">
        <v>327</v>
      </c>
      <c r="AP171" t="str">
        <f t="shared" si="129"/>
        <v>DDm100-25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 t="str">
        <f>_xlfn.XLOOKUP(A171,'SYS Allocations'!A:A,'SYS Allocations'!F:F)</f>
        <v>OPEX</v>
      </c>
      <c r="BA171" t="str">
        <f t="shared" si="128"/>
        <v>DDm100-25</v>
      </c>
    </row>
    <row r="172" spans="1:53">
      <c r="A172" s="35" t="s">
        <v>188</v>
      </c>
      <c r="B172" t="s">
        <v>396</v>
      </c>
      <c r="C172" t="s">
        <v>697</v>
      </c>
      <c r="D172" t="s">
        <v>319</v>
      </c>
      <c r="E172" t="s">
        <v>698</v>
      </c>
      <c r="F172" t="s">
        <v>321</v>
      </c>
      <c r="G172">
        <v>36.6</v>
      </c>
      <c r="H172">
        <v>24</v>
      </c>
      <c r="I172">
        <v>245</v>
      </c>
      <c r="J172">
        <v>13.352499999999999</v>
      </c>
      <c r="K172" s="64">
        <v>45600</v>
      </c>
      <c r="L172">
        <v>36.702480000000001</v>
      </c>
      <c r="M172">
        <v>23.349979999999999</v>
      </c>
      <c r="N172">
        <v>17.5381</v>
      </c>
      <c r="O172">
        <v>4.1856</v>
      </c>
      <c r="P172" t="s">
        <v>339</v>
      </c>
      <c r="Q172" t="s">
        <v>333</v>
      </c>
      <c r="R172" t="s">
        <v>342</v>
      </c>
      <c r="S172">
        <v>45.705599999999997</v>
      </c>
      <c r="T172">
        <v>32.353099999999998</v>
      </c>
      <c r="U172" t="s">
        <v>322</v>
      </c>
      <c r="V172" t="s">
        <v>343</v>
      </c>
      <c r="W172">
        <v>45</v>
      </c>
      <c r="X172">
        <v>31.647500000000001</v>
      </c>
      <c r="Y172">
        <v>40</v>
      </c>
      <c r="AB172" s="77">
        <f t="shared" ref="AB172" si="142">M172-AA172</f>
        <v>23.349979999999999</v>
      </c>
      <c r="AC172" s="77">
        <f t="shared" ref="AC172" si="143">O172-AA172</f>
        <v>4.1856</v>
      </c>
      <c r="AD172" s="77">
        <f t="shared" ref="AD172" si="144">AB172/L172%</f>
        <v>63.619624613922539</v>
      </c>
      <c r="AE172" s="77">
        <f t="shared" ref="AE172" si="145">AC172/N172%</f>
        <v>23.865755127408327</v>
      </c>
      <c r="AF172" s="77">
        <f t="shared" ref="AF172" si="146">T172-AA172</f>
        <v>32.353099999999998</v>
      </c>
      <c r="AG172" s="77">
        <f t="shared" ref="AG172" si="147">AF172/S172%</f>
        <v>70.78585556255689</v>
      </c>
      <c r="AH172" s="337"/>
      <c r="AI172" s="337"/>
      <c r="AJ172" s="337"/>
      <c r="AK172" s="337"/>
      <c r="AL172" s="337"/>
      <c r="AM172" s="338"/>
      <c r="AN172" t="str">
        <f t="shared" si="127"/>
        <v/>
      </c>
      <c r="AO172" t="s">
        <v>327</v>
      </c>
      <c r="AP172" t="str">
        <f t="shared" ref="AP172" si="148">TRIM(BA172)</f>
        <v>DDm100-27</v>
      </c>
      <c r="BA172" t="str">
        <f t="shared" si="128"/>
        <v>DDm100-27</v>
      </c>
    </row>
    <row r="173" spans="1:53">
      <c r="A173" s="35" t="s">
        <v>189</v>
      </c>
      <c r="B173" t="s">
        <v>396</v>
      </c>
      <c r="C173" t="s">
        <v>699</v>
      </c>
      <c r="D173" t="s">
        <v>319</v>
      </c>
      <c r="E173" t="s">
        <v>700</v>
      </c>
      <c r="F173" t="s">
        <v>701</v>
      </c>
      <c r="G173">
        <v>60.4</v>
      </c>
      <c r="H173">
        <v>8</v>
      </c>
      <c r="I173">
        <v>132</v>
      </c>
      <c r="J173">
        <v>7.194</v>
      </c>
      <c r="K173" s="64">
        <v>44638.5</v>
      </c>
      <c r="L173">
        <v>18.434080000000002</v>
      </c>
      <c r="M173">
        <v>11.240080000000001</v>
      </c>
      <c r="N173">
        <v>16.557099999999998</v>
      </c>
      <c r="O173">
        <v>9.3630999999999993</v>
      </c>
      <c r="P173" t="s">
        <v>325</v>
      </c>
      <c r="Q173" t="s">
        <v>333</v>
      </c>
      <c r="R173" t="s">
        <v>366</v>
      </c>
      <c r="S173">
        <v>10.1088</v>
      </c>
      <c r="T173">
        <v>2.9147999999999801</v>
      </c>
      <c r="U173" t="s">
        <v>325</v>
      </c>
      <c r="V173" t="s">
        <v>335</v>
      </c>
      <c r="W173">
        <v>22.5</v>
      </c>
      <c r="X173">
        <v>15.305999999999999</v>
      </c>
      <c r="Y173">
        <v>24</v>
      </c>
      <c r="AB173" s="77">
        <f t="shared" si="130"/>
        <v>11.240080000000001</v>
      </c>
      <c r="AC173" s="77">
        <f t="shared" si="131"/>
        <v>9.3630999999999993</v>
      </c>
      <c r="AD173" s="77">
        <f t="shared" si="132"/>
        <v>60.974456007568584</v>
      </c>
      <c r="AE173" s="77">
        <f t="shared" si="133"/>
        <v>56.550362080315992</v>
      </c>
      <c r="AF173" s="77">
        <f t="shared" si="134"/>
        <v>2.9147999999999801</v>
      </c>
      <c r="AG173" s="77">
        <f t="shared" si="135"/>
        <v>28.834283000949469</v>
      </c>
      <c r="AH173" s="77">
        <f t="shared" si="136"/>
        <v>22.5</v>
      </c>
      <c r="AI173" s="77">
        <f t="shared" si="137"/>
        <v>7.194</v>
      </c>
      <c r="AJ173" s="77">
        <f t="shared" si="138"/>
        <v>15.306000000000001</v>
      </c>
      <c r="AK173" s="77">
        <f t="shared" si="139"/>
        <v>0</v>
      </c>
      <c r="AL173" s="77">
        <f t="shared" si="140"/>
        <v>15.306000000000001</v>
      </c>
      <c r="AM173" s="77">
        <f t="shared" si="141"/>
        <v>68.026666666666671</v>
      </c>
      <c r="AN173" t="str">
        <f t="shared" si="127"/>
        <v/>
      </c>
      <c r="AO173" t="s">
        <v>327</v>
      </c>
      <c r="AP173" t="str">
        <f t="shared" si="129"/>
        <v>2DDm85-15</v>
      </c>
      <c r="AQ173">
        <f>_xlfn.XLOOKUP(A173,'SYS Allocations'!A:A,'SYS Allocations'!B:B)</f>
        <v>0</v>
      </c>
      <c r="AR173">
        <f>_xlfn.XLOOKUP(A173,'SYS Allocations'!A:A,'SYS Allocations'!C:C)</f>
        <v>0</v>
      </c>
      <c r="AS173">
        <f>_xlfn.XLOOKUP(A173,'SYS Allocations'!A:A,'SYS Allocations'!D:D)</f>
        <v>0</v>
      </c>
      <c r="AT173">
        <f>_xlfn.XLOOKUP(A173,'SYS Allocations'!A:A,'SYS Allocations'!E:E)</f>
        <v>0</v>
      </c>
      <c r="AU173">
        <f>_xlfn.XLOOKUP(A173,'SYS Allocations'!A:A,'SYS Allocations'!F:F)</f>
        <v>0</v>
      </c>
      <c r="BA173" t="str">
        <f t="shared" si="128"/>
        <v>2DDm85-15</v>
      </c>
    </row>
    <row r="174" spans="1:53">
      <c r="A174" s="35" t="s">
        <v>190</v>
      </c>
      <c r="B174" t="s">
        <v>488</v>
      </c>
      <c r="C174" t="s">
        <v>702</v>
      </c>
      <c r="D174" t="s">
        <v>313</v>
      </c>
      <c r="E174" t="s">
        <v>703</v>
      </c>
      <c r="F174" t="s">
        <v>384</v>
      </c>
      <c r="G174">
        <v>55</v>
      </c>
      <c r="H174">
        <v>6</v>
      </c>
      <c r="I174">
        <v>154</v>
      </c>
      <c r="J174">
        <v>8.3930000000000007</v>
      </c>
      <c r="K174" s="64">
        <v>44532.583333333299</v>
      </c>
      <c r="L174">
        <v>11.99</v>
      </c>
      <c r="M174">
        <v>3.597</v>
      </c>
      <c r="N174">
        <v>9.3369395639999997</v>
      </c>
      <c r="O174">
        <v>0.94393956400000101</v>
      </c>
      <c r="P174" t="s">
        <v>339</v>
      </c>
      <c r="Q174" t="s">
        <v>323</v>
      </c>
      <c r="R174" t="s">
        <v>704</v>
      </c>
      <c r="S174">
        <v>11.664</v>
      </c>
      <c r="T174">
        <v>3.2709999999999901</v>
      </c>
      <c r="U174" t="s">
        <v>339</v>
      </c>
      <c r="V174" t="s">
        <v>335</v>
      </c>
      <c r="W174">
        <v>22.5</v>
      </c>
      <c r="X174">
        <v>14.106999999999999</v>
      </c>
      <c r="Y174">
        <v>3</v>
      </c>
      <c r="Z174" t="s">
        <v>8</v>
      </c>
      <c r="AB174" s="77">
        <f t="shared" si="130"/>
        <v>3.597</v>
      </c>
      <c r="AC174" s="77">
        <f t="shared" si="131"/>
        <v>0.94393956400000101</v>
      </c>
      <c r="AD174" s="77">
        <f t="shared" si="132"/>
        <v>29.999999999999996</v>
      </c>
      <c r="AE174" s="77">
        <f t="shared" si="133"/>
        <v>10.109731968701015</v>
      </c>
      <c r="AF174" s="77">
        <f t="shared" si="134"/>
        <v>3.2709999999999901</v>
      </c>
      <c r="AG174" s="77">
        <f t="shared" si="135"/>
        <v>28.043552812071248</v>
      </c>
      <c r="AH174" s="77">
        <f t="shared" si="136"/>
        <v>22.5</v>
      </c>
      <c r="AI174" s="77">
        <f t="shared" si="137"/>
        <v>8.3930000000000007</v>
      </c>
      <c r="AJ174" s="77">
        <f t="shared" si="138"/>
        <v>14.106999999999999</v>
      </c>
      <c r="AK174" s="77">
        <f t="shared" si="139"/>
        <v>0</v>
      </c>
      <c r="AL174" s="77">
        <f t="shared" si="140"/>
        <v>14.106999999999999</v>
      </c>
      <c r="AM174" s="77">
        <f t="shared" si="141"/>
        <v>62.697777777777773</v>
      </c>
      <c r="AN174" t="str">
        <f t="shared" si="127"/>
        <v>Capped</v>
      </c>
      <c r="AO174" t="s">
        <v>327</v>
      </c>
      <c r="AP174" t="str">
        <f t="shared" si="129"/>
        <v>EN320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8"/>
        <v>EN320</v>
      </c>
    </row>
    <row r="175" spans="1:53">
      <c r="A175" s="35" t="s">
        <v>191</v>
      </c>
      <c r="B175" t="s">
        <v>488</v>
      </c>
      <c r="C175" t="s">
        <v>705</v>
      </c>
      <c r="D175" t="s">
        <v>319</v>
      </c>
      <c r="E175" t="s">
        <v>706</v>
      </c>
      <c r="F175" t="s">
        <v>332</v>
      </c>
      <c r="G175">
        <v>75</v>
      </c>
      <c r="H175">
        <v>9</v>
      </c>
      <c r="I175">
        <v>175</v>
      </c>
      <c r="J175">
        <v>9.5374999999999996</v>
      </c>
      <c r="K175" s="64">
        <v>44355.416666666701</v>
      </c>
      <c r="L175">
        <v>26.16</v>
      </c>
      <c r="M175">
        <v>16.622499999999999</v>
      </c>
      <c r="N175">
        <v>20.6555</v>
      </c>
      <c r="O175">
        <v>11.118</v>
      </c>
      <c r="P175" t="s">
        <v>325</v>
      </c>
      <c r="Q175" t="s">
        <v>333</v>
      </c>
      <c r="R175" t="s">
        <v>605</v>
      </c>
      <c r="S175">
        <v>18.792000000000002</v>
      </c>
      <c r="T175">
        <v>9.2544999999999806</v>
      </c>
      <c r="U175" t="s">
        <v>322</v>
      </c>
      <c r="V175" t="s">
        <v>343</v>
      </c>
      <c r="W175">
        <v>45</v>
      </c>
      <c r="X175">
        <v>35.462499999999999</v>
      </c>
      <c r="Y175">
        <v>31</v>
      </c>
      <c r="AB175" s="77">
        <f t="shared" si="130"/>
        <v>16.622499999999999</v>
      </c>
      <c r="AC175" s="77">
        <f t="shared" si="131"/>
        <v>11.118</v>
      </c>
      <c r="AD175" s="77">
        <f t="shared" si="132"/>
        <v>63.541666666666664</v>
      </c>
      <c r="AE175" s="77">
        <f t="shared" si="133"/>
        <v>53.825857519788926</v>
      </c>
      <c r="AF175" s="77">
        <f t="shared" si="134"/>
        <v>9.2544999999999806</v>
      </c>
      <c r="AG175" s="77">
        <f t="shared" si="135"/>
        <v>49.247020008514156</v>
      </c>
      <c r="AH175" s="337">
        <f>AVERAGE(W175:W176)</f>
        <v>45</v>
      </c>
      <c r="AI175" s="337">
        <f>SUM(J175:J176)</f>
        <v>19.3475</v>
      </c>
      <c r="AJ175" s="337">
        <f t="shared" si="138"/>
        <v>25.6525</v>
      </c>
      <c r="AK175" s="337">
        <f>SUM(AA175:AA176)</f>
        <v>0</v>
      </c>
      <c r="AL175" s="337">
        <f t="shared" si="140"/>
        <v>25.6525</v>
      </c>
      <c r="AM175" s="338">
        <f t="shared" si="141"/>
        <v>57.005555555555553</v>
      </c>
      <c r="AN175" t="str">
        <f t="shared" si="127"/>
        <v/>
      </c>
      <c r="AO175" t="s">
        <v>327</v>
      </c>
      <c r="AP175" t="str">
        <f t="shared" si="129"/>
        <v>DDm85-27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8"/>
        <v>DDm85-27</v>
      </c>
    </row>
    <row r="176" spans="1:53">
      <c r="A176" s="35" t="s">
        <v>192</v>
      </c>
      <c r="B176" t="s">
        <v>488</v>
      </c>
      <c r="C176" t="s">
        <v>705</v>
      </c>
      <c r="D176" t="s">
        <v>319</v>
      </c>
      <c r="E176" t="s">
        <v>706</v>
      </c>
      <c r="F176" t="s">
        <v>332</v>
      </c>
      <c r="G176">
        <v>75</v>
      </c>
      <c r="H176">
        <v>7</v>
      </c>
      <c r="I176">
        <v>180</v>
      </c>
      <c r="J176">
        <v>9.81</v>
      </c>
      <c r="K176" s="64">
        <v>44355.5</v>
      </c>
      <c r="L176">
        <v>19.62</v>
      </c>
      <c r="M176">
        <v>9.81</v>
      </c>
      <c r="N176">
        <v>12.480499999999999</v>
      </c>
      <c r="O176">
        <v>2.6705000000000001</v>
      </c>
      <c r="P176" t="s">
        <v>325</v>
      </c>
      <c r="Q176" t="s">
        <v>333</v>
      </c>
      <c r="R176" t="s">
        <v>605</v>
      </c>
      <c r="S176">
        <v>18.792000000000002</v>
      </c>
      <c r="T176">
        <v>8.9819999999999798</v>
      </c>
      <c r="U176" t="s">
        <v>322</v>
      </c>
      <c r="V176" t="s">
        <v>343</v>
      </c>
      <c r="W176">
        <v>45</v>
      </c>
      <c r="X176">
        <v>35.19</v>
      </c>
      <c r="Y176">
        <v>31</v>
      </c>
      <c r="AB176" s="77">
        <f t="shared" si="130"/>
        <v>9.81</v>
      </c>
      <c r="AC176" s="77">
        <f t="shared" si="131"/>
        <v>2.6705000000000001</v>
      </c>
      <c r="AD176" s="77">
        <f t="shared" si="132"/>
        <v>50</v>
      </c>
      <c r="AE176" s="77">
        <f t="shared" si="133"/>
        <v>21.397379912663755</v>
      </c>
      <c r="AF176" s="77">
        <f t="shared" si="134"/>
        <v>8.9819999999999798</v>
      </c>
      <c r="AG176" s="77">
        <f t="shared" si="135"/>
        <v>47.796934865900276</v>
      </c>
      <c r="AH176" s="337"/>
      <c r="AI176" s="337"/>
      <c r="AJ176" s="337"/>
      <c r="AK176" s="337"/>
      <c r="AL176" s="337"/>
      <c r="AM176" s="338"/>
      <c r="AN176" t="str">
        <f t="shared" si="127"/>
        <v/>
      </c>
      <c r="AO176" t="s">
        <v>327</v>
      </c>
      <c r="AP176" t="str">
        <f t="shared" si="129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8"/>
        <v>DDm85-27</v>
      </c>
    </row>
    <row r="177" spans="1:53">
      <c r="A177" s="35" t="s">
        <v>193</v>
      </c>
      <c r="B177" t="s">
        <v>372</v>
      </c>
      <c r="C177" t="s">
        <v>707</v>
      </c>
      <c r="D177" t="s">
        <v>319</v>
      </c>
      <c r="E177" t="s">
        <v>708</v>
      </c>
      <c r="F177" t="s">
        <v>321</v>
      </c>
      <c r="G177">
        <v>36.6</v>
      </c>
      <c r="H177">
        <v>22</v>
      </c>
      <c r="I177">
        <v>74</v>
      </c>
      <c r="J177">
        <v>4.0330000000000004</v>
      </c>
      <c r="K177" s="64">
        <v>45600</v>
      </c>
      <c r="L177">
        <v>33.510959999999997</v>
      </c>
      <c r="M177">
        <v>29.477959999999999</v>
      </c>
      <c r="N177">
        <v>27.064699999999998</v>
      </c>
      <c r="O177">
        <v>23.031700000000001</v>
      </c>
      <c r="P177" t="s">
        <v>325</v>
      </c>
      <c r="Q177" t="s">
        <v>333</v>
      </c>
      <c r="R177" t="s">
        <v>472</v>
      </c>
      <c r="S177">
        <v>22.982399999999998</v>
      </c>
      <c r="T177">
        <v>18.949400000000001</v>
      </c>
      <c r="U177" t="s">
        <v>322</v>
      </c>
      <c r="V177" t="s">
        <v>709</v>
      </c>
      <c r="W177">
        <v>39</v>
      </c>
      <c r="X177">
        <v>34.966999999999999</v>
      </c>
      <c r="Y177">
        <v>7</v>
      </c>
      <c r="AB177" s="77">
        <f t="shared" si="130"/>
        <v>29.477959999999999</v>
      </c>
      <c r="AC177" s="77">
        <f t="shared" si="131"/>
        <v>23.031700000000001</v>
      </c>
      <c r="AD177" s="77">
        <f t="shared" si="132"/>
        <v>87.96513140775437</v>
      </c>
      <c r="AE177" s="77">
        <f t="shared" si="133"/>
        <v>85.098670962545313</v>
      </c>
      <c r="AF177" s="77">
        <f t="shared" si="134"/>
        <v>18.949400000000001</v>
      </c>
      <c r="AG177" s="77">
        <f t="shared" si="135"/>
        <v>82.451789195210267</v>
      </c>
      <c r="AH177" s="337">
        <f>AVERAGE(W177:W178)</f>
        <v>39</v>
      </c>
      <c r="AI177" s="337">
        <f>SUM(J177:J178)</f>
        <v>6.4855</v>
      </c>
      <c r="AJ177" s="337">
        <f t="shared" si="138"/>
        <v>32.514499999999998</v>
      </c>
      <c r="AK177" s="337">
        <f>SUM(AA177:AA178)</f>
        <v>0</v>
      </c>
      <c r="AL177" s="337">
        <f t="shared" si="140"/>
        <v>32.514499999999998</v>
      </c>
      <c r="AM177" s="338">
        <f t="shared" si="141"/>
        <v>83.370512820512815</v>
      </c>
      <c r="AN177" t="str">
        <f t="shared" si="127"/>
        <v/>
      </c>
      <c r="AO177" s="52" t="s">
        <v>395</v>
      </c>
      <c r="AP177" t="str">
        <f t="shared" si="129"/>
        <v>DDm85-33</v>
      </c>
      <c r="AQ177">
        <f>_xlfn.XLOOKUP(A177,'SYS Allocations'!A:A,'SYS Allocations'!B:B)</f>
        <v>0</v>
      </c>
      <c r="AR177" t="str">
        <f>_xlfn.XLOOKUP(A177,'SYS Allocations'!A:A,'SYS Allocations'!C:C)</f>
        <v>RA</v>
      </c>
      <c r="AS177">
        <f>_xlfn.XLOOKUP(A177,'SYS Allocations'!A:A,'SYS Allocations'!D:D)</f>
        <v>0</v>
      </c>
      <c r="AT177" t="str">
        <f>_xlfn.XLOOKUP(A177,'SYS Allocations'!A:A,'SYS Allocations'!E:E)</f>
        <v>AM</v>
      </c>
      <c r="AU177">
        <f>_xlfn.XLOOKUP(A177,'SYS Allocations'!A:A,'SYS Allocations'!F:F)</f>
        <v>0</v>
      </c>
      <c r="BA177" t="str">
        <f t="shared" si="128"/>
        <v>DDm85-33</v>
      </c>
    </row>
    <row r="178" spans="1:53">
      <c r="A178" s="35" t="s">
        <v>194</v>
      </c>
      <c r="B178" t="s">
        <v>372</v>
      </c>
      <c r="C178" t="s">
        <v>707</v>
      </c>
      <c r="D178" t="s">
        <v>319</v>
      </c>
      <c r="E178" t="s">
        <v>708</v>
      </c>
      <c r="F178" t="s">
        <v>321</v>
      </c>
      <c r="G178">
        <v>36.6</v>
      </c>
      <c r="H178">
        <v>22</v>
      </c>
      <c r="I178">
        <v>45</v>
      </c>
      <c r="J178">
        <v>2.4525000000000001</v>
      </c>
      <c r="K178" s="64">
        <v>45600</v>
      </c>
      <c r="L178">
        <v>33.510959999999997</v>
      </c>
      <c r="M178">
        <v>31.05846</v>
      </c>
      <c r="N178">
        <v>27.064699999999998</v>
      </c>
      <c r="O178">
        <v>24.612200000000001</v>
      </c>
      <c r="P178" t="s">
        <v>325</v>
      </c>
      <c r="Q178" t="s">
        <v>333</v>
      </c>
      <c r="R178" t="s">
        <v>472</v>
      </c>
      <c r="S178">
        <v>22.982399999999998</v>
      </c>
      <c r="T178">
        <v>20.529900000000001</v>
      </c>
      <c r="U178" t="s">
        <v>322</v>
      </c>
      <c r="V178" t="s">
        <v>709</v>
      </c>
      <c r="W178">
        <v>39</v>
      </c>
      <c r="X178">
        <v>36.547499999999999</v>
      </c>
      <c r="Y178">
        <v>7</v>
      </c>
      <c r="AB178" s="77">
        <f t="shared" ref="AB178" si="149">M178-AA178</f>
        <v>31.05846</v>
      </c>
      <c r="AC178" s="77">
        <f t="shared" ref="AC178" si="150">O178-AA178</f>
        <v>24.612200000000001</v>
      </c>
      <c r="AD178" s="77">
        <f t="shared" ref="AD178" si="151">AB178/L178%</f>
        <v>92.681498829039825</v>
      </c>
      <c r="AE178" s="77">
        <f t="shared" ref="AE178" si="152">AC178/N178%</f>
        <v>90.938380990737031</v>
      </c>
      <c r="AF178" s="77">
        <f t="shared" ref="AF178" si="153">T178-AA178</f>
        <v>20.529900000000001</v>
      </c>
      <c r="AG178" s="77">
        <f t="shared" ref="AG178" si="154">AF178/S178%</f>
        <v>89.328790726817061</v>
      </c>
      <c r="AH178" s="337"/>
      <c r="AI178" s="337"/>
      <c r="AJ178" s="337"/>
      <c r="AK178" s="337"/>
      <c r="AL178" s="337"/>
      <c r="AM178" s="338"/>
      <c r="AN178" t="str">
        <f t="shared" si="127"/>
        <v/>
      </c>
      <c r="AO178" s="52" t="s">
        <v>395</v>
      </c>
      <c r="AP178" t="str">
        <f t="shared" si="129"/>
        <v>DDm85-33</v>
      </c>
      <c r="AQ178">
        <f>_xlfn.XLOOKUP(A178,'SYS Allocations'!A:A,'SYS Allocations'!B:B)</f>
        <v>0</v>
      </c>
      <c r="AR178">
        <f>_xlfn.XLOOKUP(A178,'SYS Allocations'!A:A,'SYS Allocations'!C:C)</f>
        <v>0</v>
      </c>
      <c r="AS178">
        <f>_xlfn.XLOOKUP(A178,'SYS Allocations'!A:A,'SYS Allocations'!D:D)</f>
        <v>0</v>
      </c>
      <c r="AT178">
        <f>_xlfn.XLOOKUP(A178,'SYS Allocations'!A:A,'SYS Allocations'!E:E)</f>
        <v>0</v>
      </c>
      <c r="AU178">
        <f>_xlfn.XLOOKUP(A178,'SYS Allocations'!A:A,'SYS Allocations'!F:F)</f>
        <v>0</v>
      </c>
      <c r="BA178" t="str">
        <f t="shared" si="128"/>
        <v>DDm85-33</v>
      </c>
    </row>
    <row r="179" spans="1:53">
      <c r="A179" s="35" t="s">
        <v>195</v>
      </c>
      <c r="B179" t="s">
        <v>372</v>
      </c>
      <c r="C179" t="s">
        <v>710</v>
      </c>
      <c r="D179" t="s">
        <v>330</v>
      </c>
      <c r="E179" t="s">
        <v>711</v>
      </c>
      <c r="F179" t="s">
        <v>332</v>
      </c>
      <c r="G179">
        <v>75</v>
      </c>
      <c r="H179">
        <v>8</v>
      </c>
      <c r="I179">
        <v>150</v>
      </c>
      <c r="J179">
        <v>8.1750000000000007</v>
      </c>
      <c r="K179" s="64">
        <v>43840</v>
      </c>
      <c r="L179">
        <v>22.89</v>
      </c>
      <c r="M179">
        <v>14.715</v>
      </c>
      <c r="N179">
        <v>11.172499999999999</v>
      </c>
      <c r="O179">
        <v>2.9975000000000001</v>
      </c>
      <c r="P179" t="s">
        <v>325</v>
      </c>
      <c r="Q179" t="s">
        <v>333</v>
      </c>
      <c r="R179" t="s">
        <v>405</v>
      </c>
      <c r="S179">
        <v>28.123200000000001</v>
      </c>
      <c r="T179">
        <v>19.9482</v>
      </c>
      <c r="U179" t="s">
        <v>348</v>
      </c>
      <c r="V179" t="s">
        <v>367</v>
      </c>
      <c r="W179">
        <v>116.25</v>
      </c>
      <c r="X179">
        <v>108.075</v>
      </c>
      <c r="Y179">
        <v>66</v>
      </c>
      <c r="AB179" s="77">
        <f t="shared" si="130"/>
        <v>14.715</v>
      </c>
      <c r="AC179" s="77">
        <f t="shared" si="131"/>
        <v>2.9975000000000001</v>
      </c>
      <c r="AD179" s="77">
        <f t="shared" si="132"/>
        <v>64.285714285714292</v>
      </c>
      <c r="AE179" s="77">
        <f t="shared" si="133"/>
        <v>26.829268292682929</v>
      </c>
      <c r="AF179" s="77">
        <f t="shared" si="134"/>
        <v>19.9482</v>
      </c>
      <c r="AG179" s="77">
        <f t="shared" si="135"/>
        <v>70.931472947601989</v>
      </c>
      <c r="AH179" s="337">
        <f>AVERAGE(W179:W182)</f>
        <v>116.25</v>
      </c>
      <c r="AI179" s="337">
        <f>SUM(J179:J182)</f>
        <v>28.340000000000003</v>
      </c>
      <c r="AJ179" s="337">
        <f t="shared" si="138"/>
        <v>87.91</v>
      </c>
      <c r="AK179" s="337">
        <f>SUM(AA179:AA182)</f>
        <v>0</v>
      </c>
      <c r="AL179" s="337">
        <f t="shared" si="140"/>
        <v>87.91</v>
      </c>
      <c r="AM179" s="338">
        <f t="shared" si="141"/>
        <v>75.621505376344075</v>
      </c>
      <c r="AN179" t="str">
        <f t="shared" si="127"/>
        <v/>
      </c>
      <c r="AO179" t="s">
        <v>395</v>
      </c>
      <c r="AP179" t="str">
        <f t="shared" si="129"/>
        <v>DDm100-33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8"/>
        <v>DDm100-33</v>
      </c>
    </row>
    <row r="180" spans="1:53">
      <c r="A180" s="35" t="s">
        <v>196</v>
      </c>
      <c r="B180" t="s">
        <v>372</v>
      </c>
      <c r="C180" t="s">
        <v>710</v>
      </c>
      <c r="D180" t="s">
        <v>330</v>
      </c>
      <c r="E180" t="s">
        <v>711</v>
      </c>
      <c r="F180" t="s">
        <v>332</v>
      </c>
      <c r="G180">
        <v>75</v>
      </c>
      <c r="H180">
        <v>11</v>
      </c>
      <c r="I180">
        <v>20</v>
      </c>
      <c r="J180">
        <v>1.0900000000000001</v>
      </c>
      <c r="K180" s="64">
        <v>44461.625</v>
      </c>
      <c r="L180">
        <v>32.700000000000003</v>
      </c>
      <c r="M180">
        <v>31.61</v>
      </c>
      <c r="N180">
        <v>19.074999999999999</v>
      </c>
      <c r="O180">
        <v>17.984999999999999</v>
      </c>
      <c r="P180" t="s">
        <v>325</v>
      </c>
      <c r="Q180" t="s">
        <v>333</v>
      </c>
      <c r="R180" t="s">
        <v>347</v>
      </c>
      <c r="S180">
        <v>35.553600000000003</v>
      </c>
      <c r="T180">
        <v>34.4636</v>
      </c>
      <c r="U180" t="s">
        <v>348</v>
      </c>
      <c r="V180" t="s">
        <v>367</v>
      </c>
      <c r="W180">
        <v>116.25</v>
      </c>
      <c r="X180">
        <v>115.16</v>
      </c>
      <c r="Y180">
        <v>66</v>
      </c>
      <c r="AB180" s="77">
        <f t="shared" si="130"/>
        <v>31.61</v>
      </c>
      <c r="AC180" s="77">
        <f t="shared" si="131"/>
        <v>17.984999999999999</v>
      </c>
      <c r="AD180" s="77">
        <f t="shared" si="132"/>
        <v>96.666666666666657</v>
      </c>
      <c r="AE180" s="77">
        <f t="shared" si="133"/>
        <v>94.285714285714278</v>
      </c>
      <c r="AF180" s="77">
        <f t="shared" si="134"/>
        <v>34.4636</v>
      </c>
      <c r="AG180" s="77">
        <f t="shared" si="135"/>
        <v>96.934206381350961</v>
      </c>
      <c r="AH180" s="337"/>
      <c r="AI180" s="337"/>
      <c r="AJ180" s="337"/>
      <c r="AK180" s="337"/>
      <c r="AL180" s="337"/>
      <c r="AM180" s="338"/>
      <c r="AN180" t="str">
        <f t="shared" si="127"/>
        <v/>
      </c>
      <c r="AO180" t="s">
        <v>395</v>
      </c>
      <c r="AP180" t="str">
        <f t="shared" si="129"/>
        <v>DDm125-33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8"/>
        <v>DDm125-33</v>
      </c>
    </row>
    <row r="181" spans="1:53">
      <c r="A181" s="35" t="s">
        <v>197</v>
      </c>
      <c r="B181" t="s">
        <v>372</v>
      </c>
      <c r="C181" t="s">
        <v>710</v>
      </c>
      <c r="D181" t="s">
        <v>330</v>
      </c>
      <c r="E181" t="s">
        <v>711</v>
      </c>
      <c r="F181" t="s">
        <v>332</v>
      </c>
      <c r="G181">
        <v>75</v>
      </c>
      <c r="H181">
        <v>8</v>
      </c>
      <c r="I181">
        <v>150</v>
      </c>
      <c r="J181">
        <v>8.1750000000000007</v>
      </c>
      <c r="K181" s="64">
        <v>43840</v>
      </c>
      <c r="L181">
        <v>22.89</v>
      </c>
      <c r="M181">
        <v>14.715</v>
      </c>
      <c r="N181">
        <v>11.172499999999999</v>
      </c>
      <c r="O181">
        <v>2.9975000000000001</v>
      </c>
      <c r="P181" t="s">
        <v>325</v>
      </c>
      <c r="Q181" t="s">
        <v>333</v>
      </c>
      <c r="R181" t="s">
        <v>405</v>
      </c>
      <c r="S181">
        <v>28.123200000000001</v>
      </c>
      <c r="T181">
        <v>19.9482</v>
      </c>
      <c r="U181" t="s">
        <v>348</v>
      </c>
      <c r="V181" t="s">
        <v>367</v>
      </c>
      <c r="W181">
        <v>116.25</v>
      </c>
      <c r="X181">
        <v>108.075</v>
      </c>
      <c r="Y181">
        <v>66</v>
      </c>
      <c r="AB181" s="77">
        <f t="shared" si="130"/>
        <v>14.715</v>
      </c>
      <c r="AC181" s="77">
        <f t="shared" si="131"/>
        <v>2.9975000000000001</v>
      </c>
      <c r="AD181" s="77">
        <f t="shared" si="132"/>
        <v>64.285714285714292</v>
      </c>
      <c r="AE181" s="77">
        <f t="shared" si="133"/>
        <v>26.829268292682929</v>
      </c>
      <c r="AF181" s="77">
        <f t="shared" si="134"/>
        <v>19.9482</v>
      </c>
      <c r="AG181" s="77">
        <f t="shared" si="135"/>
        <v>70.931472947601989</v>
      </c>
      <c r="AH181" s="337"/>
      <c r="AI181" s="337"/>
      <c r="AJ181" s="337"/>
      <c r="AK181" s="337"/>
      <c r="AL181" s="337"/>
      <c r="AM181" s="338"/>
      <c r="AN181" t="str">
        <f t="shared" si="127"/>
        <v/>
      </c>
      <c r="AO181" t="s">
        <v>395</v>
      </c>
      <c r="AP181" t="str">
        <f t="shared" si="129"/>
        <v>DDm100-33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8"/>
        <v>DDm100-33</v>
      </c>
    </row>
    <row r="182" spans="1:53">
      <c r="A182" s="35" t="s">
        <v>198</v>
      </c>
      <c r="B182" t="s">
        <v>372</v>
      </c>
      <c r="C182" t="s">
        <v>710</v>
      </c>
      <c r="D182" t="s">
        <v>330</v>
      </c>
      <c r="E182" t="s">
        <v>711</v>
      </c>
      <c r="F182" t="s">
        <v>332</v>
      </c>
      <c r="G182">
        <v>75</v>
      </c>
      <c r="H182">
        <v>10</v>
      </c>
      <c r="I182">
        <v>200</v>
      </c>
      <c r="J182">
        <v>10.9</v>
      </c>
      <c r="K182" s="64">
        <v>44461.666666666701</v>
      </c>
      <c r="L182">
        <v>29.43</v>
      </c>
      <c r="M182">
        <v>18.53</v>
      </c>
      <c r="N182">
        <v>14.987500000000001</v>
      </c>
      <c r="O182">
        <v>4.0875000000000004</v>
      </c>
      <c r="P182" t="s">
        <v>325</v>
      </c>
      <c r="Q182" t="s">
        <v>333</v>
      </c>
      <c r="R182" t="s">
        <v>347</v>
      </c>
      <c r="S182">
        <v>35.553600000000003</v>
      </c>
      <c r="T182">
        <v>24.653600000000001</v>
      </c>
      <c r="U182" t="s">
        <v>348</v>
      </c>
      <c r="V182" t="s">
        <v>367</v>
      </c>
      <c r="W182">
        <v>116.25</v>
      </c>
      <c r="X182">
        <v>105.35</v>
      </c>
      <c r="Y182">
        <v>66</v>
      </c>
      <c r="AB182" s="77">
        <f t="shared" si="130"/>
        <v>18.53</v>
      </c>
      <c r="AC182" s="77">
        <f t="shared" si="131"/>
        <v>4.0875000000000004</v>
      </c>
      <c r="AD182" s="77">
        <f t="shared" si="132"/>
        <v>62.962962962962969</v>
      </c>
      <c r="AE182" s="77">
        <f t="shared" si="133"/>
        <v>27.272727272727273</v>
      </c>
      <c r="AF182" s="77">
        <f t="shared" si="134"/>
        <v>24.653600000000001</v>
      </c>
      <c r="AG182" s="77">
        <f t="shared" si="135"/>
        <v>69.342063813509739</v>
      </c>
      <c r="AH182" s="337"/>
      <c r="AI182" s="337"/>
      <c r="AJ182" s="337"/>
      <c r="AK182" s="337"/>
      <c r="AL182" s="337"/>
      <c r="AM182" s="338"/>
      <c r="AN182" t="str">
        <f t="shared" si="127"/>
        <v/>
      </c>
      <c r="AO182" t="s">
        <v>395</v>
      </c>
      <c r="AP182" t="str">
        <f t="shared" si="129"/>
        <v>DDm125-33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8"/>
        <v>DDm125-33</v>
      </c>
    </row>
    <row r="183" spans="1:53">
      <c r="A183" s="35" t="s">
        <v>199</v>
      </c>
      <c r="B183" t="s">
        <v>372</v>
      </c>
      <c r="C183" t="s">
        <v>712</v>
      </c>
      <c r="D183" t="s">
        <v>319</v>
      </c>
      <c r="E183" t="s">
        <v>713</v>
      </c>
      <c r="F183" t="s">
        <v>321</v>
      </c>
      <c r="G183">
        <v>36.6</v>
      </c>
      <c r="H183">
        <v>30</v>
      </c>
      <c r="I183">
        <v>112</v>
      </c>
      <c r="J183">
        <v>6.1040000000000001</v>
      </c>
      <c r="K183" s="64">
        <v>45600</v>
      </c>
      <c r="L183">
        <v>46.27704</v>
      </c>
      <c r="M183">
        <v>40.17304</v>
      </c>
      <c r="N183">
        <v>41.496299999999998</v>
      </c>
      <c r="O183">
        <v>35.392299999999999</v>
      </c>
      <c r="P183" t="s">
        <v>325</v>
      </c>
      <c r="Q183" t="s">
        <v>333</v>
      </c>
      <c r="R183" t="s">
        <v>582</v>
      </c>
      <c r="S183">
        <v>26.654399999999999</v>
      </c>
      <c r="T183">
        <v>20.5504</v>
      </c>
      <c r="U183" t="s">
        <v>380</v>
      </c>
      <c r="V183" t="s">
        <v>714</v>
      </c>
      <c r="W183">
        <v>99.825000000000003</v>
      </c>
      <c r="X183">
        <v>93.721000000000004</v>
      </c>
      <c r="Y183">
        <v>49</v>
      </c>
      <c r="AB183" s="77">
        <f t="shared" si="130"/>
        <v>40.17304</v>
      </c>
      <c r="AC183" s="77">
        <f t="shared" si="131"/>
        <v>35.392299999999999</v>
      </c>
      <c r="AD183" s="77">
        <f t="shared" si="132"/>
        <v>86.809873751648766</v>
      </c>
      <c r="AE183" s="77">
        <f t="shared" si="133"/>
        <v>85.290254793800898</v>
      </c>
      <c r="AF183" s="77">
        <f t="shared" si="134"/>
        <v>20.5504</v>
      </c>
      <c r="AG183" s="77">
        <f t="shared" si="135"/>
        <v>77.09946575424695</v>
      </c>
      <c r="AH183" s="77">
        <f t="shared" si="136"/>
        <v>99.825000000000003</v>
      </c>
      <c r="AI183" s="77">
        <f t="shared" si="137"/>
        <v>6.1040000000000001</v>
      </c>
      <c r="AJ183" s="77">
        <f t="shared" si="138"/>
        <v>93.721000000000004</v>
      </c>
      <c r="AK183" s="77">
        <f t="shared" si="139"/>
        <v>0</v>
      </c>
      <c r="AL183" s="77">
        <f t="shared" si="140"/>
        <v>93.721000000000004</v>
      </c>
      <c r="AM183" s="77">
        <f t="shared" si="141"/>
        <v>93.885299273729018</v>
      </c>
      <c r="AN183" t="str">
        <f t="shared" si="127"/>
        <v/>
      </c>
      <c r="AO183" s="52" t="s">
        <v>395</v>
      </c>
      <c r="AP183" t="str">
        <f t="shared" si="129"/>
        <v>DDm125-25</v>
      </c>
      <c r="AQ183">
        <f>_xlfn.XLOOKUP(A183,'SYS Allocations'!A:A,'SYS Allocations'!B:B)</f>
        <v>0</v>
      </c>
      <c r="AR183" t="str">
        <f>_xlfn.XLOOKUP(A183,'SYS Allocations'!A:A,'SYS Allocations'!C:C)</f>
        <v>RA</v>
      </c>
      <c r="AS183">
        <f>_xlfn.XLOOKUP(A183,'SYS Allocations'!A:A,'SYS Allocations'!D:D)</f>
        <v>0</v>
      </c>
      <c r="AT183" t="str">
        <f>_xlfn.XLOOKUP(A183,'SYS Allocations'!A:A,'SYS Allocations'!E:E)</f>
        <v>AM</v>
      </c>
      <c r="AU183">
        <f>_xlfn.XLOOKUP(A183,'SYS Allocations'!A:A,'SYS Allocations'!F:F)</f>
        <v>0</v>
      </c>
      <c r="BA183" t="str">
        <f t="shared" si="128"/>
        <v>DDm125-25</v>
      </c>
    </row>
    <row r="184" spans="1:53">
      <c r="A184" s="35" t="s">
        <v>200</v>
      </c>
      <c r="B184" t="s">
        <v>372</v>
      </c>
      <c r="C184" t="s">
        <v>712</v>
      </c>
      <c r="D184" t="s">
        <v>319</v>
      </c>
      <c r="E184" t="s">
        <v>713</v>
      </c>
      <c r="F184" t="s">
        <v>321</v>
      </c>
      <c r="G184">
        <v>36.6</v>
      </c>
      <c r="H184">
        <v>30</v>
      </c>
      <c r="I184">
        <v>137</v>
      </c>
      <c r="J184">
        <v>7.4664999999999999</v>
      </c>
      <c r="K184" s="64">
        <v>45600</v>
      </c>
      <c r="L184">
        <v>46.27704</v>
      </c>
      <c r="M184">
        <v>38.810540000000003</v>
      </c>
      <c r="N184">
        <v>41.496299999999998</v>
      </c>
      <c r="O184">
        <v>34.029800000000002</v>
      </c>
      <c r="P184" t="s">
        <v>325</v>
      </c>
      <c r="Q184" t="s">
        <v>333</v>
      </c>
      <c r="R184" t="s">
        <v>582</v>
      </c>
      <c r="S184">
        <v>26.654399999999999</v>
      </c>
      <c r="T184">
        <v>19.187899999999999</v>
      </c>
      <c r="U184" t="s">
        <v>380</v>
      </c>
      <c r="V184" t="s">
        <v>714</v>
      </c>
      <c r="W184">
        <v>99.825000000000003</v>
      </c>
      <c r="X184">
        <v>92.358500000000006</v>
      </c>
      <c r="Y184">
        <v>49</v>
      </c>
      <c r="AB184" s="77">
        <f t="shared" si="130"/>
        <v>38.810540000000003</v>
      </c>
      <c r="AC184" s="77">
        <f t="shared" si="131"/>
        <v>34.029800000000002</v>
      </c>
      <c r="AD184" s="77">
        <f t="shared" si="132"/>
        <v>83.8656491426418</v>
      </c>
      <c r="AE184" s="77">
        <f t="shared" si="133"/>
        <v>82.006829524560032</v>
      </c>
      <c r="AF184" s="77">
        <f t="shared" si="134"/>
        <v>19.187899999999999</v>
      </c>
      <c r="AG184" s="77">
        <f t="shared" si="135"/>
        <v>71.98773936010565</v>
      </c>
      <c r="AH184" s="77">
        <f t="shared" si="136"/>
        <v>99.825000000000003</v>
      </c>
      <c r="AI184" s="77">
        <f t="shared" si="137"/>
        <v>7.4664999999999999</v>
      </c>
      <c r="AJ184" s="77">
        <f t="shared" si="138"/>
        <v>92.358500000000006</v>
      </c>
      <c r="AK184" s="77">
        <f t="shared" si="139"/>
        <v>0</v>
      </c>
      <c r="AL184" s="77">
        <f t="shared" si="140"/>
        <v>92.358500000000006</v>
      </c>
      <c r="AM184" s="77">
        <f t="shared" si="141"/>
        <v>92.52041071875783</v>
      </c>
      <c r="AN184" t="str">
        <f t="shared" si="127"/>
        <v/>
      </c>
      <c r="AO184" s="52" t="s">
        <v>395</v>
      </c>
      <c r="AP184" t="str">
        <f t="shared" si="129"/>
        <v>DDm125-25</v>
      </c>
      <c r="AQ184">
        <f>_xlfn.XLOOKUP(A184,'SYS Allocations'!A:A,'SYS Allocations'!B:B)</f>
        <v>0</v>
      </c>
      <c r="AR184">
        <f>_xlfn.XLOOKUP(A184,'SYS Allocations'!A:A,'SYS Allocations'!C:C)</f>
        <v>0</v>
      </c>
      <c r="AS184">
        <f>_xlfn.XLOOKUP(A184,'SYS Allocations'!A:A,'SYS Allocations'!D:D)</f>
        <v>0</v>
      </c>
      <c r="AT184">
        <f>_xlfn.XLOOKUP(A184,'SYS Allocations'!A:A,'SYS Allocations'!E:E)</f>
        <v>0</v>
      </c>
      <c r="AU184">
        <f>_xlfn.XLOOKUP(A184,'SYS Allocations'!A:A,'SYS Allocations'!F:F)</f>
        <v>0</v>
      </c>
      <c r="BA184" t="str">
        <f t="shared" si="128"/>
        <v>DDm125-25</v>
      </c>
    </row>
    <row r="185" spans="1:53">
      <c r="A185" s="35" t="s">
        <v>201</v>
      </c>
      <c r="B185" t="s">
        <v>421</v>
      </c>
      <c r="C185" t="s">
        <v>715</v>
      </c>
      <c r="D185" t="s">
        <v>392</v>
      </c>
      <c r="E185" t="s">
        <v>716</v>
      </c>
      <c r="F185" t="s">
        <v>717</v>
      </c>
      <c r="G185">
        <v>100</v>
      </c>
      <c r="H185">
        <v>2</v>
      </c>
      <c r="I185">
        <v>6.4</v>
      </c>
      <c r="J185">
        <v>0.3488</v>
      </c>
      <c r="K185" s="64">
        <v>44616.583333333299</v>
      </c>
      <c r="L185">
        <v>4.3600000000000003</v>
      </c>
      <c r="M185">
        <v>4.0111999999999997</v>
      </c>
      <c r="N185">
        <v>0.41420000000000001</v>
      </c>
      <c r="O185">
        <v>6.54E-2</v>
      </c>
      <c r="P185" t="s">
        <v>325</v>
      </c>
      <c r="Q185" t="s">
        <v>333</v>
      </c>
      <c r="R185" t="s">
        <v>718</v>
      </c>
      <c r="S185">
        <v>7.9919999999999796</v>
      </c>
      <c r="T185">
        <v>7.6431999999999798</v>
      </c>
      <c r="U185" t="s">
        <v>325</v>
      </c>
      <c r="V185" t="s">
        <v>430</v>
      </c>
      <c r="W185">
        <v>9</v>
      </c>
      <c r="X185">
        <v>8.6511999999999993</v>
      </c>
      <c r="Y185">
        <v>8</v>
      </c>
      <c r="Z185" t="s">
        <v>425</v>
      </c>
      <c r="AB185" s="77">
        <f t="shared" si="130"/>
        <v>4.0111999999999997</v>
      </c>
      <c r="AC185" s="77">
        <f t="shared" si="131"/>
        <v>6.54E-2</v>
      </c>
      <c r="AD185" s="77">
        <f t="shared" si="132"/>
        <v>91.999999999999986</v>
      </c>
      <c r="AE185" s="77">
        <f t="shared" si="133"/>
        <v>15.789473684210527</v>
      </c>
      <c r="AF185" s="77">
        <f t="shared" si="134"/>
        <v>7.6431999999999798</v>
      </c>
      <c r="AG185" s="77">
        <f t="shared" si="135"/>
        <v>95.635635635635623</v>
      </c>
      <c r="AH185" s="77">
        <f t="shared" si="136"/>
        <v>9</v>
      </c>
      <c r="AI185" s="77">
        <f t="shared" si="137"/>
        <v>0.3488</v>
      </c>
      <c r="AJ185" s="77">
        <f t="shared" si="138"/>
        <v>8.6511999999999993</v>
      </c>
      <c r="AK185" s="77">
        <f t="shared" si="139"/>
        <v>0</v>
      </c>
      <c r="AL185" s="77">
        <f t="shared" si="140"/>
        <v>8.6511999999999993</v>
      </c>
      <c r="AM185" s="77">
        <f t="shared" si="141"/>
        <v>96.124444444444435</v>
      </c>
      <c r="AN185" t="str">
        <f t="shared" si="127"/>
        <v>Capped</v>
      </c>
      <c r="AO185" t="s">
        <v>327</v>
      </c>
      <c r="AP185" t="str">
        <f t="shared" si="129"/>
        <v>2V460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8"/>
        <v>2V460</v>
      </c>
    </row>
    <row r="186" spans="1:53">
      <c r="A186" s="35" t="s">
        <v>202</v>
      </c>
      <c r="B186" t="s">
        <v>372</v>
      </c>
      <c r="C186" t="s">
        <v>719</v>
      </c>
      <c r="D186" t="s">
        <v>313</v>
      </c>
      <c r="E186" t="s">
        <v>720</v>
      </c>
      <c r="F186" t="s">
        <v>321</v>
      </c>
      <c r="G186">
        <v>36.6</v>
      </c>
      <c r="H186">
        <v>32</v>
      </c>
      <c r="I186">
        <v>269</v>
      </c>
      <c r="J186">
        <v>14.660500000000001</v>
      </c>
      <c r="K186" s="64">
        <v>45600</v>
      </c>
      <c r="L186">
        <v>49.468559999999997</v>
      </c>
      <c r="M186">
        <v>34.808059999999998</v>
      </c>
      <c r="N186">
        <v>40.035699999999999</v>
      </c>
      <c r="O186">
        <v>25.3752</v>
      </c>
      <c r="P186" t="s">
        <v>325</v>
      </c>
      <c r="Q186" t="s">
        <v>333</v>
      </c>
      <c r="R186" t="s">
        <v>347</v>
      </c>
      <c r="S186">
        <v>35.553600000000003</v>
      </c>
      <c r="T186">
        <v>20.8931</v>
      </c>
      <c r="U186" t="s">
        <v>339</v>
      </c>
      <c r="V186" t="s">
        <v>436</v>
      </c>
      <c r="W186">
        <v>67.5</v>
      </c>
      <c r="X186">
        <v>52.839500000000001</v>
      </c>
      <c r="Y186">
        <v>25</v>
      </c>
      <c r="Z186" t="s">
        <v>275</v>
      </c>
      <c r="AB186" s="77">
        <f t="shared" si="130"/>
        <v>34.808059999999998</v>
      </c>
      <c r="AC186" s="77">
        <f t="shared" si="131"/>
        <v>25.3752</v>
      </c>
      <c r="AD186" s="77">
        <f t="shared" si="132"/>
        <v>70.364004935660148</v>
      </c>
      <c r="AE186" s="77">
        <f t="shared" si="133"/>
        <v>63.381432071875857</v>
      </c>
      <c r="AF186" s="77">
        <f t="shared" si="134"/>
        <v>20.8931</v>
      </c>
      <c r="AG186" s="77">
        <f t="shared" si="135"/>
        <v>58.765075829170605</v>
      </c>
      <c r="AH186" s="338">
        <f>AVERAGE(W186:W187)</f>
        <v>67.5</v>
      </c>
      <c r="AI186" s="338">
        <f>SUM(J186:J187)</f>
        <v>17.058500000000002</v>
      </c>
      <c r="AJ186" s="338">
        <f t="shared" si="138"/>
        <v>50.441499999999998</v>
      </c>
      <c r="AK186" s="338">
        <f>SUM(AA186:AA187)</f>
        <v>0</v>
      </c>
      <c r="AL186" s="338">
        <f t="shared" si="140"/>
        <v>50.441499999999998</v>
      </c>
      <c r="AM186" s="338">
        <f t="shared" si="141"/>
        <v>74.728148148148136</v>
      </c>
      <c r="AN186" t="str">
        <f t="shared" si="127"/>
        <v>Capped</v>
      </c>
      <c r="AO186" t="s">
        <v>395</v>
      </c>
      <c r="AP186" t="str">
        <f t="shared" si="129"/>
        <v>DDm125-33</v>
      </c>
      <c r="AQ186">
        <f>_xlfn.XLOOKUP(A186,'SYS Allocations'!A:A,'SYS Allocations'!B:B)</f>
        <v>0</v>
      </c>
      <c r="AR186" t="str">
        <f>_xlfn.XLOOKUP(A186,'SYS Allocations'!A:A,'SYS Allocations'!C:C)</f>
        <v>RA</v>
      </c>
      <c r="AS186">
        <f>_xlfn.XLOOKUP(A186,'SYS Allocations'!A:A,'SYS Allocations'!D:D)</f>
        <v>0</v>
      </c>
      <c r="AT186" t="str">
        <f>_xlfn.XLOOKUP(A186,'SYS Allocations'!A:A,'SYS Allocations'!E:E)</f>
        <v>AM</v>
      </c>
      <c r="AU186">
        <f>_xlfn.XLOOKUP(A186,'SYS Allocations'!A:A,'SYS Allocations'!F:F)</f>
        <v>0</v>
      </c>
      <c r="BA186" t="str">
        <f t="shared" si="128"/>
        <v>DDm125-33</v>
      </c>
    </row>
    <row r="187" spans="1:53">
      <c r="A187" s="35" t="s">
        <v>203</v>
      </c>
      <c r="B187" t="s">
        <v>372</v>
      </c>
      <c r="C187" t="s">
        <v>719</v>
      </c>
      <c r="D187" t="s">
        <v>313</v>
      </c>
      <c r="E187" t="s">
        <v>720</v>
      </c>
      <c r="F187" t="s">
        <v>321</v>
      </c>
      <c r="G187">
        <v>36.6</v>
      </c>
      <c r="H187">
        <v>32</v>
      </c>
      <c r="I187">
        <v>44</v>
      </c>
      <c r="J187">
        <v>2.3980000000000001</v>
      </c>
      <c r="K187" s="64">
        <v>45600</v>
      </c>
      <c r="L187">
        <v>49.468559999999997</v>
      </c>
      <c r="M187">
        <v>47.07056</v>
      </c>
      <c r="N187">
        <v>40.035699999999999</v>
      </c>
      <c r="O187">
        <v>37.637700000000002</v>
      </c>
      <c r="P187" t="s">
        <v>325</v>
      </c>
      <c r="Q187" t="s">
        <v>333</v>
      </c>
      <c r="R187" t="s">
        <v>347</v>
      </c>
      <c r="S187">
        <v>35.553600000000003</v>
      </c>
      <c r="T187">
        <v>33.1556</v>
      </c>
      <c r="U187" t="s">
        <v>339</v>
      </c>
      <c r="V187" t="s">
        <v>436</v>
      </c>
      <c r="W187">
        <v>67.5</v>
      </c>
      <c r="X187">
        <v>65.102000000000004</v>
      </c>
      <c r="Y187">
        <v>25</v>
      </c>
      <c r="Z187" t="s">
        <v>275</v>
      </c>
      <c r="AB187" s="77">
        <f t="shared" ref="AB187" si="155">M187-AA187</f>
        <v>47.07056</v>
      </c>
      <c r="AC187" s="77">
        <f t="shared" ref="AC187" si="156">O187-AA187</f>
        <v>37.637700000000002</v>
      </c>
      <c r="AD187" s="77">
        <f t="shared" ref="AD187" si="157">AB187/L187%</f>
        <v>95.152476643751115</v>
      </c>
      <c r="AE187" s="77">
        <f t="shared" ref="AE187" si="158">AC187/N187%</f>
        <v>94.010345766403503</v>
      </c>
      <c r="AF187" s="77">
        <f t="shared" ref="AF187" si="159">T187-AA187</f>
        <v>33.1556</v>
      </c>
      <c r="AG187" s="77">
        <f t="shared" ref="AG187" si="160">AF187/S187%</f>
        <v>93.25525403897214</v>
      </c>
      <c r="AH187" s="338"/>
      <c r="AI187" s="338"/>
      <c r="AJ187" s="338"/>
      <c r="AK187" s="338"/>
      <c r="AL187" s="338"/>
      <c r="AM187" s="338"/>
      <c r="AN187" t="str">
        <f t="shared" si="127"/>
        <v>Capped</v>
      </c>
      <c r="AO187" t="s">
        <v>395</v>
      </c>
      <c r="AP187" t="str">
        <f t="shared" si="129"/>
        <v>DDm125-33</v>
      </c>
      <c r="AQ187">
        <f>_xlfn.XLOOKUP(A187,'SYS Allocations'!A:A,'SYS Allocations'!B:B)</f>
        <v>0</v>
      </c>
      <c r="AR187">
        <f>_xlfn.XLOOKUP(A187,'SYS Allocations'!A:A,'SYS Allocations'!C:C)</f>
        <v>0</v>
      </c>
      <c r="AS187">
        <f>_xlfn.XLOOKUP(A187,'SYS Allocations'!A:A,'SYS Allocations'!D:D)</f>
        <v>0</v>
      </c>
      <c r="AT187">
        <f>_xlfn.XLOOKUP(A187,'SYS Allocations'!A:A,'SYS Allocations'!E:E)</f>
        <v>0</v>
      </c>
      <c r="AU187">
        <f>_xlfn.XLOOKUP(A187,'SYS Allocations'!A:A,'SYS Allocations'!F:F)</f>
        <v>0</v>
      </c>
      <c r="BA187" t="str">
        <f t="shared" si="128"/>
        <v>DDm125-33</v>
      </c>
    </row>
    <row r="188" spans="1:53">
      <c r="A188" s="35" t="s">
        <v>204</v>
      </c>
      <c r="B188" t="s">
        <v>328</v>
      </c>
      <c r="C188" t="s">
        <v>721</v>
      </c>
      <c r="D188" t="s">
        <v>319</v>
      </c>
      <c r="E188" t="s">
        <v>722</v>
      </c>
      <c r="F188" t="s">
        <v>560</v>
      </c>
      <c r="G188">
        <v>37.5</v>
      </c>
      <c r="H188">
        <v>4</v>
      </c>
      <c r="I188">
        <v>23</v>
      </c>
      <c r="J188">
        <v>1.2535000000000001</v>
      </c>
      <c r="K188" s="64">
        <v>44564.597222222197</v>
      </c>
      <c r="L188">
        <v>4.9050000000000002</v>
      </c>
      <c r="M188">
        <v>3.6515</v>
      </c>
      <c r="N188">
        <v>3.1228500000000001</v>
      </c>
      <c r="O188">
        <v>1.8693500000000001</v>
      </c>
      <c r="P188" t="s">
        <v>375</v>
      </c>
      <c r="Q188" t="s">
        <v>354</v>
      </c>
      <c r="R188" t="s">
        <v>723</v>
      </c>
      <c r="S188">
        <v>5.1062399999999997</v>
      </c>
      <c r="T188">
        <v>3.8527399999999998</v>
      </c>
      <c r="U188" t="s">
        <v>325</v>
      </c>
      <c r="V188" t="s">
        <v>356</v>
      </c>
      <c r="W188">
        <v>5.0250000000000004</v>
      </c>
      <c r="X188">
        <v>3.7715000000000001</v>
      </c>
      <c r="Y188">
        <v>7</v>
      </c>
      <c r="AB188" s="77">
        <f t="shared" si="130"/>
        <v>3.6515</v>
      </c>
      <c r="AC188" s="77">
        <f t="shared" si="131"/>
        <v>1.8693500000000001</v>
      </c>
      <c r="AD188" s="77">
        <f t="shared" si="132"/>
        <v>74.444444444444443</v>
      </c>
      <c r="AE188" s="77">
        <f t="shared" si="133"/>
        <v>59.860383944153575</v>
      </c>
      <c r="AF188" s="77">
        <f t="shared" si="134"/>
        <v>3.8527399999999998</v>
      </c>
      <c r="AG188" s="77">
        <f t="shared" si="135"/>
        <v>75.451604311587403</v>
      </c>
      <c r="AH188" s="77">
        <f t="shared" si="136"/>
        <v>5.0250000000000004</v>
      </c>
      <c r="AI188" s="77">
        <f t="shared" si="137"/>
        <v>1.2535000000000001</v>
      </c>
      <c r="AJ188" s="77">
        <f t="shared" si="138"/>
        <v>3.7715000000000005</v>
      </c>
      <c r="AK188" s="77">
        <f t="shared" si="139"/>
        <v>0</v>
      </c>
      <c r="AL188" s="77">
        <f t="shared" si="140"/>
        <v>3.7715000000000005</v>
      </c>
      <c r="AM188" s="77">
        <f t="shared" si="141"/>
        <v>75.054726368159209</v>
      </c>
      <c r="AN188" t="str">
        <f t="shared" si="127"/>
        <v/>
      </c>
      <c r="AO188" t="s">
        <v>327</v>
      </c>
      <c r="AP188" t="str">
        <f t="shared" si="129"/>
        <v>12V92F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8"/>
        <v>12V92F</v>
      </c>
    </row>
    <row r="189" spans="1:53">
      <c r="A189" s="35" t="s">
        <v>205</v>
      </c>
      <c r="B189" t="s">
        <v>344</v>
      </c>
      <c r="C189" t="s">
        <v>344</v>
      </c>
      <c r="D189" t="s">
        <v>319</v>
      </c>
      <c r="E189" t="s">
        <v>724</v>
      </c>
      <c r="F189" t="s">
        <v>321</v>
      </c>
      <c r="G189">
        <v>36.6</v>
      </c>
      <c r="H189">
        <v>15</v>
      </c>
      <c r="I189">
        <v>257</v>
      </c>
      <c r="J189">
        <v>14.006500000000001</v>
      </c>
      <c r="K189" s="64">
        <v>44531</v>
      </c>
      <c r="L189">
        <v>22.34064</v>
      </c>
      <c r="M189">
        <v>8.3341399999999997</v>
      </c>
      <c r="N189">
        <v>18.933299999999999</v>
      </c>
      <c r="O189">
        <v>4.9268000000000001</v>
      </c>
      <c r="P189" t="s">
        <v>348</v>
      </c>
      <c r="Q189" t="s">
        <v>333</v>
      </c>
      <c r="R189" t="s">
        <v>533</v>
      </c>
      <c r="S189">
        <v>42.863039999999998</v>
      </c>
      <c r="T189">
        <v>28.856539999999999</v>
      </c>
      <c r="U189" t="s">
        <v>325</v>
      </c>
      <c r="V189" t="s">
        <v>401</v>
      </c>
      <c r="W189">
        <v>37.5</v>
      </c>
      <c r="X189">
        <v>23.493500000000001</v>
      </c>
      <c r="Y189">
        <v>5</v>
      </c>
      <c r="AB189" s="77">
        <f t="shared" si="130"/>
        <v>8.3341399999999997</v>
      </c>
      <c r="AC189" s="77">
        <f t="shared" si="131"/>
        <v>4.9268000000000001</v>
      </c>
      <c r="AD189" s="77">
        <f t="shared" si="132"/>
        <v>37.304839968774395</v>
      </c>
      <c r="AE189" s="77">
        <f t="shared" si="133"/>
        <v>26.021876799078871</v>
      </c>
      <c r="AF189" s="77">
        <f t="shared" si="134"/>
        <v>28.856539999999999</v>
      </c>
      <c r="AG189" s="77">
        <f t="shared" si="135"/>
        <v>67.322663068228479</v>
      </c>
      <c r="AH189" s="77">
        <f t="shared" si="136"/>
        <v>37.5</v>
      </c>
      <c r="AI189" s="77">
        <f t="shared" si="137"/>
        <v>14.006500000000001</v>
      </c>
      <c r="AJ189" s="77">
        <f t="shared" si="138"/>
        <v>23.493499999999997</v>
      </c>
      <c r="AK189" s="77">
        <f t="shared" si="139"/>
        <v>0</v>
      </c>
      <c r="AL189" s="77">
        <f t="shared" si="140"/>
        <v>23.493499999999997</v>
      </c>
      <c r="AM189" s="77">
        <f t="shared" si="141"/>
        <v>62.649333333333324</v>
      </c>
      <c r="AN189" t="str">
        <f t="shared" si="127"/>
        <v/>
      </c>
      <c r="AO189" t="s">
        <v>327</v>
      </c>
      <c r="AP189" t="str">
        <f t="shared" si="129"/>
        <v>SBS XL 150F-FT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8"/>
        <v xml:space="preserve">SBS XL 150F-FT </v>
      </c>
    </row>
    <row r="190" spans="1:53">
      <c r="A190" s="35" t="s">
        <v>206</v>
      </c>
      <c r="B190" t="s">
        <v>317</v>
      </c>
      <c r="C190" t="s">
        <v>725</v>
      </c>
      <c r="D190" t="s">
        <v>392</v>
      </c>
      <c r="E190" t="s">
        <v>726</v>
      </c>
      <c r="F190" t="s">
        <v>321</v>
      </c>
      <c r="G190">
        <v>36.6</v>
      </c>
      <c r="H190">
        <v>26</v>
      </c>
      <c r="I190">
        <v>379</v>
      </c>
      <c r="J190">
        <v>20.6555</v>
      </c>
      <c r="K190" s="64">
        <v>44782</v>
      </c>
      <c r="L190">
        <v>39.893999999999998</v>
      </c>
      <c r="M190">
        <v>19.238499999999998</v>
      </c>
      <c r="N190">
        <v>33.1905</v>
      </c>
      <c r="O190">
        <v>12.535</v>
      </c>
      <c r="P190" t="s">
        <v>322</v>
      </c>
      <c r="Q190" t="s">
        <v>333</v>
      </c>
      <c r="R190" t="s">
        <v>334</v>
      </c>
      <c r="S190">
        <v>26.1144</v>
      </c>
      <c r="T190">
        <v>5.4589000000000301</v>
      </c>
      <c r="U190" t="s">
        <v>322</v>
      </c>
      <c r="V190" t="s">
        <v>625</v>
      </c>
      <c r="W190">
        <v>60.75</v>
      </c>
      <c r="X190">
        <v>40.094499999999996</v>
      </c>
      <c r="Y190">
        <v>9</v>
      </c>
      <c r="Z190" t="s">
        <v>727</v>
      </c>
      <c r="AB190" s="77">
        <f t="shared" si="130"/>
        <v>19.238499999999998</v>
      </c>
      <c r="AC190" s="77">
        <f t="shared" si="131"/>
        <v>12.535</v>
      </c>
      <c r="AD190" s="77">
        <f t="shared" si="132"/>
        <v>48.224043715846996</v>
      </c>
      <c r="AE190" s="77">
        <f t="shared" si="133"/>
        <v>37.766830870279144</v>
      </c>
      <c r="AF190" s="77">
        <f t="shared" si="134"/>
        <v>5.4589000000000301</v>
      </c>
      <c r="AG190" s="77">
        <f t="shared" si="135"/>
        <v>20.903792543577605</v>
      </c>
      <c r="AH190" s="77">
        <f t="shared" si="136"/>
        <v>60.75</v>
      </c>
      <c r="AI190" s="77">
        <f t="shared" si="137"/>
        <v>20.6555</v>
      </c>
      <c r="AJ190" s="77">
        <f t="shared" si="138"/>
        <v>40.094499999999996</v>
      </c>
      <c r="AK190" s="77">
        <f t="shared" si="139"/>
        <v>0</v>
      </c>
      <c r="AL190" s="77">
        <f t="shared" si="140"/>
        <v>40.094499999999996</v>
      </c>
      <c r="AM190" s="77">
        <f t="shared" si="141"/>
        <v>65.999176954732505</v>
      </c>
      <c r="AN190" t="str">
        <f t="shared" si="127"/>
        <v>Capped</v>
      </c>
      <c r="AO190" t="s">
        <v>327</v>
      </c>
      <c r="AP190" t="str">
        <f t="shared" si="129"/>
        <v>DDm85-25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8"/>
        <v>DDm85-25</v>
      </c>
    </row>
    <row r="191" spans="1:53">
      <c r="A191" s="35" t="s">
        <v>207</v>
      </c>
      <c r="B191" t="s">
        <v>328</v>
      </c>
      <c r="C191" t="s">
        <v>728</v>
      </c>
      <c r="D191" t="s">
        <v>319</v>
      </c>
      <c r="E191" t="s">
        <v>729</v>
      </c>
      <c r="F191" t="s">
        <v>337</v>
      </c>
      <c r="G191">
        <v>31</v>
      </c>
      <c r="H191">
        <v>11</v>
      </c>
      <c r="I191">
        <v>75</v>
      </c>
      <c r="J191">
        <v>4.0875000000000004</v>
      </c>
      <c r="K191" s="64">
        <v>45600</v>
      </c>
      <c r="L191">
        <v>13.516</v>
      </c>
      <c r="M191">
        <v>9.4284999999999997</v>
      </c>
      <c r="N191">
        <v>10.355</v>
      </c>
      <c r="O191">
        <v>6.2675000000000001</v>
      </c>
      <c r="P191" t="s">
        <v>430</v>
      </c>
      <c r="Q191" t="s">
        <v>333</v>
      </c>
      <c r="R191" t="s">
        <v>445</v>
      </c>
      <c r="S191">
        <v>10.7568</v>
      </c>
      <c r="T191">
        <v>6.66929999999999</v>
      </c>
      <c r="U191" t="s">
        <v>325</v>
      </c>
      <c r="V191" t="s">
        <v>442</v>
      </c>
      <c r="W191">
        <v>11.25</v>
      </c>
      <c r="X191">
        <v>7.1624999999999996</v>
      </c>
      <c r="Y191">
        <v>3</v>
      </c>
      <c r="AB191" s="77">
        <f t="shared" si="130"/>
        <v>9.4284999999999997</v>
      </c>
      <c r="AC191" s="77">
        <f t="shared" si="131"/>
        <v>6.2675000000000001</v>
      </c>
      <c r="AD191" s="77">
        <f t="shared" si="132"/>
        <v>69.758064516129025</v>
      </c>
      <c r="AE191" s="77">
        <f t="shared" si="133"/>
        <v>60.526315789473685</v>
      </c>
      <c r="AF191" s="77">
        <f t="shared" si="134"/>
        <v>6.66929999999999</v>
      </c>
      <c r="AG191" s="77">
        <f t="shared" si="135"/>
        <v>62.000780901383223</v>
      </c>
      <c r="AH191" s="77">
        <f t="shared" si="136"/>
        <v>11.25</v>
      </c>
      <c r="AI191" s="77">
        <f t="shared" si="137"/>
        <v>4.0875000000000004</v>
      </c>
      <c r="AJ191" s="77">
        <f t="shared" si="138"/>
        <v>7.1624999999999996</v>
      </c>
      <c r="AK191" s="77">
        <f t="shared" si="139"/>
        <v>0</v>
      </c>
      <c r="AL191" s="77">
        <f t="shared" si="140"/>
        <v>7.1624999999999996</v>
      </c>
      <c r="AM191" s="77">
        <f t="shared" si="141"/>
        <v>63.666666666666664</v>
      </c>
      <c r="AN191" t="str">
        <f t="shared" si="127"/>
        <v/>
      </c>
      <c r="AO191" t="s">
        <v>327</v>
      </c>
      <c r="AP191" t="str">
        <f t="shared" si="129"/>
        <v>12V101F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8"/>
        <v xml:space="preserve">12V101F </v>
      </c>
    </row>
    <row r="192" spans="1:53">
      <c r="A192" s="35" t="s">
        <v>208</v>
      </c>
      <c r="B192" t="s">
        <v>437</v>
      </c>
      <c r="C192" t="s">
        <v>730</v>
      </c>
      <c r="D192" t="s">
        <v>319</v>
      </c>
      <c r="E192" t="s">
        <v>731</v>
      </c>
      <c r="F192" t="s">
        <v>321</v>
      </c>
      <c r="G192">
        <v>36.6</v>
      </c>
      <c r="H192">
        <v>12</v>
      </c>
      <c r="I192">
        <v>124</v>
      </c>
      <c r="J192">
        <v>6.758</v>
      </c>
      <c r="K192" s="64">
        <v>44992</v>
      </c>
      <c r="L192">
        <v>17.553360000000001</v>
      </c>
      <c r="M192">
        <v>10.795360000000001</v>
      </c>
      <c r="N192">
        <v>11.281499182499999</v>
      </c>
      <c r="O192">
        <v>4.5234991825000002</v>
      </c>
      <c r="P192" t="s">
        <v>322</v>
      </c>
      <c r="Q192" t="s">
        <v>333</v>
      </c>
      <c r="R192" t="s">
        <v>732</v>
      </c>
      <c r="S192">
        <v>17.755199999999999</v>
      </c>
      <c r="T192">
        <v>10.997199999999999</v>
      </c>
      <c r="U192" t="s">
        <v>322</v>
      </c>
      <c r="V192" t="s">
        <v>602</v>
      </c>
      <c r="W192">
        <v>12</v>
      </c>
      <c r="X192">
        <v>5.242</v>
      </c>
      <c r="Y192">
        <v>1</v>
      </c>
      <c r="AB192" s="77">
        <f t="shared" si="130"/>
        <v>10.795360000000001</v>
      </c>
      <c r="AC192" s="77">
        <f t="shared" si="131"/>
        <v>4.5234991825000002</v>
      </c>
      <c r="AD192" s="77">
        <f t="shared" si="132"/>
        <v>61.500248385494288</v>
      </c>
      <c r="AE192" s="77">
        <f t="shared" si="133"/>
        <v>40.096614016662855</v>
      </c>
      <c r="AF192" s="77">
        <f t="shared" si="134"/>
        <v>10.997199999999999</v>
      </c>
      <c r="AG192" s="77">
        <f t="shared" si="135"/>
        <v>61.937911147156889</v>
      </c>
      <c r="AH192" s="77">
        <f t="shared" si="136"/>
        <v>12</v>
      </c>
      <c r="AI192" s="77">
        <f t="shared" si="137"/>
        <v>6.758</v>
      </c>
      <c r="AJ192" s="77">
        <f t="shared" si="138"/>
        <v>5.242</v>
      </c>
      <c r="AK192" s="77">
        <f t="shared" si="139"/>
        <v>0</v>
      </c>
      <c r="AL192" s="77">
        <f t="shared" si="140"/>
        <v>5.242</v>
      </c>
      <c r="AM192" s="77">
        <f t="shared" si="141"/>
        <v>43.683333333333337</v>
      </c>
      <c r="AN192" t="str">
        <f t="shared" si="127"/>
        <v/>
      </c>
      <c r="AO192" t="s">
        <v>327</v>
      </c>
      <c r="AP192" t="str">
        <f t="shared" si="129"/>
        <v>2CP650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8"/>
        <v>2CP650</v>
      </c>
    </row>
    <row r="193" spans="1:53">
      <c r="A193" s="35" t="s">
        <v>209</v>
      </c>
      <c r="B193" t="s">
        <v>437</v>
      </c>
      <c r="C193" t="s">
        <v>730</v>
      </c>
      <c r="D193" t="s">
        <v>319</v>
      </c>
      <c r="E193" t="s">
        <v>733</v>
      </c>
      <c r="F193" t="s">
        <v>321</v>
      </c>
      <c r="G193">
        <v>36.6</v>
      </c>
      <c r="H193">
        <v>35</v>
      </c>
      <c r="I193">
        <v>318</v>
      </c>
      <c r="J193">
        <v>17.331</v>
      </c>
      <c r="K193" s="64">
        <v>45600</v>
      </c>
      <c r="L193">
        <v>54.255839999999999</v>
      </c>
      <c r="M193">
        <v>36.924840000000003</v>
      </c>
      <c r="N193">
        <v>35.119799999999998</v>
      </c>
      <c r="O193">
        <v>17.788799999999998</v>
      </c>
      <c r="P193" t="s">
        <v>322</v>
      </c>
      <c r="Q193" t="s">
        <v>333</v>
      </c>
      <c r="R193" t="s">
        <v>347</v>
      </c>
      <c r="S193">
        <v>53.330399999999997</v>
      </c>
      <c r="T193">
        <v>35.999400000000001</v>
      </c>
      <c r="U193" t="s">
        <v>322</v>
      </c>
      <c r="V193" t="s">
        <v>343</v>
      </c>
      <c r="W193">
        <v>45</v>
      </c>
      <c r="X193">
        <v>27.669</v>
      </c>
      <c r="Y193">
        <v>278</v>
      </c>
      <c r="AB193" s="77">
        <f t="shared" si="130"/>
        <v>36.924840000000003</v>
      </c>
      <c r="AC193" s="77">
        <f t="shared" si="131"/>
        <v>17.788799999999998</v>
      </c>
      <c r="AD193" s="77">
        <f t="shared" si="132"/>
        <v>68.056894889103191</v>
      </c>
      <c r="AE193" s="77">
        <f t="shared" si="133"/>
        <v>50.651769087523277</v>
      </c>
      <c r="AF193" s="77">
        <f t="shared" si="134"/>
        <v>35.999400000000001</v>
      </c>
      <c r="AG193" s="77">
        <f t="shared" si="135"/>
        <v>67.502587642320336</v>
      </c>
      <c r="AH193" s="77">
        <f t="shared" si="136"/>
        <v>45</v>
      </c>
      <c r="AI193" s="77">
        <f t="shared" si="137"/>
        <v>17.331</v>
      </c>
      <c r="AJ193" s="77">
        <f t="shared" si="138"/>
        <v>27.669</v>
      </c>
      <c r="AK193" s="77">
        <f t="shared" si="139"/>
        <v>0</v>
      </c>
      <c r="AL193" s="77">
        <f t="shared" si="140"/>
        <v>27.669</v>
      </c>
      <c r="AM193" s="77">
        <f t="shared" si="141"/>
        <v>61.486666666666665</v>
      </c>
      <c r="AN193" t="str">
        <f t="shared" si="127"/>
        <v/>
      </c>
      <c r="AO193" t="s">
        <v>327</v>
      </c>
      <c r="AP193" t="str">
        <f t="shared" si="129"/>
        <v>DDm125-33</v>
      </c>
      <c r="AQ193">
        <f>_xlfn.XLOOKUP(A193,'SYS Allocations'!A:A,'SYS Allocations'!B:B)</f>
        <v>0</v>
      </c>
      <c r="AR193" t="str">
        <f>_xlfn.XLOOKUP(A193,'SYS Allocations'!A:A,'SYS Allocations'!C:C)</f>
        <v>RA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8"/>
        <v>DDm125-33</v>
      </c>
    </row>
    <row r="194" spans="1:53">
      <c r="A194" s="35" t="s">
        <v>210</v>
      </c>
      <c r="B194" t="s">
        <v>377</v>
      </c>
      <c r="C194" t="s">
        <v>734</v>
      </c>
      <c r="D194" t="s">
        <v>319</v>
      </c>
      <c r="E194" t="s">
        <v>735</v>
      </c>
      <c r="F194" t="s">
        <v>736</v>
      </c>
      <c r="G194">
        <v>50</v>
      </c>
      <c r="H194">
        <v>4</v>
      </c>
      <c r="I194">
        <v>25</v>
      </c>
      <c r="J194">
        <v>1.3625</v>
      </c>
      <c r="K194" s="64">
        <v>44490.666666666701</v>
      </c>
      <c r="L194">
        <v>6.54</v>
      </c>
      <c r="M194">
        <v>5.1775000000000002</v>
      </c>
      <c r="N194">
        <v>5.9950000000000001</v>
      </c>
      <c r="O194">
        <v>4.6325000000000003</v>
      </c>
      <c r="P194" t="s">
        <v>339</v>
      </c>
      <c r="Q194" t="s">
        <v>333</v>
      </c>
      <c r="R194" t="s">
        <v>445</v>
      </c>
      <c r="S194">
        <v>3.5855999999999999</v>
      </c>
      <c r="T194">
        <v>2.2231000000000001</v>
      </c>
      <c r="U194" t="s">
        <v>325</v>
      </c>
      <c r="V194" t="s">
        <v>326</v>
      </c>
      <c r="W194">
        <v>7.5</v>
      </c>
      <c r="X194">
        <v>6.1375000000000002</v>
      </c>
      <c r="Y194">
        <v>3</v>
      </c>
      <c r="AB194" s="77">
        <f t="shared" si="130"/>
        <v>5.1775000000000002</v>
      </c>
      <c r="AC194" s="77">
        <f t="shared" si="131"/>
        <v>4.6325000000000003</v>
      </c>
      <c r="AD194" s="77">
        <f t="shared" si="132"/>
        <v>79.166666666666671</v>
      </c>
      <c r="AE194" s="77">
        <f t="shared" si="133"/>
        <v>77.272727272727266</v>
      </c>
      <c r="AF194" s="77">
        <f t="shared" si="134"/>
        <v>2.2231000000000001</v>
      </c>
      <c r="AG194" s="77">
        <f t="shared" si="135"/>
        <v>62.000780901383315</v>
      </c>
      <c r="AH194" s="337">
        <f>AVERAGE(W194:W195)</f>
        <v>7.5</v>
      </c>
      <c r="AI194" s="337">
        <f>SUM(J194:J195)</f>
        <v>3.4880000000000004</v>
      </c>
      <c r="AJ194" s="337">
        <f t="shared" si="138"/>
        <v>4.0119999999999996</v>
      </c>
      <c r="AK194" s="337">
        <f>SUM(AA194:AA195)</f>
        <v>0</v>
      </c>
      <c r="AL194" s="337">
        <f t="shared" si="140"/>
        <v>4.0119999999999996</v>
      </c>
      <c r="AM194" s="338">
        <f t="shared" si="141"/>
        <v>53.493333333333332</v>
      </c>
      <c r="AN194" t="str">
        <f t="shared" si="127"/>
        <v/>
      </c>
      <c r="AO194" t="s">
        <v>395</v>
      </c>
      <c r="AP194" t="str">
        <f t="shared" si="129"/>
        <v>12V101F</v>
      </c>
      <c r="AQ194">
        <f>_xlfn.XLOOKUP(A194,'SYS Allocations'!A:A,'SYS Allocations'!B:B)</f>
        <v>0</v>
      </c>
      <c r="AR194">
        <f>_xlfn.XLOOKUP(A194,'SYS Allocations'!A:A,'SYS Allocations'!C:C)</f>
        <v>0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8"/>
        <v xml:space="preserve">12V101F </v>
      </c>
    </row>
    <row r="195" spans="1:53">
      <c r="A195" s="35" t="s">
        <v>211</v>
      </c>
      <c r="B195" t="s">
        <v>377</v>
      </c>
      <c r="C195" t="s">
        <v>734</v>
      </c>
      <c r="D195" t="s">
        <v>319</v>
      </c>
      <c r="E195" t="s">
        <v>735</v>
      </c>
      <c r="F195" t="s">
        <v>736</v>
      </c>
      <c r="G195">
        <v>50</v>
      </c>
      <c r="H195">
        <v>4</v>
      </c>
      <c r="I195">
        <v>39</v>
      </c>
      <c r="J195">
        <v>2.1255000000000002</v>
      </c>
      <c r="K195" s="64">
        <v>44490.708333333299</v>
      </c>
      <c r="L195">
        <v>6.54</v>
      </c>
      <c r="M195">
        <v>4.4145000000000003</v>
      </c>
      <c r="N195">
        <v>6.431</v>
      </c>
      <c r="O195">
        <v>4.3055000000000003</v>
      </c>
      <c r="P195" t="s">
        <v>339</v>
      </c>
      <c r="Q195" t="s">
        <v>354</v>
      </c>
      <c r="R195" t="s">
        <v>450</v>
      </c>
      <c r="S195">
        <v>3.9052799999999999</v>
      </c>
      <c r="T195">
        <v>1.7797799999999999</v>
      </c>
      <c r="U195" t="s">
        <v>325</v>
      </c>
      <c r="V195" t="s">
        <v>326</v>
      </c>
      <c r="W195">
        <v>7.5</v>
      </c>
      <c r="X195">
        <v>5.3745000000000003</v>
      </c>
      <c r="Y195">
        <v>3</v>
      </c>
      <c r="AB195" s="77">
        <f t="shared" si="130"/>
        <v>4.4145000000000003</v>
      </c>
      <c r="AC195" s="77">
        <f t="shared" si="131"/>
        <v>4.3055000000000003</v>
      </c>
      <c r="AD195" s="77">
        <f t="shared" si="132"/>
        <v>67.5</v>
      </c>
      <c r="AE195" s="77">
        <f t="shared" si="133"/>
        <v>66.949152542372886</v>
      </c>
      <c r="AF195" s="77">
        <f t="shared" si="134"/>
        <v>1.7797799999999999</v>
      </c>
      <c r="AG195" s="77">
        <f t="shared" si="135"/>
        <v>45.573684857423792</v>
      </c>
      <c r="AH195" s="337"/>
      <c r="AI195" s="337"/>
      <c r="AJ195" s="337"/>
      <c r="AK195" s="337"/>
      <c r="AL195" s="337"/>
      <c r="AM195" s="338"/>
      <c r="AN195" t="str">
        <f t="shared" si="127"/>
        <v/>
      </c>
      <c r="AO195" t="s">
        <v>395</v>
      </c>
      <c r="AP195" t="str">
        <f t="shared" si="129"/>
        <v>12V100F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8"/>
        <v>12V100F</v>
      </c>
    </row>
    <row r="196" spans="1:53">
      <c r="A196" s="35" t="s">
        <v>212</v>
      </c>
      <c r="B196" t="s">
        <v>357</v>
      </c>
      <c r="C196" t="s">
        <v>737</v>
      </c>
      <c r="D196" t="s">
        <v>319</v>
      </c>
      <c r="E196" t="s">
        <v>738</v>
      </c>
      <c r="F196" t="s">
        <v>321</v>
      </c>
      <c r="G196">
        <v>36.6</v>
      </c>
      <c r="H196">
        <v>23</v>
      </c>
      <c r="I196">
        <v>233</v>
      </c>
      <c r="J196">
        <v>12.698499999999999</v>
      </c>
      <c r="K196" s="64">
        <v>44895</v>
      </c>
      <c r="L196">
        <v>35.106720000000003</v>
      </c>
      <c r="M196">
        <v>22.40822</v>
      </c>
      <c r="N196">
        <v>22.083400000000001</v>
      </c>
      <c r="O196">
        <v>9.3849</v>
      </c>
      <c r="P196" t="s">
        <v>325</v>
      </c>
      <c r="Q196" t="s">
        <v>333</v>
      </c>
      <c r="R196" t="s">
        <v>347</v>
      </c>
      <c r="S196">
        <v>35.553600000000003</v>
      </c>
      <c r="T196">
        <v>22.8551</v>
      </c>
      <c r="U196" t="s">
        <v>380</v>
      </c>
      <c r="V196" t="s">
        <v>340</v>
      </c>
      <c r="W196">
        <v>33.75</v>
      </c>
      <c r="X196">
        <v>21.051500000000001</v>
      </c>
      <c r="Y196">
        <v>17</v>
      </c>
      <c r="AB196" s="77">
        <f t="shared" si="130"/>
        <v>22.40822</v>
      </c>
      <c r="AC196" s="77">
        <f t="shared" si="131"/>
        <v>9.3849</v>
      </c>
      <c r="AD196" s="77">
        <f t="shared" si="132"/>
        <v>63.828862394436158</v>
      </c>
      <c r="AE196" s="77">
        <f t="shared" si="133"/>
        <v>42.497532082922014</v>
      </c>
      <c r="AF196" s="77">
        <f t="shared" si="134"/>
        <v>22.8551</v>
      </c>
      <c r="AG196" s="77">
        <f t="shared" si="135"/>
        <v>64.283504342738851</v>
      </c>
      <c r="AH196" s="77">
        <f t="shared" si="136"/>
        <v>33.75</v>
      </c>
      <c r="AI196" s="77">
        <f t="shared" si="137"/>
        <v>12.698499999999999</v>
      </c>
      <c r="AJ196" s="77">
        <f t="shared" si="138"/>
        <v>21.051500000000001</v>
      </c>
      <c r="AK196" s="77">
        <f t="shared" si="139"/>
        <v>0</v>
      </c>
      <c r="AL196" s="77">
        <f t="shared" si="140"/>
        <v>21.051500000000001</v>
      </c>
      <c r="AM196" s="77">
        <f t="shared" si="141"/>
        <v>62.374814814814812</v>
      </c>
      <c r="AN196" t="str">
        <f t="shared" si="127"/>
        <v/>
      </c>
      <c r="AO196" t="s">
        <v>327</v>
      </c>
      <c r="AP196" t="str">
        <f t="shared" si="129"/>
        <v>DDm125-33</v>
      </c>
      <c r="AQ196">
        <f>_xlfn.XLOOKUP(A196,'SYS Allocations'!A:A,'SYS Allocations'!B:B)</f>
        <v>0</v>
      </c>
      <c r="AR196" t="str">
        <f>_xlfn.XLOOKUP(A196,'SYS Allocations'!A:A,'SYS Allocations'!C:C)</f>
        <v>RA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8"/>
        <v>DDm125-33</v>
      </c>
    </row>
    <row r="197" spans="1:53">
      <c r="A197" s="35" t="s">
        <v>213</v>
      </c>
      <c r="B197" t="s">
        <v>363</v>
      </c>
      <c r="C197" t="s">
        <v>739</v>
      </c>
      <c r="D197" t="s">
        <v>319</v>
      </c>
      <c r="E197" t="s">
        <v>740</v>
      </c>
      <c r="F197" t="s">
        <v>384</v>
      </c>
      <c r="G197">
        <v>55</v>
      </c>
      <c r="H197">
        <v>25</v>
      </c>
      <c r="I197">
        <v>424</v>
      </c>
      <c r="J197">
        <v>23.108000000000001</v>
      </c>
      <c r="K197" s="64">
        <v>44428.375</v>
      </c>
      <c r="L197">
        <v>57.552</v>
      </c>
      <c r="M197">
        <v>34.444000000000003</v>
      </c>
      <c r="N197">
        <v>39.24</v>
      </c>
      <c r="O197">
        <v>16.132000000000001</v>
      </c>
      <c r="P197" t="s">
        <v>322</v>
      </c>
      <c r="Q197" t="s">
        <v>333</v>
      </c>
      <c r="R197" t="s">
        <v>347</v>
      </c>
      <c r="S197">
        <v>53.330399999999997</v>
      </c>
      <c r="T197">
        <v>30.2224</v>
      </c>
      <c r="U197" t="s">
        <v>322</v>
      </c>
      <c r="V197" t="s">
        <v>741</v>
      </c>
      <c r="W197">
        <v>31.5</v>
      </c>
      <c r="X197">
        <v>8.3919999999999995</v>
      </c>
      <c r="Y197">
        <v>34</v>
      </c>
      <c r="AB197" s="77">
        <f t="shared" ref="AB197" si="161">M197-AA197</f>
        <v>34.444000000000003</v>
      </c>
      <c r="AC197" s="77">
        <f t="shared" ref="AC197" si="162">O197-AA197</f>
        <v>16.132000000000001</v>
      </c>
      <c r="AD197" s="77">
        <f t="shared" ref="AD197" si="163">AB197/L197%</f>
        <v>59.848484848484851</v>
      </c>
      <c r="AE197" s="77">
        <f t="shared" ref="AE197" si="164">AC197/N197%</f>
        <v>41.111111111111114</v>
      </c>
      <c r="AF197" s="77">
        <f t="shared" ref="AF197" si="165">T197-AA197</f>
        <v>30.2224</v>
      </c>
      <c r="AG197" s="77">
        <f t="shared" ref="AG197" si="166">AF197/S197%</f>
        <v>56.670116856427107</v>
      </c>
      <c r="AH197" s="77">
        <f t="shared" ref="AH197" si="167">W197</f>
        <v>31.5</v>
      </c>
      <c r="AI197" s="77">
        <f t="shared" ref="AI197" si="168">J197</f>
        <v>23.108000000000001</v>
      </c>
      <c r="AJ197" s="77">
        <f t="shared" ref="AJ197" si="169">AH197-AI197</f>
        <v>8.3919999999999995</v>
      </c>
      <c r="AK197" s="77">
        <f t="shared" ref="AK197" si="170">AA197</f>
        <v>0</v>
      </c>
      <c r="AL197" s="77">
        <f t="shared" ref="AL197" si="171">AJ197-AK197</f>
        <v>8.3919999999999995</v>
      </c>
      <c r="AM197" s="77">
        <f t="shared" ref="AM197" si="172">AL197/AH197%</f>
        <v>26.641269841269839</v>
      </c>
      <c r="AN197" t="str">
        <f t="shared" si="127"/>
        <v/>
      </c>
      <c r="AO197" t="s">
        <v>327</v>
      </c>
      <c r="AP197" t="str">
        <f t="shared" si="129"/>
        <v>DDm125-33</v>
      </c>
      <c r="AQ197">
        <f>_xlfn.XLOOKUP(A197,'SYS Allocations'!A:A,'SYS Allocations'!B:B)</f>
        <v>0</v>
      </c>
      <c r="AR197">
        <f>_xlfn.XLOOKUP(A197,'SYS Allocations'!A:A,'SYS Allocations'!C:C)</f>
        <v>0</v>
      </c>
      <c r="AS197">
        <f>_xlfn.XLOOKUP(A197,'SYS Allocations'!A:A,'SYS Allocations'!D:D)</f>
        <v>0</v>
      </c>
      <c r="AT197" t="str">
        <f>_xlfn.XLOOKUP(A197,'SYS Allocations'!A:A,'SYS Allocations'!E:E)</f>
        <v>AM</v>
      </c>
      <c r="AU197">
        <f>_xlfn.XLOOKUP(A197,'SYS Allocations'!A:A,'SYS Allocations'!F:F)</f>
        <v>0</v>
      </c>
      <c r="BA197" t="str">
        <f t="shared" si="128"/>
        <v>DDm125-33</v>
      </c>
    </row>
    <row r="198" spans="1:53">
      <c r="A198" s="35" t="s">
        <v>214</v>
      </c>
      <c r="B198" t="s">
        <v>363</v>
      </c>
      <c r="C198" t="s">
        <v>739</v>
      </c>
      <c r="D198" t="s">
        <v>319</v>
      </c>
      <c r="E198" t="s">
        <v>742</v>
      </c>
      <c r="F198" t="s">
        <v>332</v>
      </c>
      <c r="G198">
        <v>75</v>
      </c>
      <c r="H198">
        <v>12</v>
      </c>
      <c r="I198">
        <v>225</v>
      </c>
      <c r="J198">
        <v>12.262499999999999</v>
      </c>
      <c r="K198" s="64">
        <v>45014</v>
      </c>
      <c r="L198">
        <v>35.97</v>
      </c>
      <c r="M198">
        <v>23.7075</v>
      </c>
      <c r="N198">
        <v>32.917999999999999</v>
      </c>
      <c r="O198">
        <v>20.6555</v>
      </c>
      <c r="P198" t="s">
        <v>325</v>
      </c>
      <c r="Q198" t="s">
        <v>333</v>
      </c>
      <c r="R198" t="s">
        <v>605</v>
      </c>
      <c r="S198">
        <v>18.792000000000002</v>
      </c>
      <c r="T198">
        <v>6.5294999999999899</v>
      </c>
      <c r="U198" t="s">
        <v>446</v>
      </c>
      <c r="V198" t="s">
        <v>743</v>
      </c>
      <c r="W198">
        <v>36</v>
      </c>
      <c r="X198">
        <v>23.737500000000001</v>
      </c>
      <c r="Y198">
        <v>27</v>
      </c>
      <c r="AB198" s="77">
        <f t="shared" si="130"/>
        <v>23.7075</v>
      </c>
      <c r="AC198" s="77">
        <f t="shared" si="131"/>
        <v>20.6555</v>
      </c>
      <c r="AD198" s="77">
        <f t="shared" si="132"/>
        <v>65.909090909090921</v>
      </c>
      <c r="AE198" s="77">
        <f t="shared" si="133"/>
        <v>62.748344370860934</v>
      </c>
      <c r="AF198" s="77">
        <f t="shared" si="134"/>
        <v>6.5294999999999899</v>
      </c>
      <c r="AG198" s="77">
        <f t="shared" si="135"/>
        <v>34.746168582375425</v>
      </c>
      <c r="AH198" s="77">
        <f t="shared" si="136"/>
        <v>36</v>
      </c>
      <c r="AI198" s="77">
        <f t="shared" si="137"/>
        <v>12.262499999999999</v>
      </c>
      <c r="AJ198" s="77">
        <f t="shared" si="138"/>
        <v>23.737500000000001</v>
      </c>
      <c r="AK198" s="77">
        <f t="shared" si="139"/>
        <v>0</v>
      </c>
      <c r="AL198" s="77">
        <f t="shared" si="140"/>
        <v>23.737500000000001</v>
      </c>
      <c r="AM198" s="77">
        <f t="shared" si="141"/>
        <v>65.9375</v>
      </c>
      <c r="AN198" t="str">
        <f t="shared" si="127"/>
        <v/>
      </c>
      <c r="AO198" t="s">
        <v>327</v>
      </c>
      <c r="AP198" t="str">
        <f t="shared" si="129"/>
        <v>DDm85-27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>
        <f>_xlfn.XLOOKUP(A198,'SYS Allocations'!A:A,'SYS Allocations'!E:E)</f>
        <v>0</v>
      </c>
      <c r="AU198">
        <f>_xlfn.XLOOKUP(A198,'SYS Allocations'!A:A,'SYS Allocations'!F:F)</f>
        <v>0</v>
      </c>
      <c r="BA198" t="str">
        <f t="shared" si="128"/>
        <v>DDm85-27</v>
      </c>
    </row>
    <row r="199" spans="1:53">
      <c r="A199" s="35" t="s">
        <v>215</v>
      </c>
      <c r="B199" t="s">
        <v>344</v>
      </c>
      <c r="C199" t="s">
        <v>744</v>
      </c>
      <c r="D199" t="s">
        <v>319</v>
      </c>
      <c r="E199" t="s">
        <v>745</v>
      </c>
      <c r="F199" t="s">
        <v>321</v>
      </c>
      <c r="G199">
        <v>36.6</v>
      </c>
      <c r="H199">
        <v>9</v>
      </c>
      <c r="I199">
        <v>39</v>
      </c>
      <c r="J199">
        <v>2.1255000000000002</v>
      </c>
      <c r="K199" s="64">
        <v>45600</v>
      </c>
      <c r="L199">
        <v>12.766080000000001</v>
      </c>
      <c r="M199">
        <v>10.64058</v>
      </c>
      <c r="N199">
        <v>9.4720999999999993</v>
      </c>
      <c r="O199">
        <v>7.3465999999999996</v>
      </c>
      <c r="P199" t="s">
        <v>325</v>
      </c>
      <c r="Q199" t="s">
        <v>333</v>
      </c>
      <c r="R199" t="s">
        <v>366</v>
      </c>
      <c r="S199">
        <v>10.1088</v>
      </c>
      <c r="T199">
        <v>7.9832999999999803</v>
      </c>
      <c r="U199" t="s">
        <v>325</v>
      </c>
      <c r="V199" t="s">
        <v>442</v>
      </c>
      <c r="W199">
        <v>11.25</v>
      </c>
      <c r="X199">
        <v>9.1244999999999994</v>
      </c>
      <c r="Y199">
        <v>35</v>
      </c>
      <c r="AB199" s="77">
        <f t="shared" si="130"/>
        <v>10.64058</v>
      </c>
      <c r="AC199" s="77">
        <f t="shared" si="131"/>
        <v>7.3465999999999996</v>
      </c>
      <c r="AD199" s="77">
        <f t="shared" si="132"/>
        <v>83.350409836065566</v>
      </c>
      <c r="AE199" s="77">
        <f t="shared" si="133"/>
        <v>77.560414269275029</v>
      </c>
      <c r="AF199" s="77">
        <f t="shared" si="134"/>
        <v>7.9832999999999803</v>
      </c>
      <c r="AG199" s="77">
        <f t="shared" si="135"/>
        <v>78.97376543209856</v>
      </c>
      <c r="AH199" s="77">
        <f t="shared" si="136"/>
        <v>11.25</v>
      </c>
      <c r="AI199" s="77">
        <f t="shared" si="137"/>
        <v>2.1255000000000002</v>
      </c>
      <c r="AJ199" s="77">
        <f t="shared" si="138"/>
        <v>9.1244999999999994</v>
      </c>
      <c r="AK199" s="77">
        <f t="shared" si="139"/>
        <v>0</v>
      </c>
      <c r="AL199" s="77">
        <f t="shared" si="140"/>
        <v>9.1244999999999994</v>
      </c>
      <c r="AM199" s="77">
        <f t="shared" si="141"/>
        <v>81.106666666666655</v>
      </c>
      <c r="AN199" t="str">
        <f t="shared" si="127"/>
        <v/>
      </c>
      <c r="AO199" t="s">
        <v>327</v>
      </c>
      <c r="AP199" t="str">
        <f t="shared" si="129"/>
        <v>2DDm85-15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8"/>
        <v>2DDm85-15</v>
      </c>
    </row>
    <row r="200" spans="1:53">
      <c r="A200" s="35" t="s">
        <v>216</v>
      </c>
      <c r="B200" t="s">
        <v>396</v>
      </c>
      <c r="C200" t="s">
        <v>746</v>
      </c>
      <c r="D200" t="s">
        <v>319</v>
      </c>
      <c r="E200" t="s">
        <v>747</v>
      </c>
      <c r="F200" t="s">
        <v>332</v>
      </c>
      <c r="G200">
        <v>75</v>
      </c>
      <c r="H200">
        <v>8</v>
      </c>
      <c r="I200">
        <v>150</v>
      </c>
      <c r="J200">
        <v>8.1750000000000007</v>
      </c>
      <c r="K200" s="64">
        <v>44698.5625</v>
      </c>
      <c r="L200">
        <v>22.89</v>
      </c>
      <c r="M200">
        <v>14.715</v>
      </c>
      <c r="N200">
        <v>22.126999999999999</v>
      </c>
      <c r="O200">
        <v>13.952</v>
      </c>
      <c r="P200" t="s">
        <v>325</v>
      </c>
      <c r="Q200" t="s">
        <v>333</v>
      </c>
      <c r="R200" t="s">
        <v>366</v>
      </c>
      <c r="S200">
        <v>10.1088</v>
      </c>
      <c r="T200">
        <v>1.93379999999998</v>
      </c>
      <c r="U200" t="s">
        <v>339</v>
      </c>
      <c r="V200" t="s">
        <v>436</v>
      </c>
      <c r="W200">
        <v>67.5</v>
      </c>
      <c r="X200">
        <v>59.325000000000003</v>
      </c>
      <c r="Y200">
        <v>84</v>
      </c>
      <c r="AB200" s="77">
        <f t="shared" si="130"/>
        <v>14.715</v>
      </c>
      <c r="AC200" s="77">
        <f t="shared" si="131"/>
        <v>13.952</v>
      </c>
      <c r="AD200" s="77">
        <f t="shared" si="132"/>
        <v>64.285714285714292</v>
      </c>
      <c r="AE200" s="77">
        <f t="shared" si="133"/>
        <v>63.054187192118228</v>
      </c>
      <c r="AF200" s="77">
        <f t="shared" si="134"/>
        <v>1.93379999999998</v>
      </c>
      <c r="AG200" s="77">
        <f t="shared" si="135"/>
        <v>19.129867046533512</v>
      </c>
      <c r="AH200" s="77">
        <f t="shared" si="136"/>
        <v>67.5</v>
      </c>
      <c r="AI200" s="77">
        <f t="shared" si="137"/>
        <v>8.1750000000000007</v>
      </c>
      <c r="AJ200" s="77">
        <f t="shared" si="138"/>
        <v>59.325000000000003</v>
      </c>
      <c r="AK200" s="77">
        <f t="shared" si="139"/>
        <v>0</v>
      </c>
      <c r="AL200" s="77">
        <f t="shared" si="140"/>
        <v>59.325000000000003</v>
      </c>
      <c r="AM200" s="77">
        <f t="shared" si="141"/>
        <v>87.888888888888886</v>
      </c>
      <c r="AN200" t="str">
        <f t="shared" ref="AN200:AN253" si="173">IF(ISBLANK(Z200),"","Capped")</f>
        <v/>
      </c>
      <c r="AO200" t="s">
        <v>327</v>
      </c>
      <c r="AP200" t="str">
        <f t="shared" si="129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8"/>
        <v>2DDm85-15</v>
      </c>
    </row>
    <row r="201" spans="1:53">
      <c r="A201" s="35" t="s">
        <v>217</v>
      </c>
      <c r="B201" t="s">
        <v>372</v>
      </c>
      <c r="C201" t="s">
        <v>748</v>
      </c>
      <c r="D201" t="s">
        <v>319</v>
      </c>
      <c r="E201" t="s">
        <v>749</v>
      </c>
      <c r="F201" t="s">
        <v>332</v>
      </c>
      <c r="G201">
        <v>75</v>
      </c>
      <c r="H201">
        <v>15</v>
      </c>
      <c r="I201">
        <v>340</v>
      </c>
      <c r="J201">
        <v>18.53</v>
      </c>
      <c r="K201" s="64">
        <v>45182</v>
      </c>
      <c r="L201">
        <v>45.78</v>
      </c>
      <c r="M201">
        <v>27.25</v>
      </c>
      <c r="N201">
        <v>22.344999999999999</v>
      </c>
      <c r="O201">
        <v>3.8149999999999999</v>
      </c>
      <c r="P201" t="s">
        <v>339</v>
      </c>
      <c r="Q201" t="s">
        <v>333</v>
      </c>
      <c r="R201" t="s">
        <v>405</v>
      </c>
      <c r="S201">
        <v>56.246400000000101</v>
      </c>
      <c r="T201">
        <v>37.7164000000001</v>
      </c>
      <c r="U201" t="s">
        <v>326</v>
      </c>
      <c r="V201" t="s">
        <v>750</v>
      </c>
      <c r="W201">
        <v>62.25</v>
      </c>
      <c r="X201">
        <v>43.72</v>
      </c>
      <c r="Y201">
        <v>6</v>
      </c>
      <c r="AB201" s="77">
        <f t="shared" si="130"/>
        <v>27.25</v>
      </c>
      <c r="AC201" s="77">
        <f t="shared" si="131"/>
        <v>3.8149999999999999</v>
      </c>
      <c r="AD201" s="77">
        <f t="shared" si="132"/>
        <v>59.523809523809526</v>
      </c>
      <c r="AE201" s="77">
        <f t="shared" si="133"/>
        <v>17.073170731707318</v>
      </c>
      <c r="AF201" s="77">
        <f t="shared" si="134"/>
        <v>37.7164000000001</v>
      </c>
      <c r="AG201" s="77">
        <f t="shared" si="135"/>
        <v>67.055669340615637</v>
      </c>
      <c r="AH201" s="77">
        <f t="shared" si="136"/>
        <v>62.25</v>
      </c>
      <c r="AI201" s="77">
        <f t="shared" si="137"/>
        <v>18.53</v>
      </c>
      <c r="AJ201" s="77">
        <f t="shared" si="138"/>
        <v>43.72</v>
      </c>
      <c r="AK201" s="77">
        <f t="shared" si="139"/>
        <v>0</v>
      </c>
      <c r="AL201" s="77">
        <f t="shared" si="140"/>
        <v>43.72</v>
      </c>
      <c r="AM201" s="77">
        <f t="shared" si="141"/>
        <v>70.232931726907623</v>
      </c>
      <c r="AN201" t="str">
        <f t="shared" si="173"/>
        <v/>
      </c>
      <c r="AO201" t="s">
        <v>327</v>
      </c>
      <c r="AP201" t="str">
        <f t="shared" si="129"/>
        <v>DDm100-33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8"/>
        <v>DDm100-33</v>
      </c>
    </row>
    <row r="202" spans="1:53">
      <c r="A202" s="35" t="s">
        <v>218</v>
      </c>
      <c r="B202" t="s">
        <v>372</v>
      </c>
      <c r="C202" t="s">
        <v>748</v>
      </c>
      <c r="D202" t="s">
        <v>319</v>
      </c>
      <c r="E202" t="s">
        <v>751</v>
      </c>
      <c r="F202" t="s">
        <v>321</v>
      </c>
      <c r="G202">
        <v>36.6</v>
      </c>
      <c r="H202">
        <v>83</v>
      </c>
      <c r="I202">
        <v>1256</v>
      </c>
      <c r="J202">
        <v>68.451999999999998</v>
      </c>
      <c r="K202" s="64">
        <v>44846</v>
      </c>
      <c r="L202">
        <v>130.85231999999999</v>
      </c>
      <c r="M202">
        <v>62.400320000000001</v>
      </c>
      <c r="N202">
        <v>102.5254</v>
      </c>
      <c r="O202">
        <v>34.073399999999999</v>
      </c>
      <c r="P202" t="s">
        <v>380</v>
      </c>
      <c r="Q202" t="s">
        <v>333</v>
      </c>
      <c r="R202" t="s">
        <v>752</v>
      </c>
      <c r="S202">
        <v>155.5848</v>
      </c>
      <c r="T202">
        <v>87.132799999999804</v>
      </c>
      <c r="U202" t="s">
        <v>348</v>
      </c>
      <c r="V202" t="s">
        <v>753</v>
      </c>
      <c r="W202">
        <v>411</v>
      </c>
      <c r="X202">
        <v>342.548</v>
      </c>
      <c r="Y202">
        <v>61</v>
      </c>
      <c r="AB202" s="77">
        <f t="shared" si="130"/>
        <v>62.400320000000001</v>
      </c>
      <c r="AC202" s="77">
        <f t="shared" si="131"/>
        <v>34.073399999999999</v>
      </c>
      <c r="AD202" s="77">
        <f t="shared" si="132"/>
        <v>47.687591630014659</v>
      </c>
      <c r="AE202" s="77">
        <f t="shared" si="133"/>
        <v>33.234105889857531</v>
      </c>
      <c r="AF202" s="77">
        <f t="shared" si="134"/>
        <v>87.132799999999804</v>
      </c>
      <c r="AG202" s="77">
        <f t="shared" si="135"/>
        <v>56.003414215270254</v>
      </c>
      <c r="AH202" s="337">
        <f>AVERAGE(W202:W203)</f>
        <v>411</v>
      </c>
      <c r="AI202" s="337">
        <f>SUM(J202:J203)</f>
        <v>115.4855</v>
      </c>
      <c r="AJ202" s="337">
        <f t="shared" si="138"/>
        <v>295.5145</v>
      </c>
      <c r="AK202" s="337">
        <f>SUM(AA202:AA203)</f>
        <v>0</v>
      </c>
      <c r="AL202" s="337">
        <f t="shared" si="140"/>
        <v>295.5145</v>
      </c>
      <c r="AM202" s="338">
        <f t="shared" si="141"/>
        <v>71.901338199513376</v>
      </c>
      <c r="AN202" t="str">
        <f t="shared" si="173"/>
        <v/>
      </c>
      <c r="AO202" t="s">
        <v>327</v>
      </c>
      <c r="AP202" t="str">
        <f t="shared" si="129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ref="BA202:BA253" si="174">IFERROR(LEFT(R202,FIND("(",R202,1)-1),R202)</f>
        <v xml:space="preserve">DDm100-33 </v>
      </c>
    </row>
    <row r="203" spans="1:53">
      <c r="A203" s="35" t="s">
        <v>219</v>
      </c>
      <c r="B203" t="s">
        <v>372</v>
      </c>
      <c r="C203" t="s">
        <v>748</v>
      </c>
      <c r="D203" t="s">
        <v>319</v>
      </c>
      <c r="E203" t="s">
        <v>751</v>
      </c>
      <c r="F203" t="s">
        <v>384</v>
      </c>
      <c r="G203">
        <v>55</v>
      </c>
      <c r="H203">
        <v>42</v>
      </c>
      <c r="I203">
        <v>863</v>
      </c>
      <c r="J203">
        <v>47.033499999999997</v>
      </c>
      <c r="K203" s="64">
        <v>44846</v>
      </c>
      <c r="L203">
        <v>98.317999999999998</v>
      </c>
      <c r="M203">
        <v>51.284500000000001</v>
      </c>
      <c r="N203">
        <v>90.197500000000005</v>
      </c>
      <c r="O203">
        <v>43.164000000000001</v>
      </c>
      <c r="P203" t="s">
        <v>322</v>
      </c>
      <c r="Q203" t="s">
        <v>333</v>
      </c>
      <c r="R203" t="s">
        <v>660</v>
      </c>
      <c r="S203">
        <v>85.212000000000202</v>
      </c>
      <c r="T203">
        <v>38.178500000000199</v>
      </c>
      <c r="U203" t="s">
        <v>348</v>
      </c>
      <c r="V203" t="s">
        <v>753</v>
      </c>
      <c r="W203">
        <v>411</v>
      </c>
      <c r="X203">
        <v>363.9665</v>
      </c>
      <c r="Y203">
        <v>61</v>
      </c>
      <c r="AB203" s="77">
        <f t="shared" si="130"/>
        <v>51.284500000000001</v>
      </c>
      <c r="AC203" s="77">
        <f t="shared" si="131"/>
        <v>43.164000000000001</v>
      </c>
      <c r="AD203" s="77">
        <f t="shared" si="132"/>
        <v>52.161862527716188</v>
      </c>
      <c r="AE203" s="77">
        <f t="shared" si="133"/>
        <v>47.854984894259815</v>
      </c>
      <c r="AF203" s="77">
        <f t="shared" si="134"/>
        <v>38.178500000000199</v>
      </c>
      <c r="AG203" s="77">
        <f t="shared" si="135"/>
        <v>44.80413556776054</v>
      </c>
      <c r="AH203" s="337"/>
      <c r="AI203" s="337"/>
      <c r="AJ203" s="337"/>
      <c r="AK203" s="337"/>
      <c r="AL203" s="337"/>
      <c r="AM203" s="338"/>
      <c r="AN203" t="str">
        <f t="shared" si="173"/>
        <v/>
      </c>
      <c r="AO203" t="s">
        <v>327</v>
      </c>
      <c r="AP203" t="str">
        <f t="shared" si="129"/>
        <v>DDm125-33</v>
      </c>
      <c r="AQ203" t="str">
        <f>_xlfn.XLOOKUP(A203,'SYS Allocations'!A:A,'SYS Allocations'!B:B)</f>
        <v>P-Core</v>
      </c>
      <c r="AR203" t="str">
        <f>_xlfn.XLOOKUP(A203,'SYS Allocations'!A:A,'SYS Allocations'!C:C)</f>
        <v>RA</v>
      </c>
      <c r="AS203" t="str">
        <f>_xlfn.XLOOKUP(A203,'SYS Allocations'!A:A,'SYS Allocations'!D:D)</f>
        <v>PX</v>
      </c>
      <c r="AT203">
        <f>_xlfn.XLOOKUP(A203,'SYS Allocations'!A:A,'SYS Allocations'!E:E)</f>
        <v>0</v>
      </c>
      <c r="AU203" t="str">
        <f>_xlfn.XLOOKUP(A203,'SYS Allocations'!A:A,'SYS Allocations'!F:F)</f>
        <v>OPEX</v>
      </c>
      <c r="BA203" t="str">
        <f t="shared" si="174"/>
        <v xml:space="preserve">DDm125-33 </v>
      </c>
    </row>
    <row r="204" spans="1:53">
      <c r="A204" s="35" t="s">
        <v>220</v>
      </c>
      <c r="B204" t="s">
        <v>372</v>
      </c>
      <c r="C204" t="s">
        <v>748</v>
      </c>
      <c r="D204" t="s">
        <v>319</v>
      </c>
      <c r="E204" t="s">
        <v>751</v>
      </c>
      <c r="F204" t="s">
        <v>337</v>
      </c>
      <c r="G204">
        <v>31</v>
      </c>
      <c r="H204">
        <v>5</v>
      </c>
      <c r="I204">
        <v>83</v>
      </c>
      <c r="J204">
        <v>4.5235000000000003</v>
      </c>
      <c r="K204" s="64">
        <v>44719.5625</v>
      </c>
      <c r="L204">
        <v>5.4063999999999997</v>
      </c>
      <c r="M204">
        <v>0.88290000000000002</v>
      </c>
      <c r="N204">
        <v>4.5780000000000003</v>
      </c>
      <c r="O204">
        <v>5.45E-2</v>
      </c>
      <c r="P204" t="s">
        <v>339</v>
      </c>
      <c r="Q204" t="s">
        <v>333</v>
      </c>
      <c r="R204" t="s">
        <v>630</v>
      </c>
      <c r="S204">
        <v>6.1430399999999796</v>
      </c>
      <c r="T204">
        <v>1.61953999999998</v>
      </c>
      <c r="U204" t="s">
        <v>348</v>
      </c>
      <c r="V204" t="s">
        <v>753</v>
      </c>
      <c r="W204">
        <v>411</v>
      </c>
      <c r="X204">
        <v>406.47649999999999</v>
      </c>
      <c r="Y204">
        <v>61</v>
      </c>
      <c r="AB204" s="77">
        <f t="shared" si="130"/>
        <v>0.88290000000000002</v>
      </c>
      <c r="AC204" s="77">
        <f t="shared" si="131"/>
        <v>5.45E-2</v>
      </c>
      <c r="AD204" s="77">
        <f t="shared" si="132"/>
        <v>16.330645161290324</v>
      </c>
      <c r="AE204" s="77">
        <f t="shared" si="133"/>
        <v>1.1904761904761905</v>
      </c>
      <c r="AF204" s="77">
        <f t="shared" si="134"/>
        <v>1.61953999999998</v>
      </c>
      <c r="AG204" s="77">
        <f t="shared" si="135"/>
        <v>26.363819867687422</v>
      </c>
      <c r="AH204" s="77">
        <f t="shared" si="136"/>
        <v>411</v>
      </c>
      <c r="AI204" s="77">
        <f t="shared" si="137"/>
        <v>4.5235000000000003</v>
      </c>
      <c r="AJ204" s="77">
        <f t="shared" si="138"/>
        <v>406.47649999999999</v>
      </c>
      <c r="AK204" s="77">
        <f t="shared" si="139"/>
        <v>0</v>
      </c>
      <c r="AL204" s="77">
        <f t="shared" si="140"/>
        <v>406.47649999999999</v>
      </c>
      <c r="AM204" s="77">
        <f t="shared" si="141"/>
        <v>98.899391727493907</v>
      </c>
      <c r="AN204" t="str">
        <f t="shared" si="173"/>
        <v/>
      </c>
      <c r="AO204" t="s">
        <v>327</v>
      </c>
      <c r="AP204" t="str">
        <f t="shared" si="129"/>
        <v>12V101F</v>
      </c>
      <c r="AQ204">
        <f>_xlfn.XLOOKUP(A204,'SYS Allocations'!A:A,'SYS Allocations'!B:B)</f>
        <v>0</v>
      </c>
      <c r="AR204">
        <f>_xlfn.XLOOKUP(A204,'SYS Allocations'!A:A,'SYS Allocations'!C:C)</f>
        <v>0</v>
      </c>
      <c r="AS204">
        <f>_xlfn.XLOOKUP(A204,'SYS Allocations'!A:A,'SYS Allocations'!D:D)</f>
        <v>0</v>
      </c>
      <c r="AT204">
        <f>_xlfn.XLOOKUP(A204,'SYS Allocations'!A:A,'SYS Allocations'!E:E)</f>
        <v>0</v>
      </c>
      <c r="AU204">
        <f>_xlfn.XLOOKUP(A204,'SYS Allocations'!A:A,'SYS Allocations'!F:F)</f>
        <v>0</v>
      </c>
      <c r="BA204" t="str">
        <f t="shared" si="174"/>
        <v xml:space="preserve">12V101F </v>
      </c>
    </row>
    <row r="205" spans="1:53">
      <c r="A205" s="35" t="s">
        <v>221</v>
      </c>
      <c r="B205" t="s">
        <v>372</v>
      </c>
      <c r="C205" t="s">
        <v>748</v>
      </c>
      <c r="D205" t="s">
        <v>319</v>
      </c>
      <c r="E205" t="s">
        <v>754</v>
      </c>
      <c r="F205" t="s">
        <v>321</v>
      </c>
      <c r="G205">
        <v>36.6</v>
      </c>
      <c r="H205">
        <v>18</v>
      </c>
      <c r="I205">
        <v>148</v>
      </c>
      <c r="J205">
        <v>8.0660000000000007</v>
      </c>
      <c r="K205" s="64">
        <v>45161</v>
      </c>
      <c r="L205">
        <v>27.12792</v>
      </c>
      <c r="M205">
        <v>19.061920000000001</v>
      </c>
      <c r="N205">
        <v>24.6449</v>
      </c>
      <c r="O205">
        <v>16.578900000000001</v>
      </c>
      <c r="P205" t="s">
        <v>325</v>
      </c>
      <c r="Q205" t="s">
        <v>333</v>
      </c>
      <c r="R205" t="s">
        <v>755</v>
      </c>
      <c r="S205">
        <v>23.025600000000001</v>
      </c>
      <c r="T205">
        <v>14.9596</v>
      </c>
      <c r="U205" t="s">
        <v>325</v>
      </c>
      <c r="V205" t="s">
        <v>401</v>
      </c>
      <c r="W205">
        <v>37.5</v>
      </c>
      <c r="X205">
        <v>29.434000000000001</v>
      </c>
      <c r="Y205">
        <v>4</v>
      </c>
      <c r="AB205" s="77">
        <f t="shared" si="130"/>
        <v>19.061920000000001</v>
      </c>
      <c r="AC205" s="77">
        <f t="shared" si="131"/>
        <v>16.578900000000001</v>
      </c>
      <c r="AD205" s="77">
        <f t="shared" si="132"/>
        <v>70.266795242687238</v>
      </c>
      <c r="AE205" s="77">
        <f t="shared" si="133"/>
        <v>67.271118973905359</v>
      </c>
      <c r="AF205" s="77">
        <f t="shared" si="134"/>
        <v>14.9596</v>
      </c>
      <c r="AG205" s="77">
        <f t="shared" si="135"/>
        <v>64.969425335278984</v>
      </c>
      <c r="AH205" s="77">
        <f t="shared" si="136"/>
        <v>37.5</v>
      </c>
      <c r="AI205" s="77">
        <f t="shared" si="137"/>
        <v>8.0660000000000007</v>
      </c>
      <c r="AJ205" s="77">
        <f t="shared" si="138"/>
        <v>29.433999999999997</v>
      </c>
      <c r="AK205" s="77">
        <f t="shared" si="139"/>
        <v>0</v>
      </c>
      <c r="AL205" s="77">
        <f t="shared" si="140"/>
        <v>29.433999999999997</v>
      </c>
      <c r="AM205" s="77">
        <f t="shared" si="141"/>
        <v>78.490666666666655</v>
      </c>
      <c r="AN205" t="str">
        <f t="shared" si="173"/>
        <v/>
      </c>
      <c r="AO205" t="s">
        <v>327</v>
      </c>
      <c r="AP205" t="str">
        <f t="shared" si="129"/>
        <v>DDm85-21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4"/>
        <v>DDm85-21</v>
      </c>
    </row>
    <row r="206" spans="1:53">
      <c r="A206" s="35" t="s">
        <v>222</v>
      </c>
      <c r="B206" t="s">
        <v>396</v>
      </c>
      <c r="C206" t="s">
        <v>756</v>
      </c>
      <c r="D206" t="s">
        <v>319</v>
      </c>
      <c r="E206" t="s">
        <v>757</v>
      </c>
      <c r="F206" t="s">
        <v>321</v>
      </c>
      <c r="G206">
        <v>36.6</v>
      </c>
      <c r="H206">
        <v>30</v>
      </c>
      <c r="I206">
        <v>357</v>
      </c>
      <c r="J206">
        <v>19.456499999999998</v>
      </c>
      <c r="K206" s="64">
        <v>45600</v>
      </c>
      <c r="L206">
        <v>46.27704</v>
      </c>
      <c r="M206">
        <v>26.820540000000001</v>
      </c>
      <c r="N206">
        <v>36.046300000000002</v>
      </c>
      <c r="O206">
        <v>16.5898</v>
      </c>
      <c r="P206" t="s">
        <v>325</v>
      </c>
      <c r="Q206" t="s">
        <v>333</v>
      </c>
      <c r="R206" t="s">
        <v>347</v>
      </c>
      <c r="S206">
        <v>35.553600000000003</v>
      </c>
      <c r="T206">
        <v>16.097100000000001</v>
      </c>
      <c r="U206" t="s">
        <v>446</v>
      </c>
      <c r="V206" t="s">
        <v>596</v>
      </c>
      <c r="W206">
        <v>63</v>
      </c>
      <c r="X206">
        <v>43.543500000000002</v>
      </c>
      <c r="Y206">
        <v>6</v>
      </c>
      <c r="AB206" s="77">
        <f t="shared" si="130"/>
        <v>26.820540000000001</v>
      </c>
      <c r="AC206" s="77">
        <f t="shared" si="131"/>
        <v>16.5898</v>
      </c>
      <c r="AD206" s="77">
        <f t="shared" si="132"/>
        <v>57.956472583380446</v>
      </c>
      <c r="AE206" s="77">
        <f t="shared" si="133"/>
        <v>46.02358633202298</v>
      </c>
      <c r="AF206" s="77">
        <f t="shared" si="134"/>
        <v>16.097100000000001</v>
      </c>
      <c r="AG206" s="77">
        <f t="shared" si="135"/>
        <v>45.275583907114893</v>
      </c>
      <c r="AH206" s="77">
        <f t="shared" si="136"/>
        <v>63</v>
      </c>
      <c r="AI206" s="77">
        <f t="shared" si="137"/>
        <v>19.456499999999998</v>
      </c>
      <c r="AJ206" s="77">
        <f t="shared" si="138"/>
        <v>43.543500000000002</v>
      </c>
      <c r="AK206" s="77">
        <f t="shared" si="139"/>
        <v>0</v>
      </c>
      <c r="AL206" s="77">
        <f t="shared" si="140"/>
        <v>43.543500000000002</v>
      </c>
      <c r="AM206" s="77">
        <f t="shared" si="141"/>
        <v>69.116666666666674</v>
      </c>
      <c r="AN206" t="str">
        <f t="shared" si="173"/>
        <v/>
      </c>
      <c r="AO206" t="s">
        <v>327</v>
      </c>
      <c r="AP206" t="str">
        <f t="shared" si="129"/>
        <v>DDm125-33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4"/>
        <v>DDm125-33</v>
      </c>
    </row>
    <row r="207" spans="1:53">
      <c r="A207" s="35" t="s">
        <v>223</v>
      </c>
      <c r="B207" t="s">
        <v>396</v>
      </c>
      <c r="C207" t="s">
        <v>756</v>
      </c>
      <c r="D207" t="s">
        <v>319</v>
      </c>
      <c r="E207" t="s">
        <v>758</v>
      </c>
      <c r="F207" t="s">
        <v>321</v>
      </c>
      <c r="G207">
        <v>36.6</v>
      </c>
      <c r="H207">
        <v>26</v>
      </c>
      <c r="I207">
        <v>251</v>
      </c>
      <c r="J207">
        <v>13.679500000000001</v>
      </c>
      <c r="K207" s="64">
        <v>45600</v>
      </c>
      <c r="L207">
        <v>39.893999999999998</v>
      </c>
      <c r="M207">
        <v>26.214500000000001</v>
      </c>
      <c r="N207">
        <v>28.067499999999999</v>
      </c>
      <c r="O207">
        <v>14.388</v>
      </c>
      <c r="P207" t="s">
        <v>325</v>
      </c>
      <c r="Q207" t="s">
        <v>333</v>
      </c>
      <c r="R207" t="s">
        <v>347</v>
      </c>
      <c r="S207">
        <v>35.553600000000003</v>
      </c>
      <c r="T207">
        <v>21.874099999999999</v>
      </c>
      <c r="U207" t="s">
        <v>375</v>
      </c>
      <c r="V207" t="s">
        <v>367</v>
      </c>
      <c r="W207">
        <v>112.5</v>
      </c>
      <c r="X207">
        <v>98.820499999999996</v>
      </c>
      <c r="Y207">
        <v>21</v>
      </c>
      <c r="AB207" s="77">
        <f t="shared" si="130"/>
        <v>26.214500000000001</v>
      </c>
      <c r="AC207" s="77">
        <f t="shared" si="131"/>
        <v>14.388</v>
      </c>
      <c r="AD207" s="77">
        <f t="shared" si="132"/>
        <v>65.710382513661216</v>
      </c>
      <c r="AE207" s="77">
        <f t="shared" si="133"/>
        <v>51.262135922330096</v>
      </c>
      <c r="AF207" s="77">
        <f t="shared" si="134"/>
        <v>21.874099999999999</v>
      </c>
      <c r="AG207" s="77">
        <f t="shared" si="135"/>
        <v>61.524290085954718</v>
      </c>
      <c r="AH207" s="77">
        <f t="shared" si="136"/>
        <v>112.5</v>
      </c>
      <c r="AI207" s="77">
        <f t="shared" si="137"/>
        <v>13.679500000000001</v>
      </c>
      <c r="AJ207" s="77">
        <f t="shared" si="138"/>
        <v>98.820499999999996</v>
      </c>
      <c r="AK207" s="77">
        <f t="shared" si="139"/>
        <v>0</v>
      </c>
      <c r="AL207" s="77">
        <f t="shared" si="140"/>
        <v>98.820499999999996</v>
      </c>
      <c r="AM207" s="77">
        <f t="shared" si="141"/>
        <v>87.840444444444444</v>
      </c>
      <c r="AN207" t="str">
        <f t="shared" si="173"/>
        <v/>
      </c>
      <c r="AO207" t="s">
        <v>327</v>
      </c>
      <c r="AP207" t="str">
        <f t="shared" si="129"/>
        <v>DDm125-33</v>
      </c>
      <c r="AQ207">
        <f>_xlfn.XLOOKUP(A207,'SYS Allocations'!A:A,'SYS Allocations'!B:B)</f>
        <v>0</v>
      </c>
      <c r="AR207" t="str">
        <f>_xlfn.XLOOKUP(A207,'SYS Allocations'!A:A,'SYS Allocations'!C:C)</f>
        <v>RA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4"/>
        <v>DDm125-33</v>
      </c>
    </row>
    <row r="208" spans="1:53">
      <c r="A208" s="35" t="s">
        <v>224</v>
      </c>
      <c r="B208" t="s">
        <v>437</v>
      </c>
      <c r="C208" t="s">
        <v>759</v>
      </c>
      <c r="D208" t="s">
        <v>319</v>
      </c>
      <c r="E208" t="s">
        <v>760</v>
      </c>
      <c r="F208" t="s">
        <v>321</v>
      </c>
      <c r="G208">
        <v>36.6</v>
      </c>
      <c r="H208">
        <v>37</v>
      </c>
      <c r="I208">
        <v>457</v>
      </c>
      <c r="J208">
        <v>24.906500000000001</v>
      </c>
      <c r="K208" s="64">
        <v>45600</v>
      </c>
      <c r="L208">
        <v>57.447360000000003</v>
      </c>
      <c r="M208">
        <v>32.540860000000002</v>
      </c>
      <c r="N208">
        <v>39.109200000000001</v>
      </c>
      <c r="O208">
        <v>14.2027</v>
      </c>
      <c r="P208" t="s">
        <v>322</v>
      </c>
      <c r="Q208" t="s">
        <v>333</v>
      </c>
      <c r="R208" t="s">
        <v>347</v>
      </c>
      <c r="S208">
        <v>53.330399999999997</v>
      </c>
      <c r="T208">
        <v>28.4239</v>
      </c>
      <c r="U208" t="s">
        <v>430</v>
      </c>
      <c r="V208" t="s">
        <v>761</v>
      </c>
      <c r="W208">
        <v>84.375</v>
      </c>
      <c r="X208">
        <v>59.468499999999999</v>
      </c>
      <c r="Y208">
        <v>69</v>
      </c>
      <c r="AB208" s="77">
        <f t="shared" si="130"/>
        <v>32.540860000000002</v>
      </c>
      <c r="AC208" s="77">
        <f t="shared" si="131"/>
        <v>14.2027</v>
      </c>
      <c r="AD208" s="77">
        <f t="shared" si="132"/>
        <v>56.644656952034005</v>
      </c>
      <c r="AE208" s="77">
        <f t="shared" si="133"/>
        <v>36.315496098104795</v>
      </c>
      <c r="AF208" s="77">
        <f t="shared" si="134"/>
        <v>28.4239</v>
      </c>
      <c r="AG208" s="77">
        <f t="shared" si="135"/>
        <v>53.297743875913177</v>
      </c>
      <c r="AH208" s="77">
        <f t="shared" si="136"/>
        <v>84.375</v>
      </c>
      <c r="AI208" s="77">
        <f t="shared" si="137"/>
        <v>24.906500000000001</v>
      </c>
      <c r="AJ208" s="77">
        <f t="shared" si="138"/>
        <v>59.468499999999999</v>
      </c>
      <c r="AK208" s="77">
        <f t="shared" si="139"/>
        <v>0</v>
      </c>
      <c r="AL208" s="77">
        <f t="shared" si="140"/>
        <v>59.468499999999999</v>
      </c>
      <c r="AM208" s="77">
        <f t="shared" si="141"/>
        <v>70.481185185185183</v>
      </c>
      <c r="AN208" t="str">
        <f t="shared" si="173"/>
        <v/>
      </c>
      <c r="AO208" t="s">
        <v>327</v>
      </c>
      <c r="AP208" t="str">
        <f t="shared" ref="AP208:AP253" si="175">TRIM(BA208)</f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4"/>
        <v>DDm125-33</v>
      </c>
    </row>
    <row r="209" spans="1:53">
      <c r="A209" s="35" t="s">
        <v>225</v>
      </c>
      <c r="B209" t="s">
        <v>363</v>
      </c>
      <c r="C209" t="s">
        <v>762</v>
      </c>
      <c r="D209" t="s">
        <v>319</v>
      </c>
      <c r="E209" t="s">
        <v>763</v>
      </c>
      <c r="F209" t="s">
        <v>321</v>
      </c>
      <c r="G209">
        <v>36.6</v>
      </c>
      <c r="H209">
        <v>42</v>
      </c>
      <c r="I209">
        <v>509</v>
      </c>
      <c r="J209">
        <v>27.740500000000001</v>
      </c>
      <c r="K209" s="64">
        <v>45600</v>
      </c>
      <c r="L209">
        <v>65.426159999999996</v>
      </c>
      <c r="M209">
        <v>37.685659999999999</v>
      </c>
      <c r="N209">
        <v>49.082700000000003</v>
      </c>
      <c r="O209">
        <v>21.342199999999998</v>
      </c>
      <c r="P209" t="s">
        <v>322</v>
      </c>
      <c r="Q209" t="s">
        <v>333</v>
      </c>
      <c r="R209" t="s">
        <v>347</v>
      </c>
      <c r="S209">
        <v>53.330399999999997</v>
      </c>
      <c r="T209">
        <v>25.5899</v>
      </c>
      <c r="U209" t="s">
        <v>446</v>
      </c>
      <c r="V209" t="s">
        <v>596</v>
      </c>
      <c r="W209">
        <v>63</v>
      </c>
      <c r="X209">
        <v>35.259500000000003</v>
      </c>
      <c r="Y209">
        <v>13</v>
      </c>
      <c r="AB209" s="77">
        <f t="shared" si="130"/>
        <v>37.685659999999999</v>
      </c>
      <c r="AC209" s="77">
        <f t="shared" si="131"/>
        <v>21.342199999999998</v>
      </c>
      <c r="AD209" s="77">
        <f t="shared" si="132"/>
        <v>57.600293216046914</v>
      </c>
      <c r="AE209" s="77">
        <f t="shared" si="133"/>
        <v>43.48212302909171</v>
      </c>
      <c r="AF209" s="77">
        <f t="shared" si="134"/>
        <v>25.5899</v>
      </c>
      <c r="AG209" s="77">
        <f t="shared" si="135"/>
        <v>47.983701603588194</v>
      </c>
      <c r="AH209" s="77">
        <f t="shared" si="136"/>
        <v>63</v>
      </c>
      <c r="AI209" s="77">
        <f t="shared" si="137"/>
        <v>27.740500000000001</v>
      </c>
      <c r="AJ209" s="77">
        <f t="shared" si="138"/>
        <v>35.259500000000003</v>
      </c>
      <c r="AK209" s="77">
        <f t="shared" si="139"/>
        <v>0</v>
      </c>
      <c r="AL209" s="77">
        <f t="shared" si="140"/>
        <v>35.259500000000003</v>
      </c>
      <c r="AM209" s="77">
        <f t="shared" si="141"/>
        <v>55.967460317460322</v>
      </c>
      <c r="AN209" t="str">
        <f t="shared" si="173"/>
        <v/>
      </c>
      <c r="AO209" t="s">
        <v>327</v>
      </c>
      <c r="AP209" t="str">
        <f t="shared" si="175"/>
        <v>DDm125-33</v>
      </c>
      <c r="AQ209">
        <f>_xlfn.XLOOKUP(A209,'SYS Allocations'!A:A,'SYS Allocations'!B:B)</f>
        <v>0</v>
      </c>
      <c r="AR209">
        <f>_xlfn.XLOOKUP(A209,'SYS Allocations'!A:A,'SYS Allocations'!C:C)</f>
        <v>0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4"/>
        <v>DDm125-33</v>
      </c>
    </row>
    <row r="210" spans="1:53">
      <c r="A210" s="35" t="s">
        <v>226</v>
      </c>
      <c r="B210" t="s">
        <v>344</v>
      </c>
      <c r="C210" t="s">
        <v>344</v>
      </c>
      <c r="D210" t="s">
        <v>392</v>
      </c>
      <c r="E210" t="s">
        <v>764</v>
      </c>
      <c r="F210" t="s">
        <v>332</v>
      </c>
      <c r="G210">
        <v>75</v>
      </c>
      <c r="H210">
        <v>18</v>
      </c>
      <c r="I210">
        <v>421</v>
      </c>
      <c r="J210">
        <v>22.944500000000001</v>
      </c>
      <c r="K210" s="64">
        <v>45600</v>
      </c>
      <c r="L210">
        <v>55.59</v>
      </c>
      <c r="M210">
        <v>32.645499999999998</v>
      </c>
      <c r="N210">
        <v>48.232500000000002</v>
      </c>
      <c r="O210">
        <v>25.288</v>
      </c>
      <c r="P210" t="s">
        <v>322</v>
      </c>
      <c r="Q210" t="s">
        <v>333</v>
      </c>
      <c r="R210" t="s">
        <v>342</v>
      </c>
      <c r="S210">
        <v>34.279200000000003</v>
      </c>
      <c r="T210">
        <v>11.3347</v>
      </c>
      <c r="U210" t="s">
        <v>322</v>
      </c>
      <c r="V210" t="s">
        <v>570</v>
      </c>
      <c r="W210">
        <v>105</v>
      </c>
      <c r="X210">
        <v>82.055499999999995</v>
      </c>
      <c r="Y210">
        <v>3</v>
      </c>
      <c r="Z210" t="s">
        <v>8</v>
      </c>
      <c r="AB210" s="77">
        <f t="shared" si="130"/>
        <v>32.645499999999998</v>
      </c>
      <c r="AC210" s="77">
        <f t="shared" si="131"/>
        <v>25.288</v>
      </c>
      <c r="AD210" s="77">
        <f t="shared" si="132"/>
        <v>58.725490196078425</v>
      </c>
      <c r="AE210" s="77">
        <f t="shared" si="133"/>
        <v>52.429378531073446</v>
      </c>
      <c r="AF210" s="77">
        <f t="shared" si="134"/>
        <v>11.3347</v>
      </c>
      <c r="AG210" s="77">
        <f t="shared" si="135"/>
        <v>33.065824173259578</v>
      </c>
      <c r="AH210" s="77">
        <f t="shared" si="136"/>
        <v>105</v>
      </c>
      <c r="AI210" s="77">
        <f t="shared" si="137"/>
        <v>22.944500000000001</v>
      </c>
      <c r="AJ210" s="77">
        <f t="shared" si="138"/>
        <v>82.055499999999995</v>
      </c>
      <c r="AK210" s="77">
        <f t="shared" si="139"/>
        <v>0</v>
      </c>
      <c r="AL210" s="77">
        <f t="shared" si="140"/>
        <v>82.055499999999995</v>
      </c>
      <c r="AM210" s="77">
        <f t="shared" si="141"/>
        <v>78.148095238095223</v>
      </c>
      <c r="AN210" t="str">
        <f t="shared" si="173"/>
        <v>Capped</v>
      </c>
      <c r="AO210" t="s">
        <v>327</v>
      </c>
      <c r="AP210" t="str">
        <f t="shared" si="175"/>
        <v>DDm100-27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4"/>
        <v>DDm100-27</v>
      </c>
    </row>
    <row r="211" spans="1:53">
      <c r="A211" s="35" t="s">
        <v>227</v>
      </c>
      <c r="B211" t="s">
        <v>396</v>
      </c>
      <c r="C211" t="s">
        <v>765</v>
      </c>
      <c r="D211" t="s">
        <v>319</v>
      </c>
      <c r="E211" t="s">
        <v>766</v>
      </c>
      <c r="F211" t="s">
        <v>701</v>
      </c>
      <c r="G211">
        <v>60.4</v>
      </c>
      <c r="H211">
        <v>6</v>
      </c>
      <c r="I211">
        <v>92</v>
      </c>
      <c r="J211">
        <v>5.0140000000000002</v>
      </c>
      <c r="K211" s="64">
        <v>45356</v>
      </c>
      <c r="L211">
        <v>13.167199999999999</v>
      </c>
      <c r="M211">
        <v>8.1532</v>
      </c>
      <c r="N211">
        <v>13.189</v>
      </c>
      <c r="O211">
        <v>8.1750000000000007</v>
      </c>
      <c r="P211" t="s">
        <v>325</v>
      </c>
      <c r="Q211" t="s">
        <v>333</v>
      </c>
      <c r="R211" t="s">
        <v>400</v>
      </c>
      <c r="S211">
        <v>5.2271999999999998</v>
      </c>
      <c r="T211">
        <v>0.2132</v>
      </c>
      <c r="U211" t="s">
        <v>322</v>
      </c>
      <c r="V211" t="s">
        <v>343</v>
      </c>
      <c r="W211">
        <v>45</v>
      </c>
      <c r="X211">
        <v>39.985999999999997</v>
      </c>
      <c r="Y211">
        <v>9</v>
      </c>
      <c r="AB211" s="77">
        <f t="shared" si="130"/>
        <v>8.1532</v>
      </c>
      <c r="AC211" s="77">
        <f t="shared" si="131"/>
        <v>8.1750000000000007</v>
      </c>
      <c r="AD211" s="77">
        <f t="shared" si="132"/>
        <v>61.920529801324513</v>
      </c>
      <c r="AE211" s="77">
        <f t="shared" si="133"/>
        <v>61.983471074380169</v>
      </c>
      <c r="AF211" s="77">
        <f t="shared" si="134"/>
        <v>0.2132</v>
      </c>
      <c r="AG211" s="77">
        <f t="shared" si="135"/>
        <v>4.0786654423018058</v>
      </c>
      <c r="AH211" s="77">
        <f t="shared" si="136"/>
        <v>45</v>
      </c>
      <c r="AI211" s="77">
        <f t="shared" si="137"/>
        <v>5.0140000000000002</v>
      </c>
      <c r="AJ211" s="77">
        <f t="shared" si="138"/>
        <v>39.985999999999997</v>
      </c>
      <c r="AK211" s="77">
        <f t="shared" si="139"/>
        <v>0</v>
      </c>
      <c r="AL211" s="77">
        <f t="shared" si="140"/>
        <v>39.985999999999997</v>
      </c>
      <c r="AM211" s="77">
        <f t="shared" si="141"/>
        <v>88.85777777777777</v>
      </c>
      <c r="AN211" t="str">
        <f t="shared" si="173"/>
        <v/>
      </c>
      <c r="AO211" t="s">
        <v>327</v>
      </c>
      <c r="AP211" t="str">
        <f t="shared" si="175"/>
        <v>2DDm50-13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4"/>
        <v>2DDm50-13</v>
      </c>
    </row>
    <row r="212" spans="1:53">
      <c r="A212" s="35" t="s">
        <v>228</v>
      </c>
      <c r="B212" t="s">
        <v>377</v>
      </c>
      <c r="C212" t="s">
        <v>767</v>
      </c>
      <c r="D212" t="s">
        <v>319</v>
      </c>
      <c r="E212" t="s">
        <v>768</v>
      </c>
      <c r="F212" t="s">
        <v>433</v>
      </c>
      <c r="G212">
        <v>55</v>
      </c>
      <c r="H212">
        <v>15</v>
      </c>
      <c r="I212">
        <v>238</v>
      </c>
      <c r="J212">
        <v>12.971</v>
      </c>
      <c r="K212" s="64">
        <v>45600</v>
      </c>
      <c r="L212">
        <v>33.572000000000003</v>
      </c>
      <c r="M212">
        <v>20.600999999999999</v>
      </c>
      <c r="N212">
        <v>20.164999999999999</v>
      </c>
      <c r="O212">
        <v>7.194</v>
      </c>
      <c r="P212" t="s">
        <v>325</v>
      </c>
      <c r="Q212" t="s">
        <v>333</v>
      </c>
      <c r="R212" t="s">
        <v>347</v>
      </c>
      <c r="S212">
        <v>35.553600000000003</v>
      </c>
      <c r="T212">
        <v>22.582599999999999</v>
      </c>
      <c r="U212" t="s">
        <v>322</v>
      </c>
      <c r="V212" t="s">
        <v>343</v>
      </c>
      <c r="W212">
        <v>45</v>
      </c>
      <c r="X212">
        <v>32.029000000000003</v>
      </c>
      <c r="Y212">
        <v>38</v>
      </c>
      <c r="AB212" s="77">
        <f t="shared" ref="AB212:AB266" si="176">M212-AA212</f>
        <v>20.600999999999999</v>
      </c>
      <c r="AC212" s="77">
        <f t="shared" ref="AC212:AC266" si="177">O212-AA212</f>
        <v>7.194</v>
      </c>
      <c r="AD212" s="77">
        <f t="shared" ref="AD212:AD266" si="178">AB212/L212%</f>
        <v>61.36363636363636</v>
      </c>
      <c r="AE212" s="77">
        <f t="shared" ref="AE212:AE266" si="179">AC212/N212%</f>
        <v>35.675675675675677</v>
      </c>
      <c r="AF212" s="77">
        <f t="shared" ref="AF212:AF266" si="180">T212-AA212</f>
        <v>22.582599999999999</v>
      </c>
      <c r="AG212" s="77">
        <f t="shared" ref="AG212:AG266" si="181">AF212/S212%</f>
        <v>63.517055938076588</v>
      </c>
      <c r="AH212" s="77">
        <f t="shared" ref="AH212:AH266" si="182">W212</f>
        <v>45</v>
      </c>
      <c r="AI212" s="77">
        <f t="shared" ref="AI212:AI266" si="183">J212</f>
        <v>12.971</v>
      </c>
      <c r="AJ212" s="77">
        <f t="shared" ref="AJ212:AJ266" si="184">AH212-AI212</f>
        <v>32.028999999999996</v>
      </c>
      <c r="AK212" s="77">
        <f t="shared" ref="AK212:AK266" si="185">AA212</f>
        <v>0</v>
      </c>
      <c r="AL212" s="77">
        <f t="shared" ref="AL212:AL266" si="186">AJ212-AK212</f>
        <v>32.028999999999996</v>
      </c>
      <c r="AM212" s="77">
        <f t="shared" ref="AM212:AM266" si="187">AL212/AH212%</f>
        <v>71.175555555555547</v>
      </c>
      <c r="AN212" t="str">
        <f t="shared" si="173"/>
        <v/>
      </c>
      <c r="AO212" t="s">
        <v>327</v>
      </c>
      <c r="AP212" t="str">
        <f t="shared" si="175"/>
        <v>DDm125-33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4"/>
        <v>DDm125-33</v>
      </c>
    </row>
    <row r="213" spans="1:53">
      <c r="A213" s="35" t="s">
        <v>229</v>
      </c>
      <c r="B213" t="s">
        <v>317</v>
      </c>
      <c r="C213" t="s">
        <v>769</v>
      </c>
      <c r="D213" t="s">
        <v>319</v>
      </c>
      <c r="E213" t="s">
        <v>770</v>
      </c>
      <c r="F213" t="s">
        <v>321</v>
      </c>
      <c r="G213">
        <v>36.6</v>
      </c>
      <c r="H213">
        <v>10</v>
      </c>
      <c r="I213">
        <v>130</v>
      </c>
      <c r="J213">
        <v>7.085</v>
      </c>
      <c r="K213" s="64">
        <v>44231</v>
      </c>
      <c r="L213">
        <v>14.361840000000001</v>
      </c>
      <c r="M213">
        <v>7.27684</v>
      </c>
      <c r="N213">
        <v>8.6873000000000005</v>
      </c>
      <c r="O213">
        <v>1.6023000000000001</v>
      </c>
      <c r="P213" t="s">
        <v>325</v>
      </c>
      <c r="Q213" t="s">
        <v>333</v>
      </c>
      <c r="R213" t="s">
        <v>568</v>
      </c>
      <c r="S213">
        <v>14.428800000000001</v>
      </c>
      <c r="T213">
        <v>7.3437999999999999</v>
      </c>
      <c r="U213" t="s">
        <v>322</v>
      </c>
      <c r="V213" t="s">
        <v>554</v>
      </c>
      <c r="W213">
        <v>19.5</v>
      </c>
      <c r="X213">
        <v>12.414999999999999</v>
      </c>
      <c r="Y213">
        <v>30</v>
      </c>
      <c r="AB213" s="77">
        <f t="shared" si="176"/>
        <v>7.27684</v>
      </c>
      <c r="AC213" s="77">
        <f t="shared" si="177"/>
        <v>1.6023000000000001</v>
      </c>
      <c r="AD213" s="77">
        <f t="shared" si="178"/>
        <v>50.667880995749847</v>
      </c>
      <c r="AE213" s="77">
        <f t="shared" si="179"/>
        <v>18.444165621079044</v>
      </c>
      <c r="AF213" s="77">
        <f t="shared" si="180"/>
        <v>7.3437999999999999</v>
      </c>
      <c r="AG213" s="77">
        <f t="shared" si="181"/>
        <v>50.896817476158795</v>
      </c>
      <c r="AH213" s="77">
        <f t="shared" si="182"/>
        <v>19.5</v>
      </c>
      <c r="AI213" s="77">
        <f t="shared" si="183"/>
        <v>7.085</v>
      </c>
      <c r="AJ213" s="77">
        <f t="shared" si="184"/>
        <v>12.414999999999999</v>
      </c>
      <c r="AK213" s="77">
        <f t="shared" si="185"/>
        <v>0</v>
      </c>
      <c r="AL213" s="77">
        <f t="shared" si="186"/>
        <v>12.414999999999999</v>
      </c>
      <c r="AM213" s="77">
        <f t="shared" si="187"/>
        <v>63.666666666666657</v>
      </c>
      <c r="AN213" t="str">
        <f t="shared" si="173"/>
        <v/>
      </c>
      <c r="AO213" t="s">
        <v>327</v>
      </c>
      <c r="AP213" t="str">
        <f t="shared" si="175"/>
        <v>DDm85-21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4"/>
        <v>DDm85-21</v>
      </c>
    </row>
    <row r="214" spans="1:53">
      <c r="A214" s="35" t="s">
        <v>230</v>
      </c>
      <c r="B214" t="s">
        <v>377</v>
      </c>
      <c r="C214" t="s">
        <v>771</v>
      </c>
      <c r="D214" t="s">
        <v>319</v>
      </c>
      <c r="E214" t="s">
        <v>772</v>
      </c>
      <c r="F214" t="s">
        <v>321</v>
      </c>
      <c r="G214">
        <v>36.6</v>
      </c>
      <c r="H214">
        <v>12</v>
      </c>
      <c r="I214">
        <v>179</v>
      </c>
      <c r="J214">
        <v>9.7554999999999996</v>
      </c>
      <c r="K214" s="64">
        <v>45600</v>
      </c>
      <c r="L214">
        <v>17.553360000000001</v>
      </c>
      <c r="M214">
        <v>7.79786</v>
      </c>
      <c r="N214">
        <v>8.8617000000000008</v>
      </c>
      <c r="O214">
        <v>-0.89380000000000004</v>
      </c>
      <c r="P214" t="s">
        <v>325</v>
      </c>
      <c r="Q214" t="s">
        <v>333</v>
      </c>
      <c r="R214" t="s">
        <v>338</v>
      </c>
      <c r="S214">
        <v>21.1248</v>
      </c>
      <c r="T214">
        <v>11.369300000000001</v>
      </c>
      <c r="U214" t="s">
        <v>346</v>
      </c>
      <c r="V214" t="s">
        <v>773</v>
      </c>
      <c r="W214">
        <v>18</v>
      </c>
      <c r="X214">
        <v>8.2445000000000004</v>
      </c>
      <c r="Y214">
        <v>22</v>
      </c>
      <c r="AB214" s="77">
        <f t="shared" si="176"/>
        <v>7.79786</v>
      </c>
      <c r="AC214" s="77">
        <f t="shared" si="177"/>
        <v>-0.89380000000000004</v>
      </c>
      <c r="AD214" s="77">
        <f t="shared" si="178"/>
        <v>44.423745653253846</v>
      </c>
      <c r="AE214" s="77">
        <f t="shared" si="179"/>
        <v>-10.08610086100861</v>
      </c>
      <c r="AF214" s="77">
        <f t="shared" si="180"/>
        <v>11.369300000000001</v>
      </c>
      <c r="AG214" s="77">
        <f t="shared" si="181"/>
        <v>53.819681133075825</v>
      </c>
      <c r="AH214" s="77">
        <f t="shared" si="182"/>
        <v>18</v>
      </c>
      <c r="AI214" s="77">
        <f t="shared" si="183"/>
        <v>9.7554999999999996</v>
      </c>
      <c r="AJ214" s="77">
        <f t="shared" si="184"/>
        <v>8.2445000000000004</v>
      </c>
      <c r="AK214" s="77">
        <f t="shared" si="185"/>
        <v>0</v>
      </c>
      <c r="AL214" s="77">
        <f t="shared" si="186"/>
        <v>8.2445000000000004</v>
      </c>
      <c r="AM214" s="77">
        <f t="shared" si="187"/>
        <v>45.802777777777784</v>
      </c>
      <c r="AN214" t="str">
        <f t="shared" si="173"/>
        <v/>
      </c>
      <c r="AO214" t="s">
        <v>327</v>
      </c>
      <c r="AP214" t="str">
        <f t="shared" si="175"/>
        <v>DDm100-25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4"/>
        <v>DDm100-25</v>
      </c>
    </row>
    <row r="215" spans="1:53">
      <c r="A215" s="35" t="s">
        <v>231</v>
      </c>
      <c r="B215" t="s">
        <v>344</v>
      </c>
      <c r="C215" t="s">
        <v>344</v>
      </c>
      <c r="D215" t="s">
        <v>319</v>
      </c>
      <c r="E215" t="s">
        <v>774</v>
      </c>
      <c r="F215" t="s">
        <v>321</v>
      </c>
      <c r="G215">
        <v>36.6</v>
      </c>
      <c r="H215">
        <v>29</v>
      </c>
      <c r="I215">
        <v>139</v>
      </c>
      <c r="J215">
        <v>7.5754999999999999</v>
      </c>
      <c r="K215" s="64">
        <v>45600</v>
      </c>
      <c r="L215">
        <v>44.681280000000001</v>
      </c>
      <c r="M215">
        <v>37.105780000000003</v>
      </c>
      <c r="N215">
        <v>31.326599999999999</v>
      </c>
      <c r="O215">
        <v>23.751100000000001</v>
      </c>
      <c r="P215" t="s">
        <v>322</v>
      </c>
      <c r="Q215" t="s">
        <v>333</v>
      </c>
      <c r="R215" t="s">
        <v>582</v>
      </c>
      <c r="S215">
        <v>39.9816</v>
      </c>
      <c r="T215">
        <v>32.406100000000002</v>
      </c>
      <c r="U215" t="s">
        <v>375</v>
      </c>
      <c r="V215" t="s">
        <v>775</v>
      </c>
      <c r="W215">
        <v>187.5</v>
      </c>
      <c r="X215">
        <v>179.92449999999999</v>
      </c>
      <c r="Y215">
        <v>104</v>
      </c>
      <c r="AB215" s="77">
        <f t="shared" si="176"/>
        <v>37.105780000000003</v>
      </c>
      <c r="AC215" s="77">
        <f t="shared" si="177"/>
        <v>23.751100000000001</v>
      </c>
      <c r="AD215" s="77">
        <f t="shared" si="178"/>
        <v>83.045472287275572</v>
      </c>
      <c r="AE215" s="77">
        <f t="shared" si="179"/>
        <v>75.817675713291592</v>
      </c>
      <c r="AF215" s="77">
        <f t="shared" si="180"/>
        <v>32.406100000000002</v>
      </c>
      <c r="AG215" s="77">
        <f t="shared" si="181"/>
        <v>81.052534165716239</v>
      </c>
      <c r="AH215" s="337">
        <f>AVERAGE(W215:W217)</f>
        <v>187.5</v>
      </c>
      <c r="AI215" s="337">
        <f>SUM(J215:J217)</f>
        <v>88.507999999999996</v>
      </c>
      <c r="AJ215" s="337">
        <f t="shared" si="184"/>
        <v>98.992000000000004</v>
      </c>
      <c r="AK215" s="337">
        <f t="shared" si="185"/>
        <v>0</v>
      </c>
      <c r="AL215" s="337">
        <f t="shared" si="186"/>
        <v>98.992000000000004</v>
      </c>
      <c r="AM215" s="338">
        <f t="shared" si="187"/>
        <v>52.795733333333338</v>
      </c>
      <c r="AN215" t="str">
        <f t="shared" si="173"/>
        <v/>
      </c>
      <c r="AO215" t="s">
        <v>327</v>
      </c>
      <c r="AP215" t="str">
        <f t="shared" si="175"/>
        <v>DDm125-25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4"/>
        <v>DDm125-25</v>
      </c>
    </row>
    <row r="216" spans="1:53">
      <c r="A216" s="35" t="s">
        <v>232</v>
      </c>
      <c r="B216" t="s">
        <v>344</v>
      </c>
      <c r="C216" t="s">
        <v>344</v>
      </c>
      <c r="D216" t="s">
        <v>319</v>
      </c>
      <c r="E216" t="s">
        <v>774</v>
      </c>
      <c r="F216" t="s">
        <v>321</v>
      </c>
      <c r="G216">
        <v>36.6</v>
      </c>
      <c r="H216">
        <v>45</v>
      </c>
      <c r="I216">
        <v>737</v>
      </c>
      <c r="J216">
        <v>40.166499999999999</v>
      </c>
      <c r="K216" s="64">
        <v>45600</v>
      </c>
      <c r="L216">
        <v>70.213440000000006</v>
      </c>
      <c r="M216">
        <v>30.046939999999999</v>
      </c>
      <c r="N216">
        <v>52.886800000000001</v>
      </c>
      <c r="O216">
        <v>12.7203</v>
      </c>
      <c r="P216" t="s">
        <v>339</v>
      </c>
      <c r="Q216" t="s">
        <v>333</v>
      </c>
      <c r="R216" t="s">
        <v>405</v>
      </c>
      <c r="S216">
        <v>56.246400000000101</v>
      </c>
      <c r="T216">
        <v>16.079900000000102</v>
      </c>
      <c r="U216" t="s">
        <v>375</v>
      </c>
      <c r="V216" t="s">
        <v>775</v>
      </c>
      <c r="W216">
        <v>187.5</v>
      </c>
      <c r="X216">
        <v>147.33349999999999</v>
      </c>
      <c r="Y216">
        <v>104</v>
      </c>
      <c r="AB216" s="77">
        <f t="shared" si="176"/>
        <v>30.046939999999999</v>
      </c>
      <c r="AC216" s="77">
        <f t="shared" si="177"/>
        <v>12.7203</v>
      </c>
      <c r="AD216" s="77">
        <f t="shared" si="178"/>
        <v>42.79371584699453</v>
      </c>
      <c r="AE216" s="77">
        <f t="shared" si="179"/>
        <v>24.051937345424566</v>
      </c>
      <c r="AF216" s="77">
        <f t="shared" si="180"/>
        <v>16.079900000000102</v>
      </c>
      <c r="AG216" s="77">
        <f t="shared" si="181"/>
        <v>28.588318541275662</v>
      </c>
      <c r="AH216" s="337"/>
      <c r="AI216" s="337"/>
      <c r="AJ216" s="337"/>
      <c r="AK216" s="337"/>
      <c r="AL216" s="337"/>
      <c r="AM216" s="338"/>
      <c r="AN216" t="str">
        <f t="shared" si="173"/>
        <v/>
      </c>
      <c r="AO216" t="s">
        <v>327</v>
      </c>
      <c r="AP216" t="str">
        <f t="shared" si="175"/>
        <v>DDm100-33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4"/>
        <v>DDm100-33</v>
      </c>
    </row>
    <row r="217" spans="1:53">
      <c r="A217" s="35" t="s">
        <v>233</v>
      </c>
      <c r="B217" t="s">
        <v>344</v>
      </c>
      <c r="C217" t="s">
        <v>344</v>
      </c>
      <c r="D217" t="s">
        <v>319</v>
      </c>
      <c r="E217" t="s">
        <v>774</v>
      </c>
      <c r="F217" t="s">
        <v>321</v>
      </c>
      <c r="G217">
        <v>36.6</v>
      </c>
      <c r="H217">
        <v>63</v>
      </c>
      <c r="I217">
        <v>748</v>
      </c>
      <c r="J217">
        <v>40.765999999999998</v>
      </c>
      <c r="K217" s="64">
        <v>45600</v>
      </c>
      <c r="L217">
        <v>98.937119999999993</v>
      </c>
      <c r="M217">
        <v>58.171120000000002</v>
      </c>
      <c r="N217">
        <v>90.971400000000003</v>
      </c>
      <c r="O217">
        <v>50.205399999999997</v>
      </c>
      <c r="P217" t="s">
        <v>322</v>
      </c>
      <c r="Q217" t="s">
        <v>333</v>
      </c>
      <c r="R217" t="s">
        <v>347</v>
      </c>
      <c r="S217">
        <v>53.330399999999997</v>
      </c>
      <c r="T217">
        <v>12.564399999999999</v>
      </c>
      <c r="U217" t="s">
        <v>375</v>
      </c>
      <c r="V217" t="s">
        <v>775</v>
      </c>
      <c r="W217">
        <v>187.5</v>
      </c>
      <c r="X217">
        <v>146.73400000000001</v>
      </c>
      <c r="Y217">
        <v>104</v>
      </c>
      <c r="AB217" s="77">
        <f t="shared" si="176"/>
        <v>58.171120000000002</v>
      </c>
      <c r="AC217" s="77">
        <f t="shared" si="177"/>
        <v>50.205399999999997</v>
      </c>
      <c r="AD217" s="77">
        <f t="shared" si="178"/>
        <v>58.796051471884375</v>
      </c>
      <c r="AE217" s="77">
        <f t="shared" si="179"/>
        <v>55.188114066618738</v>
      </c>
      <c r="AF217" s="77">
        <f t="shared" si="180"/>
        <v>12.564399999999999</v>
      </c>
      <c r="AG217" s="77">
        <f t="shared" si="181"/>
        <v>23.559545775017625</v>
      </c>
      <c r="AH217" s="337"/>
      <c r="AI217" s="337"/>
      <c r="AJ217" s="337"/>
      <c r="AK217" s="337"/>
      <c r="AL217" s="337"/>
      <c r="AM217" s="338"/>
      <c r="AN217" t="str">
        <f t="shared" si="173"/>
        <v/>
      </c>
      <c r="AO217" t="s">
        <v>327</v>
      </c>
      <c r="AP217" t="str">
        <f t="shared" si="175"/>
        <v>DDm125-33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4"/>
        <v>DDm125-33</v>
      </c>
    </row>
    <row r="218" spans="1:53">
      <c r="A218" s="35" t="s">
        <v>234</v>
      </c>
      <c r="B218" t="s">
        <v>344</v>
      </c>
      <c r="C218" t="s">
        <v>344</v>
      </c>
      <c r="D218" t="s">
        <v>319</v>
      </c>
      <c r="E218" t="s">
        <v>776</v>
      </c>
      <c r="F218" t="s">
        <v>321</v>
      </c>
      <c r="G218">
        <v>36.6</v>
      </c>
      <c r="H218">
        <v>63</v>
      </c>
      <c r="I218">
        <v>786</v>
      </c>
      <c r="J218">
        <v>42.837000000000003</v>
      </c>
      <c r="K218" s="64">
        <v>45600</v>
      </c>
      <c r="L218">
        <v>98.937119999999993</v>
      </c>
      <c r="M218">
        <v>56.100119999999997</v>
      </c>
      <c r="N218">
        <v>79.390150000000006</v>
      </c>
      <c r="O218">
        <v>36.553150000000002</v>
      </c>
      <c r="P218" t="s">
        <v>346</v>
      </c>
      <c r="Q218" t="s">
        <v>333</v>
      </c>
      <c r="R218" t="s">
        <v>572</v>
      </c>
      <c r="S218">
        <v>72.144000000000005</v>
      </c>
      <c r="T218">
        <v>29.306999999999999</v>
      </c>
      <c r="U218" t="s">
        <v>380</v>
      </c>
      <c r="V218" t="s">
        <v>777</v>
      </c>
      <c r="W218">
        <v>373.5</v>
      </c>
      <c r="X218">
        <v>330.66300000000001</v>
      </c>
      <c r="Y218">
        <v>94</v>
      </c>
      <c r="AB218" s="77">
        <f t="shared" si="176"/>
        <v>56.100119999999997</v>
      </c>
      <c r="AC218" s="77">
        <f t="shared" si="177"/>
        <v>36.553150000000002</v>
      </c>
      <c r="AD218" s="77">
        <f t="shared" si="178"/>
        <v>56.7028027498678</v>
      </c>
      <c r="AE218" s="77">
        <f t="shared" si="179"/>
        <v>46.042424658474637</v>
      </c>
      <c r="AF218" s="77">
        <f t="shared" si="180"/>
        <v>29.306999999999999</v>
      </c>
      <c r="AG218" s="77">
        <f t="shared" si="181"/>
        <v>40.622920825016628</v>
      </c>
      <c r="AH218" s="337">
        <f>AVERAGE(W218:W221)</f>
        <v>373.5</v>
      </c>
      <c r="AI218" s="337">
        <f>SUM(J218:J221)</f>
        <v>179.57750000000001</v>
      </c>
      <c r="AJ218" s="337">
        <f t="shared" si="184"/>
        <v>193.92249999999999</v>
      </c>
      <c r="AK218" s="337">
        <f>SUM(AA218:AA221)</f>
        <v>0</v>
      </c>
      <c r="AL218" s="337">
        <f t="shared" si="186"/>
        <v>193.92249999999999</v>
      </c>
      <c r="AM218" s="338">
        <f t="shared" si="187"/>
        <v>51.92034805890227</v>
      </c>
      <c r="AN218" t="str">
        <f t="shared" si="173"/>
        <v/>
      </c>
      <c r="AO218" s="52" t="s">
        <v>395</v>
      </c>
      <c r="AP218" t="str">
        <f t="shared" si="175"/>
        <v>DDm125-27</v>
      </c>
      <c r="AQ218" t="str">
        <f>_xlfn.XLOOKUP(A218,'SYS Allocations'!A:A,'SYS Allocations'!B:B)</f>
        <v>P-Core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4"/>
        <v>DDm125-27</v>
      </c>
    </row>
    <row r="219" spans="1:53">
      <c r="A219" s="35" t="s">
        <v>235</v>
      </c>
      <c r="B219" t="s">
        <v>344</v>
      </c>
      <c r="C219" t="s">
        <v>344</v>
      </c>
      <c r="D219" t="s">
        <v>319</v>
      </c>
      <c r="E219" t="s">
        <v>776</v>
      </c>
      <c r="F219" t="s">
        <v>321</v>
      </c>
      <c r="G219">
        <v>36.6</v>
      </c>
      <c r="H219">
        <v>64</v>
      </c>
      <c r="I219">
        <v>754</v>
      </c>
      <c r="J219">
        <v>41.093000000000004</v>
      </c>
      <c r="K219" s="64">
        <v>45600</v>
      </c>
      <c r="L219">
        <v>100.53288000000001</v>
      </c>
      <c r="M219">
        <v>59.439880000000002</v>
      </c>
      <c r="N219">
        <v>71.1661</v>
      </c>
      <c r="O219">
        <v>30.0731</v>
      </c>
      <c r="P219" t="s">
        <v>346</v>
      </c>
      <c r="Q219" t="s">
        <v>333</v>
      </c>
      <c r="R219" t="s">
        <v>347</v>
      </c>
      <c r="S219">
        <v>88.884000000000199</v>
      </c>
      <c r="T219">
        <v>47.791000000000203</v>
      </c>
      <c r="U219" t="s">
        <v>380</v>
      </c>
      <c r="V219" t="s">
        <v>777</v>
      </c>
      <c r="W219">
        <v>373.5</v>
      </c>
      <c r="X219">
        <v>332.40699999999998</v>
      </c>
      <c r="Y219">
        <v>94</v>
      </c>
      <c r="AB219" s="77">
        <f t="shared" si="176"/>
        <v>59.439880000000002</v>
      </c>
      <c r="AC219" s="77">
        <f t="shared" si="177"/>
        <v>30.0731</v>
      </c>
      <c r="AD219" s="77">
        <f t="shared" si="178"/>
        <v>59.124815682192732</v>
      </c>
      <c r="AE219" s="77">
        <f t="shared" si="179"/>
        <v>42.257619849900443</v>
      </c>
      <c r="AF219" s="77">
        <f t="shared" si="180"/>
        <v>47.791000000000203</v>
      </c>
      <c r="AG219" s="77">
        <f t="shared" si="181"/>
        <v>53.767832230772804</v>
      </c>
      <c r="AH219" s="337"/>
      <c r="AI219" s="337"/>
      <c r="AJ219" s="337"/>
      <c r="AK219" s="337"/>
      <c r="AL219" s="337"/>
      <c r="AM219" s="338"/>
      <c r="AN219" t="str">
        <f t="shared" si="173"/>
        <v/>
      </c>
      <c r="AO219" s="52" t="s">
        <v>395</v>
      </c>
      <c r="AP219" t="str">
        <f t="shared" si="175"/>
        <v>DDm125-33</v>
      </c>
      <c r="AQ219" t="str">
        <f>_xlfn.XLOOKUP(A219,'SYS Allocations'!A:A,'SYS Allocations'!B:B)</f>
        <v>P-Core</v>
      </c>
      <c r="AR219" t="str">
        <f>_xlfn.XLOOKUP(A219,'SYS Allocations'!A:A,'SYS Allocations'!C:C)</f>
        <v>RA</v>
      </c>
      <c r="AS219" t="str">
        <f>_xlfn.XLOOKUP(A219,'SYS Allocations'!A:A,'SYS Allocations'!D:D)</f>
        <v>PX</v>
      </c>
      <c r="AT219">
        <f>_xlfn.XLOOKUP(A219,'SYS Allocations'!A:A,'SYS Allocations'!E:E)</f>
        <v>0</v>
      </c>
      <c r="AU219" t="str">
        <f>_xlfn.XLOOKUP(A219,'SYS Allocations'!A:A,'SYS Allocations'!F:F)</f>
        <v>OPEX</v>
      </c>
      <c r="BA219" t="str">
        <f t="shared" si="174"/>
        <v>DDm125-33</v>
      </c>
    </row>
    <row r="220" spans="1:53">
      <c r="A220" s="35" t="s">
        <v>236</v>
      </c>
      <c r="B220" t="s">
        <v>344</v>
      </c>
      <c r="C220" t="s">
        <v>344</v>
      </c>
      <c r="D220" t="s">
        <v>319</v>
      </c>
      <c r="E220" t="s">
        <v>776</v>
      </c>
      <c r="F220" t="s">
        <v>321</v>
      </c>
      <c r="G220">
        <v>36.6</v>
      </c>
      <c r="H220">
        <v>72</v>
      </c>
      <c r="I220">
        <v>924</v>
      </c>
      <c r="J220">
        <v>50.357999999999997</v>
      </c>
      <c r="K220" s="64">
        <v>45600</v>
      </c>
      <c r="L220">
        <v>113.29895999999999</v>
      </c>
      <c r="M220">
        <v>62.940959999999997</v>
      </c>
      <c r="N220">
        <v>76.223699999999994</v>
      </c>
      <c r="O220">
        <v>25.8657</v>
      </c>
      <c r="P220" t="s">
        <v>375</v>
      </c>
      <c r="Q220" t="s">
        <v>333</v>
      </c>
      <c r="R220" t="s">
        <v>347</v>
      </c>
      <c r="S220">
        <v>106.66079999999999</v>
      </c>
      <c r="T220">
        <v>56.302800000000097</v>
      </c>
      <c r="U220" t="s">
        <v>380</v>
      </c>
      <c r="V220" t="s">
        <v>777</v>
      </c>
      <c r="W220">
        <v>373.5</v>
      </c>
      <c r="X220">
        <v>323.142</v>
      </c>
      <c r="Y220">
        <v>94</v>
      </c>
      <c r="AB220" s="77">
        <f t="shared" si="176"/>
        <v>62.940959999999997</v>
      </c>
      <c r="AC220" s="77">
        <f t="shared" si="177"/>
        <v>25.8657</v>
      </c>
      <c r="AD220" s="77">
        <f t="shared" si="178"/>
        <v>55.552990071577007</v>
      </c>
      <c r="AE220" s="77">
        <f t="shared" si="179"/>
        <v>33.933933933933936</v>
      </c>
      <c r="AF220" s="77">
        <f t="shared" si="180"/>
        <v>56.302800000000097</v>
      </c>
      <c r="AG220" s="77">
        <f t="shared" si="181"/>
        <v>52.786778272805094</v>
      </c>
      <c r="AH220" s="337">
        <f>AVERAGE(W220:W221)</f>
        <v>373.5</v>
      </c>
      <c r="AI220" s="337">
        <f>SUM(J220:J221)</f>
        <v>95.647499999999994</v>
      </c>
      <c r="AJ220" s="337">
        <f>AH220-AI220</f>
        <v>277.85250000000002</v>
      </c>
      <c r="AK220" s="337">
        <f>SUM(AA220:AA221)</f>
        <v>0</v>
      </c>
      <c r="AL220" s="337">
        <f>AJ220-AK220</f>
        <v>277.85250000000002</v>
      </c>
      <c r="AM220" s="338">
        <f t="shared" si="187"/>
        <v>74.391566265060248</v>
      </c>
      <c r="AN220" t="str">
        <f t="shared" si="173"/>
        <v/>
      </c>
      <c r="AO220" t="s">
        <v>327</v>
      </c>
      <c r="AP220" t="str">
        <f t="shared" si="175"/>
        <v>DDm125-33</v>
      </c>
      <c r="AQ220" t="str">
        <f>_xlfn.XLOOKUP(A220,'SYS Allocations'!A:A,'SYS Allocations'!B:B)</f>
        <v>P-Core</v>
      </c>
      <c r="AR220">
        <f>_xlfn.XLOOKUP(A220,'SYS Allocations'!A:A,'SYS Allocations'!C:C)</f>
        <v>0</v>
      </c>
      <c r="AS220">
        <f>_xlfn.XLOOKUP(A220,'SYS Allocations'!A:A,'SYS Allocations'!D:D)</f>
        <v>0</v>
      </c>
      <c r="AT220">
        <f>_xlfn.XLOOKUP(A220,'SYS Allocations'!A:A,'SYS Allocations'!E:E)</f>
        <v>0</v>
      </c>
      <c r="AU220">
        <f>_xlfn.XLOOKUP(A220,'SYS Allocations'!A:A,'SYS Allocations'!F:F)</f>
        <v>0</v>
      </c>
      <c r="BA220" t="str">
        <f t="shared" si="174"/>
        <v>DDm125-33</v>
      </c>
    </row>
    <row r="221" spans="1:53">
      <c r="A221" s="35" t="s">
        <v>237</v>
      </c>
      <c r="B221" t="s">
        <v>344</v>
      </c>
      <c r="C221" t="s">
        <v>344</v>
      </c>
      <c r="D221" t="s">
        <v>319</v>
      </c>
      <c r="E221" t="s">
        <v>776</v>
      </c>
      <c r="F221" t="s">
        <v>321</v>
      </c>
      <c r="G221">
        <v>36.6</v>
      </c>
      <c r="H221">
        <v>72</v>
      </c>
      <c r="I221">
        <v>831</v>
      </c>
      <c r="J221">
        <v>45.289499999999997</v>
      </c>
      <c r="K221" s="64">
        <v>45600</v>
      </c>
      <c r="L221">
        <v>113.29895999999999</v>
      </c>
      <c r="M221">
        <v>68.009460000000004</v>
      </c>
      <c r="N221">
        <v>76.223699999999994</v>
      </c>
      <c r="O221">
        <v>30.934200000000001</v>
      </c>
      <c r="P221" t="s">
        <v>375</v>
      </c>
      <c r="Q221" t="s">
        <v>333</v>
      </c>
      <c r="R221" t="s">
        <v>347</v>
      </c>
      <c r="S221">
        <v>106.66079999999999</v>
      </c>
      <c r="T221">
        <v>61.371300000000097</v>
      </c>
      <c r="U221" t="s">
        <v>380</v>
      </c>
      <c r="V221" t="s">
        <v>777</v>
      </c>
      <c r="W221">
        <v>373.5</v>
      </c>
      <c r="X221">
        <v>328.21050000000002</v>
      </c>
      <c r="Y221">
        <v>94</v>
      </c>
      <c r="AB221" s="77">
        <f t="shared" si="176"/>
        <v>68.009460000000004</v>
      </c>
      <c r="AC221" s="77">
        <f t="shared" si="177"/>
        <v>30.934200000000001</v>
      </c>
      <c r="AD221" s="77">
        <f t="shared" si="178"/>
        <v>60.026552759178024</v>
      </c>
      <c r="AE221" s="77">
        <f t="shared" si="179"/>
        <v>40.583440583440584</v>
      </c>
      <c r="AF221" s="77">
        <f t="shared" si="180"/>
        <v>61.371300000000097</v>
      </c>
      <c r="AG221" s="77">
        <f t="shared" si="181"/>
        <v>57.538758381711084</v>
      </c>
      <c r="AH221" s="337"/>
      <c r="AI221" s="337"/>
      <c r="AJ221" s="337"/>
      <c r="AK221" s="337"/>
      <c r="AL221" s="337"/>
      <c r="AM221" s="338"/>
      <c r="AN221" t="str">
        <f t="shared" si="173"/>
        <v/>
      </c>
      <c r="AO221" t="s">
        <v>327</v>
      </c>
      <c r="AP221" t="str">
        <f t="shared" si="175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4"/>
        <v>DDm125-33</v>
      </c>
    </row>
    <row r="222" spans="1:53">
      <c r="A222" s="35" t="s">
        <v>238</v>
      </c>
      <c r="B222" t="s">
        <v>390</v>
      </c>
      <c r="C222" t="s">
        <v>778</v>
      </c>
      <c r="D222" t="s">
        <v>392</v>
      </c>
      <c r="E222" t="s">
        <v>779</v>
      </c>
      <c r="F222" t="s">
        <v>321</v>
      </c>
      <c r="G222">
        <v>36.6</v>
      </c>
      <c r="H222">
        <v>12</v>
      </c>
      <c r="I222">
        <v>98</v>
      </c>
      <c r="J222">
        <v>5.3410000000000002</v>
      </c>
      <c r="K222" s="64">
        <v>45600</v>
      </c>
      <c r="L222">
        <v>17.553360000000001</v>
      </c>
      <c r="M222">
        <v>12.21236</v>
      </c>
      <c r="N222">
        <v>21.1569</v>
      </c>
      <c r="O222">
        <v>15.815899999999999</v>
      </c>
      <c r="P222" t="s">
        <v>322</v>
      </c>
      <c r="Q222" t="s">
        <v>354</v>
      </c>
      <c r="R222" t="s">
        <v>780</v>
      </c>
      <c r="S222">
        <v>12.9276</v>
      </c>
      <c r="T222">
        <v>7.5866000000000202</v>
      </c>
      <c r="U222" t="s">
        <v>325</v>
      </c>
      <c r="V222" t="s">
        <v>442</v>
      </c>
      <c r="W222">
        <v>11.25</v>
      </c>
      <c r="X222">
        <v>5.9089999999999998</v>
      </c>
      <c r="Y222">
        <v>1</v>
      </c>
      <c r="Z222" t="s">
        <v>8</v>
      </c>
      <c r="AB222" s="77">
        <f t="shared" si="176"/>
        <v>12.21236</v>
      </c>
      <c r="AC222" s="77">
        <f t="shared" si="177"/>
        <v>15.815899999999999</v>
      </c>
      <c r="AD222" s="77">
        <f t="shared" si="178"/>
        <v>69.572776949826121</v>
      </c>
      <c r="AE222" s="77">
        <f t="shared" si="179"/>
        <v>74.755280783101483</v>
      </c>
      <c r="AF222" s="77">
        <f t="shared" si="180"/>
        <v>7.5866000000000202</v>
      </c>
      <c r="AG222" s="77">
        <f t="shared" si="181"/>
        <v>58.685293480615272</v>
      </c>
      <c r="AH222" s="77">
        <f t="shared" si="182"/>
        <v>11.25</v>
      </c>
      <c r="AI222" s="77">
        <f t="shared" si="183"/>
        <v>5.3410000000000002</v>
      </c>
      <c r="AJ222" s="77">
        <f t="shared" si="184"/>
        <v>5.9089999999999998</v>
      </c>
      <c r="AK222" s="77">
        <f t="shared" si="185"/>
        <v>0</v>
      </c>
      <c r="AL222" s="77">
        <f t="shared" si="186"/>
        <v>5.9089999999999998</v>
      </c>
      <c r="AM222" s="77">
        <f t="shared" si="187"/>
        <v>52.524444444444441</v>
      </c>
      <c r="AN222" t="str">
        <f t="shared" si="173"/>
        <v>Capped</v>
      </c>
      <c r="AO222" t="s">
        <v>327</v>
      </c>
      <c r="AP222" t="str">
        <f t="shared" si="175"/>
        <v>SBS480 EON</v>
      </c>
      <c r="AQ222">
        <f>_xlfn.XLOOKUP(A222,'SYS Allocations'!A:A,'SYS Allocations'!B:B)</f>
        <v>0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4"/>
        <v>SBS480 EON</v>
      </c>
    </row>
    <row r="223" spans="1:53">
      <c r="A223" s="35" t="s">
        <v>239</v>
      </c>
      <c r="B223" t="s">
        <v>328</v>
      </c>
      <c r="C223" t="s">
        <v>781</v>
      </c>
      <c r="D223" t="s">
        <v>330</v>
      </c>
      <c r="E223" t="s">
        <v>782</v>
      </c>
      <c r="F223" t="s">
        <v>332</v>
      </c>
      <c r="G223">
        <v>75</v>
      </c>
      <c r="H223">
        <v>6</v>
      </c>
      <c r="I223">
        <v>125</v>
      </c>
      <c r="J223">
        <v>6.8125</v>
      </c>
      <c r="K223" s="64">
        <v>44873</v>
      </c>
      <c r="L223">
        <v>16.350000000000001</v>
      </c>
      <c r="M223">
        <v>9.5374999999999996</v>
      </c>
      <c r="N223">
        <v>13.952</v>
      </c>
      <c r="O223">
        <v>7.1395</v>
      </c>
      <c r="P223" t="s">
        <v>325</v>
      </c>
      <c r="Q223" t="s">
        <v>333</v>
      </c>
      <c r="R223" t="s">
        <v>366</v>
      </c>
      <c r="S223">
        <v>10.1088</v>
      </c>
      <c r="T223">
        <v>3.29629999999998</v>
      </c>
      <c r="U223" t="s">
        <v>325</v>
      </c>
      <c r="V223" t="s">
        <v>371</v>
      </c>
      <c r="W223">
        <v>15</v>
      </c>
      <c r="X223">
        <v>8.1875</v>
      </c>
      <c r="Y223">
        <v>13</v>
      </c>
      <c r="AB223" s="77">
        <f t="shared" si="176"/>
        <v>9.5374999999999996</v>
      </c>
      <c r="AC223" s="77">
        <f t="shared" si="177"/>
        <v>7.1395</v>
      </c>
      <c r="AD223" s="77">
        <f t="shared" si="178"/>
        <v>58.333333333333329</v>
      </c>
      <c r="AE223" s="77">
        <f t="shared" si="179"/>
        <v>51.171875</v>
      </c>
      <c r="AF223" s="77">
        <f t="shared" si="180"/>
        <v>3.29629999999998</v>
      </c>
      <c r="AG223" s="77">
        <f t="shared" si="181"/>
        <v>32.608222538777895</v>
      </c>
      <c r="AH223" s="77">
        <f t="shared" si="182"/>
        <v>15</v>
      </c>
      <c r="AI223" s="77">
        <f t="shared" si="183"/>
        <v>6.8125</v>
      </c>
      <c r="AJ223" s="77">
        <f t="shared" si="184"/>
        <v>8.1875</v>
      </c>
      <c r="AK223" s="77">
        <f t="shared" si="185"/>
        <v>0</v>
      </c>
      <c r="AL223" s="77">
        <f t="shared" si="186"/>
        <v>8.1875</v>
      </c>
      <c r="AM223" s="77">
        <f t="shared" si="187"/>
        <v>54.583333333333336</v>
      </c>
      <c r="AN223" t="str">
        <f t="shared" si="173"/>
        <v/>
      </c>
      <c r="AO223" t="s">
        <v>327</v>
      </c>
      <c r="AP223" t="str">
        <f t="shared" si="175"/>
        <v>2DDm85-15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4"/>
        <v>2DDm85-15</v>
      </c>
    </row>
    <row r="224" spans="1:53">
      <c r="A224" s="35" t="s">
        <v>240</v>
      </c>
      <c r="B224" t="s">
        <v>488</v>
      </c>
      <c r="C224" t="s">
        <v>705</v>
      </c>
      <c r="D224" t="s">
        <v>319</v>
      </c>
      <c r="E224" t="s">
        <v>783</v>
      </c>
      <c r="F224" t="s">
        <v>321</v>
      </c>
      <c r="G224">
        <v>36.6</v>
      </c>
      <c r="H224">
        <v>15</v>
      </c>
      <c r="I224">
        <v>185</v>
      </c>
      <c r="J224">
        <v>10.0825</v>
      </c>
      <c r="K224" s="64">
        <v>45600</v>
      </c>
      <c r="L224">
        <v>22.34064</v>
      </c>
      <c r="M224">
        <v>12.258139999999999</v>
      </c>
      <c r="N224">
        <v>16.8078</v>
      </c>
      <c r="O224">
        <v>6.7252999999999998</v>
      </c>
      <c r="P224" t="s">
        <v>325</v>
      </c>
      <c r="Q224" t="s">
        <v>333</v>
      </c>
      <c r="R224" t="s">
        <v>334</v>
      </c>
      <c r="S224">
        <v>17.409600000000001</v>
      </c>
      <c r="T224">
        <v>7.3270999999999802</v>
      </c>
      <c r="U224" t="s">
        <v>325</v>
      </c>
      <c r="V224" t="s">
        <v>515</v>
      </c>
      <c r="W224">
        <v>30</v>
      </c>
      <c r="X224">
        <v>19.9175</v>
      </c>
      <c r="Y224">
        <v>5</v>
      </c>
      <c r="AB224" s="77">
        <f t="shared" si="176"/>
        <v>12.258139999999999</v>
      </c>
      <c r="AC224" s="77">
        <f t="shared" si="177"/>
        <v>6.7252999999999998</v>
      </c>
      <c r="AD224" s="77">
        <f t="shared" si="178"/>
        <v>54.869242779078839</v>
      </c>
      <c r="AE224" s="77">
        <f t="shared" si="179"/>
        <v>40.012970168612192</v>
      </c>
      <c r="AF224" s="77">
        <f t="shared" si="180"/>
        <v>7.3270999999999802</v>
      </c>
      <c r="AG224" s="77">
        <f t="shared" si="181"/>
        <v>42.086549949453058</v>
      </c>
      <c r="AH224" s="77">
        <f t="shared" si="182"/>
        <v>30</v>
      </c>
      <c r="AI224" s="77">
        <f t="shared" si="183"/>
        <v>10.0825</v>
      </c>
      <c r="AJ224" s="77">
        <f t="shared" si="184"/>
        <v>19.9175</v>
      </c>
      <c r="AK224" s="77">
        <f t="shared" si="185"/>
        <v>0</v>
      </c>
      <c r="AL224" s="77">
        <f t="shared" si="186"/>
        <v>19.9175</v>
      </c>
      <c r="AM224" s="77">
        <f t="shared" si="187"/>
        <v>66.391666666666666</v>
      </c>
      <c r="AN224" t="str">
        <f t="shared" si="173"/>
        <v/>
      </c>
      <c r="AO224" t="s">
        <v>327</v>
      </c>
      <c r="AP224" t="str">
        <f t="shared" si="175"/>
        <v>DDm85-25</v>
      </c>
      <c r="AQ224">
        <f>_xlfn.XLOOKUP(A224,'SYS Allocations'!A:A,'SYS Allocations'!B:B)</f>
        <v>0</v>
      </c>
      <c r="AR224" t="str">
        <f>_xlfn.XLOOKUP(A224,'SYS Allocations'!A:A,'SYS Allocations'!C:C)</f>
        <v>RA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4"/>
        <v>DDm85-25</v>
      </c>
    </row>
    <row r="225" spans="1:53">
      <c r="A225" s="35" t="s">
        <v>241</v>
      </c>
      <c r="B225" t="s">
        <v>377</v>
      </c>
      <c r="C225" t="s">
        <v>784</v>
      </c>
      <c r="D225" t="s">
        <v>319</v>
      </c>
      <c r="E225" t="s">
        <v>785</v>
      </c>
      <c r="F225" t="s">
        <v>321</v>
      </c>
      <c r="G225">
        <v>36.6</v>
      </c>
      <c r="H225">
        <v>26</v>
      </c>
      <c r="I225">
        <v>341</v>
      </c>
      <c r="J225">
        <v>18.584499999999998</v>
      </c>
      <c r="K225" s="64">
        <v>44502.416666666701</v>
      </c>
      <c r="L225">
        <v>39.893999999999998</v>
      </c>
      <c r="M225">
        <v>21.3095</v>
      </c>
      <c r="N225">
        <v>33.648299999999999</v>
      </c>
      <c r="O225">
        <v>15.063800000000001</v>
      </c>
      <c r="P225" t="s">
        <v>325</v>
      </c>
      <c r="Q225" t="s">
        <v>387</v>
      </c>
      <c r="R225" t="s">
        <v>786</v>
      </c>
      <c r="S225">
        <v>33.393599999999999</v>
      </c>
      <c r="T225">
        <v>14.809100000000001</v>
      </c>
      <c r="U225" t="s">
        <v>325</v>
      </c>
      <c r="V225" t="s">
        <v>787</v>
      </c>
      <c r="W225">
        <v>45.5625</v>
      </c>
      <c r="X225">
        <v>26.978000000000002</v>
      </c>
      <c r="Y225">
        <v>13</v>
      </c>
      <c r="AB225" s="77">
        <f t="shared" si="176"/>
        <v>21.3095</v>
      </c>
      <c r="AC225" s="77">
        <f t="shared" si="177"/>
        <v>15.063800000000001</v>
      </c>
      <c r="AD225" s="77">
        <f t="shared" si="178"/>
        <v>53.415300546448094</v>
      </c>
      <c r="AE225" s="77">
        <f t="shared" si="179"/>
        <v>44.768383543893755</v>
      </c>
      <c r="AF225" s="77">
        <f t="shared" si="180"/>
        <v>14.809100000000001</v>
      </c>
      <c r="AG225" s="77">
        <f t="shared" si="181"/>
        <v>44.3471204063054</v>
      </c>
      <c r="AH225" s="77">
        <f t="shared" si="182"/>
        <v>45.5625</v>
      </c>
      <c r="AI225" s="77">
        <f t="shared" si="183"/>
        <v>18.584499999999998</v>
      </c>
      <c r="AJ225" s="77">
        <f t="shared" si="184"/>
        <v>26.978000000000002</v>
      </c>
      <c r="AK225" s="77">
        <f t="shared" si="185"/>
        <v>0</v>
      </c>
      <c r="AL225" s="77">
        <f t="shared" si="186"/>
        <v>26.978000000000002</v>
      </c>
      <c r="AM225" s="77">
        <f t="shared" si="187"/>
        <v>59.210973936899869</v>
      </c>
      <c r="AN225" t="str">
        <f t="shared" si="173"/>
        <v/>
      </c>
      <c r="AO225" t="s">
        <v>327</v>
      </c>
      <c r="AP225" t="str">
        <f t="shared" si="175"/>
        <v>2SLA2000</v>
      </c>
      <c r="AQ225">
        <f>_xlfn.XLOOKUP(A225,'SYS Allocations'!A:A,'SYS Allocations'!B:B)</f>
        <v>0</v>
      </c>
      <c r="AR225">
        <f>_xlfn.XLOOKUP(A225,'SYS Allocations'!A:A,'SYS Allocations'!C:C)</f>
        <v>0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4"/>
        <v>2SLA2000</v>
      </c>
    </row>
    <row r="226" spans="1:53">
      <c r="A226" s="35" t="s">
        <v>242</v>
      </c>
      <c r="B226" t="s">
        <v>344</v>
      </c>
      <c r="C226" t="s">
        <v>344</v>
      </c>
      <c r="D226" t="s">
        <v>319</v>
      </c>
      <c r="E226" t="s">
        <v>788</v>
      </c>
      <c r="F226" t="s">
        <v>789</v>
      </c>
      <c r="G226">
        <v>50</v>
      </c>
      <c r="H226">
        <v>6</v>
      </c>
      <c r="I226">
        <v>159</v>
      </c>
      <c r="J226">
        <v>8.6654999999999998</v>
      </c>
      <c r="K226" s="64">
        <v>44587.444444444402</v>
      </c>
      <c r="L226">
        <v>10.9</v>
      </c>
      <c r="M226">
        <v>2.2345000000000002</v>
      </c>
      <c r="N226">
        <v>6.5944994550000002</v>
      </c>
      <c r="O226">
        <v>-2.071000545</v>
      </c>
      <c r="P226" t="s">
        <v>326</v>
      </c>
      <c r="Q226" t="s">
        <v>354</v>
      </c>
      <c r="R226" t="s">
        <v>361</v>
      </c>
      <c r="S226">
        <v>14.04</v>
      </c>
      <c r="T226">
        <v>5.3745000000000198</v>
      </c>
      <c r="U226" t="s">
        <v>339</v>
      </c>
      <c r="V226" t="s">
        <v>790</v>
      </c>
      <c r="W226">
        <v>25.5</v>
      </c>
      <c r="X226">
        <v>16.834499999999998</v>
      </c>
      <c r="Y226">
        <v>2</v>
      </c>
      <c r="AB226" s="77">
        <f t="shared" si="176"/>
        <v>2.2345000000000002</v>
      </c>
      <c r="AC226" s="77">
        <f t="shared" si="177"/>
        <v>-2.071000545</v>
      </c>
      <c r="AD226" s="77">
        <f t="shared" si="178"/>
        <v>20.5</v>
      </c>
      <c r="AE226" s="77">
        <f t="shared" si="179"/>
        <v>-31.404969537600788</v>
      </c>
      <c r="AF226" s="77">
        <f t="shared" si="180"/>
        <v>5.3745000000000198</v>
      </c>
      <c r="AG226" s="77">
        <f t="shared" si="181"/>
        <v>38.27991452991467</v>
      </c>
      <c r="AH226" s="337">
        <f>AVERAGE(W226:W229)</f>
        <v>25.5</v>
      </c>
      <c r="AI226" s="337">
        <f>SUM(J226:J229)</f>
        <v>19.919750000000001</v>
      </c>
      <c r="AJ226" s="337">
        <f>AH226-AI226</f>
        <v>5.5802499999999995</v>
      </c>
      <c r="AK226" s="337">
        <f>SUM(AA226:AA229)</f>
        <v>0</v>
      </c>
      <c r="AL226" s="337">
        <f t="shared" si="186"/>
        <v>5.5802499999999995</v>
      </c>
      <c r="AM226" s="338">
        <f t="shared" si="187"/>
        <v>21.883333333333329</v>
      </c>
      <c r="AN226" t="str">
        <f t="shared" si="173"/>
        <v/>
      </c>
      <c r="AO226" t="s">
        <v>327</v>
      </c>
      <c r="AP226" t="str">
        <f t="shared" si="175"/>
        <v>12V155F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4"/>
        <v>12V155F</v>
      </c>
    </row>
    <row r="227" spans="1:53">
      <c r="A227" s="35" t="s">
        <v>243</v>
      </c>
      <c r="B227" t="s">
        <v>344</v>
      </c>
      <c r="C227" t="s">
        <v>344</v>
      </c>
      <c r="D227" t="s">
        <v>319</v>
      </c>
      <c r="E227" t="s">
        <v>788</v>
      </c>
      <c r="F227" t="s">
        <v>789</v>
      </c>
      <c r="G227">
        <v>50</v>
      </c>
      <c r="H227">
        <v>6</v>
      </c>
      <c r="I227">
        <v>131.5</v>
      </c>
      <c r="J227">
        <v>7.1667500000000004</v>
      </c>
      <c r="K227" s="64">
        <v>44504.541666666701</v>
      </c>
      <c r="L227">
        <v>10.9</v>
      </c>
      <c r="M227">
        <v>3.73325</v>
      </c>
      <c r="N227">
        <v>6.5944994550000002</v>
      </c>
      <c r="O227">
        <v>-0.57225054500000005</v>
      </c>
      <c r="P227" t="s">
        <v>326</v>
      </c>
      <c r="Q227" t="s">
        <v>354</v>
      </c>
      <c r="R227" t="s">
        <v>361</v>
      </c>
      <c r="S227">
        <v>14.04</v>
      </c>
      <c r="T227">
        <v>6.8732500000000201</v>
      </c>
      <c r="U227" t="s">
        <v>339</v>
      </c>
      <c r="V227" t="s">
        <v>790</v>
      </c>
      <c r="W227">
        <v>25.5</v>
      </c>
      <c r="X227">
        <v>18.33325</v>
      </c>
      <c r="Y227">
        <v>2</v>
      </c>
      <c r="AB227" s="77">
        <f t="shared" si="176"/>
        <v>3.73325</v>
      </c>
      <c r="AC227" s="77">
        <f t="shared" si="177"/>
        <v>-0.57225054500000005</v>
      </c>
      <c r="AD227" s="77">
        <f t="shared" si="178"/>
        <v>34.25</v>
      </c>
      <c r="AE227" s="77">
        <f t="shared" si="179"/>
        <v>-8.6776949320409056</v>
      </c>
      <c r="AF227" s="77">
        <f t="shared" si="180"/>
        <v>6.8732500000000201</v>
      </c>
      <c r="AG227" s="77">
        <f t="shared" si="181"/>
        <v>48.954772079772226</v>
      </c>
      <c r="AH227" s="337"/>
      <c r="AI227" s="337"/>
      <c r="AJ227" s="337"/>
      <c r="AK227" s="337"/>
      <c r="AL227" s="337"/>
      <c r="AM227" s="338"/>
      <c r="AN227" t="str">
        <f t="shared" si="173"/>
        <v/>
      </c>
      <c r="AO227" t="s">
        <v>327</v>
      </c>
      <c r="AP227" t="str">
        <f t="shared" si="17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4"/>
        <v>12V155F</v>
      </c>
    </row>
    <row r="228" spans="1:53">
      <c r="A228" s="35" t="s">
        <v>244</v>
      </c>
      <c r="B228" t="s">
        <v>344</v>
      </c>
      <c r="C228" t="s">
        <v>344</v>
      </c>
      <c r="D228" t="s">
        <v>319</v>
      </c>
      <c r="E228" t="s">
        <v>788</v>
      </c>
      <c r="F228" t="s">
        <v>736</v>
      </c>
      <c r="G228">
        <v>50</v>
      </c>
      <c r="H228">
        <v>6</v>
      </c>
      <c r="I228">
        <v>53</v>
      </c>
      <c r="J228">
        <v>2.8885000000000001</v>
      </c>
      <c r="K228" s="64">
        <v>45058</v>
      </c>
      <c r="L228">
        <v>10.9</v>
      </c>
      <c r="M228">
        <v>8.0114999999999998</v>
      </c>
      <c r="N228">
        <v>5.1883993459999997</v>
      </c>
      <c r="O228">
        <v>2.2998993460000001</v>
      </c>
      <c r="P228" t="s">
        <v>430</v>
      </c>
      <c r="Q228" t="s">
        <v>354</v>
      </c>
      <c r="R228" t="s">
        <v>361</v>
      </c>
      <c r="S228">
        <v>16.847999999999999</v>
      </c>
      <c r="T228">
        <v>13.9595</v>
      </c>
      <c r="U228" t="s">
        <v>339</v>
      </c>
      <c r="V228" t="s">
        <v>790</v>
      </c>
      <c r="W228">
        <v>25.5</v>
      </c>
      <c r="X228">
        <v>22.611499999999999</v>
      </c>
      <c r="Y228">
        <v>2</v>
      </c>
      <c r="AB228" s="77">
        <f t="shared" si="176"/>
        <v>8.0114999999999998</v>
      </c>
      <c r="AC228" s="77">
        <f t="shared" si="177"/>
        <v>2.2998993460000001</v>
      </c>
      <c r="AD228" s="77">
        <f t="shared" si="178"/>
        <v>73.5</v>
      </c>
      <c r="AE228" s="77">
        <f t="shared" si="179"/>
        <v>44.327724074923204</v>
      </c>
      <c r="AF228" s="77">
        <f t="shared" si="180"/>
        <v>13.9595</v>
      </c>
      <c r="AG228" s="77">
        <f t="shared" si="181"/>
        <v>82.855531813865156</v>
      </c>
      <c r="AH228" s="337"/>
      <c r="AI228" s="337"/>
      <c r="AJ228" s="337"/>
      <c r="AK228" s="337"/>
      <c r="AL228" s="337"/>
      <c r="AM228" s="338"/>
      <c r="AN228" t="str">
        <f t="shared" si="173"/>
        <v/>
      </c>
      <c r="AO228" t="s">
        <v>327</v>
      </c>
      <c r="AP228" t="str">
        <f t="shared" si="17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4"/>
        <v>12V155F</v>
      </c>
    </row>
    <row r="229" spans="1:53">
      <c r="A229" s="35" t="s">
        <v>245</v>
      </c>
      <c r="B229" t="s">
        <v>344</v>
      </c>
      <c r="C229" t="s">
        <v>344</v>
      </c>
      <c r="D229" t="s">
        <v>319</v>
      </c>
      <c r="E229" t="s">
        <v>788</v>
      </c>
      <c r="F229" t="s">
        <v>736</v>
      </c>
      <c r="G229">
        <v>50</v>
      </c>
      <c r="H229">
        <v>4</v>
      </c>
      <c r="I229">
        <v>22</v>
      </c>
      <c r="J229">
        <v>1.1990000000000001</v>
      </c>
      <c r="K229" s="64">
        <v>45058</v>
      </c>
      <c r="L229">
        <v>6.54</v>
      </c>
      <c r="M229">
        <v>5.3410000000000002</v>
      </c>
      <c r="N229">
        <v>2.5505995640000001</v>
      </c>
      <c r="O229">
        <v>1.351599564</v>
      </c>
      <c r="P229" t="s">
        <v>446</v>
      </c>
      <c r="Q229" t="s">
        <v>354</v>
      </c>
      <c r="R229" t="s">
        <v>361</v>
      </c>
      <c r="S229">
        <v>11.231999999999999</v>
      </c>
      <c r="T229">
        <v>10.032999999999999</v>
      </c>
      <c r="U229" t="s">
        <v>339</v>
      </c>
      <c r="V229" t="s">
        <v>790</v>
      </c>
      <c r="W229">
        <v>25.5</v>
      </c>
      <c r="X229">
        <v>24.300999999999998</v>
      </c>
      <c r="Y229">
        <v>2</v>
      </c>
      <c r="AB229" s="77">
        <f t="shared" si="176"/>
        <v>5.3410000000000002</v>
      </c>
      <c r="AC229" s="77">
        <f t="shared" si="177"/>
        <v>1.351599564</v>
      </c>
      <c r="AD229" s="77">
        <f t="shared" si="178"/>
        <v>81.666666666666671</v>
      </c>
      <c r="AE229" s="77">
        <f t="shared" si="179"/>
        <v>52.991444955802557</v>
      </c>
      <c r="AF229" s="77">
        <f t="shared" si="180"/>
        <v>10.032999999999999</v>
      </c>
      <c r="AG229" s="77">
        <f t="shared" si="181"/>
        <v>89.325142450142451</v>
      </c>
      <c r="AH229" s="337"/>
      <c r="AI229" s="337"/>
      <c r="AJ229" s="337"/>
      <c r="AK229" s="337"/>
      <c r="AL229" s="337"/>
      <c r="AM229" s="338"/>
      <c r="AN229" t="str">
        <f t="shared" si="173"/>
        <v/>
      </c>
      <c r="AO229" t="s">
        <v>327</v>
      </c>
      <c r="AP229" t="str">
        <f t="shared" si="175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4"/>
        <v>12V155F</v>
      </c>
    </row>
    <row r="230" spans="1:53">
      <c r="A230" s="35" t="s">
        <v>246</v>
      </c>
      <c r="B230" t="s">
        <v>344</v>
      </c>
      <c r="C230" t="s">
        <v>344</v>
      </c>
      <c r="D230" t="s">
        <v>392</v>
      </c>
      <c r="E230" t="s">
        <v>791</v>
      </c>
      <c r="F230" t="s">
        <v>510</v>
      </c>
      <c r="G230">
        <v>37.5</v>
      </c>
      <c r="H230">
        <v>10</v>
      </c>
      <c r="I230">
        <v>160</v>
      </c>
      <c r="J230">
        <v>8.7200000000000006</v>
      </c>
      <c r="K230" s="64">
        <v>45600</v>
      </c>
      <c r="L230">
        <v>14.715</v>
      </c>
      <c r="M230">
        <v>5.9950000000000001</v>
      </c>
      <c r="N230">
        <v>11.41775</v>
      </c>
      <c r="O230">
        <v>2.6977500000000001</v>
      </c>
      <c r="P230" t="s">
        <v>446</v>
      </c>
      <c r="Q230" t="s">
        <v>387</v>
      </c>
      <c r="R230" t="s">
        <v>792</v>
      </c>
      <c r="S230">
        <v>9.4867200000000107</v>
      </c>
      <c r="T230">
        <v>0.76672000000000495</v>
      </c>
      <c r="U230" t="s">
        <v>325</v>
      </c>
      <c r="V230" t="s">
        <v>793</v>
      </c>
      <c r="W230">
        <v>13.5</v>
      </c>
      <c r="X230">
        <v>4.78</v>
      </c>
      <c r="Y230">
        <v>0</v>
      </c>
      <c r="Z230" t="s">
        <v>8</v>
      </c>
      <c r="AB230" s="77">
        <f t="shared" si="176"/>
        <v>5.9950000000000001</v>
      </c>
      <c r="AC230" s="77">
        <f t="shared" si="177"/>
        <v>2.6977500000000001</v>
      </c>
      <c r="AD230" s="77">
        <f t="shared" si="178"/>
        <v>40.74074074074074</v>
      </c>
      <c r="AE230" s="77">
        <f t="shared" si="179"/>
        <v>23.627684964200476</v>
      </c>
      <c r="AF230" s="77">
        <f t="shared" si="180"/>
        <v>0.76672000000000495</v>
      </c>
      <c r="AG230" s="77">
        <f t="shared" si="181"/>
        <v>8.0820346758416406</v>
      </c>
      <c r="AH230" s="77">
        <f t="shared" si="182"/>
        <v>13.5</v>
      </c>
      <c r="AI230" s="77">
        <f t="shared" si="183"/>
        <v>8.7200000000000006</v>
      </c>
      <c r="AJ230" s="77">
        <f t="shared" si="184"/>
        <v>4.7799999999999994</v>
      </c>
      <c r="AK230" s="77">
        <f t="shared" si="185"/>
        <v>0</v>
      </c>
      <c r="AL230" s="77">
        <f t="shared" si="186"/>
        <v>4.7799999999999994</v>
      </c>
      <c r="AM230" s="77">
        <f t="shared" si="187"/>
        <v>35.407407407407398</v>
      </c>
      <c r="AN230" t="str">
        <f t="shared" si="173"/>
        <v>Capped</v>
      </c>
      <c r="AO230" t="s">
        <v>327</v>
      </c>
      <c r="AP230" t="str">
        <f t="shared" si="175"/>
        <v>12UMTB160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4"/>
        <v>12UMTB160</v>
      </c>
    </row>
    <row r="231" spans="1:53">
      <c r="A231" s="35" t="s">
        <v>247</v>
      </c>
      <c r="B231" t="s">
        <v>396</v>
      </c>
      <c r="C231" t="s">
        <v>639</v>
      </c>
      <c r="D231" t="s">
        <v>392</v>
      </c>
      <c r="E231" t="s">
        <v>794</v>
      </c>
      <c r="F231" t="s">
        <v>321</v>
      </c>
      <c r="G231">
        <v>36.6</v>
      </c>
      <c r="H231">
        <v>51</v>
      </c>
      <c r="I231">
        <v>551</v>
      </c>
      <c r="J231">
        <v>30.029499999999999</v>
      </c>
      <c r="K231" s="64">
        <v>45600</v>
      </c>
      <c r="L231">
        <v>79.787999999999997</v>
      </c>
      <c r="M231">
        <v>49.758499999999998</v>
      </c>
      <c r="N231">
        <v>67.034999999999997</v>
      </c>
      <c r="O231">
        <v>37.005499999999998</v>
      </c>
      <c r="P231" t="s">
        <v>322</v>
      </c>
      <c r="Q231" t="s">
        <v>333</v>
      </c>
      <c r="R231" t="s">
        <v>347</v>
      </c>
      <c r="S231">
        <v>53.330399999999997</v>
      </c>
      <c r="T231">
        <v>23.300899999999999</v>
      </c>
      <c r="U231" t="s">
        <v>339</v>
      </c>
      <c r="V231" t="s">
        <v>795</v>
      </c>
      <c r="W231">
        <v>16.649999999999999</v>
      </c>
      <c r="X231">
        <v>-13.3795</v>
      </c>
      <c r="Y231">
        <v>6</v>
      </c>
      <c r="Z231" t="s">
        <v>796</v>
      </c>
      <c r="AB231" s="77">
        <f t="shared" si="176"/>
        <v>49.758499999999998</v>
      </c>
      <c r="AC231" s="77">
        <f t="shared" si="177"/>
        <v>37.005499999999998</v>
      </c>
      <c r="AD231" s="77">
        <f t="shared" si="178"/>
        <v>62.363387978142079</v>
      </c>
      <c r="AE231" s="77">
        <f t="shared" si="179"/>
        <v>55.203252032520325</v>
      </c>
      <c r="AF231" s="77">
        <f t="shared" si="180"/>
        <v>23.300899999999999</v>
      </c>
      <c r="AG231" s="77">
        <f t="shared" si="181"/>
        <v>43.691590537479556</v>
      </c>
      <c r="AH231" s="337">
        <f>'Multiroom cooling'!F2</f>
        <v>91.350000000000009</v>
      </c>
      <c r="AI231" s="337">
        <f>SUM(J231:J232)</f>
        <v>64.637</v>
      </c>
      <c r="AJ231" s="337">
        <f t="shared" si="184"/>
        <v>26.713000000000008</v>
      </c>
      <c r="AK231" s="337">
        <f>SUM(AA231:AA232)</f>
        <v>0</v>
      </c>
      <c r="AL231" s="337">
        <f t="shared" si="186"/>
        <v>26.713000000000008</v>
      </c>
      <c r="AM231" s="338">
        <f t="shared" si="187"/>
        <v>29.242474001094696</v>
      </c>
      <c r="AN231" t="str">
        <f t="shared" si="173"/>
        <v>Capped</v>
      </c>
      <c r="AO231" t="s">
        <v>395</v>
      </c>
      <c r="AP231" t="str">
        <f t="shared" si="175"/>
        <v>DDm125-33</v>
      </c>
      <c r="AQ231" t="str">
        <f>_xlfn.XLOOKUP(A231,'SYS Allocations'!A:A,'SYS Allocations'!B:B)</f>
        <v>P-Core</v>
      </c>
      <c r="AR231">
        <f>_xlfn.XLOOKUP(A231,'SYS Allocations'!A:A,'SYS Allocations'!C:C)</f>
        <v>0</v>
      </c>
      <c r="AS231" t="str">
        <f>_xlfn.XLOOKUP(A231,'SYS Allocations'!A:A,'SYS Allocations'!D:D)</f>
        <v>PX</v>
      </c>
      <c r="AT231">
        <f>_xlfn.XLOOKUP(A231,'SYS Allocations'!A:A,'SYS Allocations'!E:E)</f>
        <v>0</v>
      </c>
      <c r="AU231" t="str">
        <f>_xlfn.XLOOKUP(A231,'SYS Allocations'!A:A,'SYS Allocations'!F:F)</f>
        <v>OPEX</v>
      </c>
      <c r="BA231" t="str">
        <f t="shared" si="174"/>
        <v>DDm125-33</v>
      </c>
    </row>
    <row r="232" spans="1:53">
      <c r="A232" s="35" t="s">
        <v>248</v>
      </c>
      <c r="B232" t="s">
        <v>396</v>
      </c>
      <c r="C232" t="s">
        <v>639</v>
      </c>
      <c r="D232" t="s">
        <v>392</v>
      </c>
      <c r="E232" t="s">
        <v>794</v>
      </c>
      <c r="F232" t="s">
        <v>321</v>
      </c>
      <c r="G232">
        <v>36.6</v>
      </c>
      <c r="H232">
        <v>51</v>
      </c>
      <c r="I232">
        <v>635</v>
      </c>
      <c r="J232">
        <v>34.607500000000002</v>
      </c>
      <c r="K232" s="64">
        <v>45600</v>
      </c>
      <c r="L232">
        <v>79.787999999999997</v>
      </c>
      <c r="M232">
        <v>45.180500000000002</v>
      </c>
      <c r="N232">
        <v>67.034999999999997</v>
      </c>
      <c r="O232">
        <v>32.427500000000002</v>
      </c>
      <c r="P232" t="s">
        <v>322</v>
      </c>
      <c r="Q232" t="s">
        <v>333</v>
      </c>
      <c r="R232" t="s">
        <v>347</v>
      </c>
      <c r="S232">
        <v>53.330399999999997</v>
      </c>
      <c r="T232">
        <v>18.722899999999999</v>
      </c>
      <c r="U232" t="s">
        <v>339</v>
      </c>
      <c r="V232" t="s">
        <v>795</v>
      </c>
      <c r="W232">
        <v>16.649999999999999</v>
      </c>
      <c r="X232">
        <v>-17.9575</v>
      </c>
      <c r="Y232">
        <v>6</v>
      </c>
      <c r="Z232" t="s">
        <v>796</v>
      </c>
      <c r="AB232" s="77">
        <f t="shared" si="176"/>
        <v>45.180500000000002</v>
      </c>
      <c r="AC232" s="77">
        <f t="shared" si="177"/>
        <v>32.427500000000002</v>
      </c>
      <c r="AD232" s="77">
        <f t="shared" si="178"/>
        <v>56.625683060109296</v>
      </c>
      <c r="AE232" s="77">
        <f t="shared" si="179"/>
        <v>48.373983739837399</v>
      </c>
      <c r="AF232" s="77">
        <f t="shared" si="180"/>
        <v>18.722899999999999</v>
      </c>
      <c r="AG232" s="77">
        <f t="shared" si="181"/>
        <v>35.107368405262285</v>
      </c>
      <c r="AH232" s="337"/>
      <c r="AI232" s="337"/>
      <c r="AJ232" s="337"/>
      <c r="AK232" s="337"/>
      <c r="AL232" s="337"/>
      <c r="AM232" s="338"/>
      <c r="AN232" t="str">
        <f t="shared" si="173"/>
        <v>Capped</v>
      </c>
      <c r="AO232" t="s">
        <v>395</v>
      </c>
      <c r="AP232" t="str">
        <f t="shared" si="175"/>
        <v>DDm125-33</v>
      </c>
      <c r="AQ232">
        <f>_xlfn.XLOOKUP(A232,'SYS Allocations'!A:A,'SYS Allocations'!B:B)</f>
        <v>0</v>
      </c>
      <c r="AR232">
        <f>_xlfn.XLOOKUP(A232,'SYS Allocations'!A:A,'SYS Allocations'!C:C)</f>
        <v>0</v>
      </c>
      <c r="AS232">
        <f>_xlfn.XLOOKUP(A232,'SYS Allocations'!A:A,'SYS Allocations'!D:D)</f>
        <v>0</v>
      </c>
      <c r="AT232">
        <f>_xlfn.XLOOKUP(A232,'SYS Allocations'!A:A,'SYS Allocations'!E:E)</f>
        <v>0</v>
      </c>
      <c r="AU232">
        <f>_xlfn.XLOOKUP(A232,'SYS Allocations'!A:A,'SYS Allocations'!F:F)</f>
        <v>0</v>
      </c>
      <c r="BA232" t="str">
        <f t="shared" si="174"/>
        <v>DDm125-33</v>
      </c>
    </row>
    <row r="233" spans="1:53">
      <c r="A233" s="35" t="s">
        <v>249</v>
      </c>
      <c r="B233" t="s">
        <v>350</v>
      </c>
      <c r="C233" t="s">
        <v>797</v>
      </c>
      <c r="D233" t="s">
        <v>319</v>
      </c>
      <c r="E233" t="s">
        <v>798</v>
      </c>
      <c r="F233" t="s">
        <v>560</v>
      </c>
      <c r="G233">
        <v>37.5</v>
      </c>
      <c r="H233">
        <v>3</v>
      </c>
      <c r="I233">
        <v>8</v>
      </c>
      <c r="J233">
        <v>0.436</v>
      </c>
      <c r="K233" s="64">
        <v>44481.701388888898</v>
      </c>
      <c r="L233">
        <v>3.27</v>
      </c>
      <c r="M233">
        <v>2.8340000000000001</v>
      </c>
      <c r="N233">
        <v>2.7795000000000001</v>
      </c>
      <c r="O233">
        <v>2.3435000000000001</v>
      </c>
      <c r="P233" t="s">
        <v>322</v>
      </c>
      <c r="Q233" t="s">
        <v>354</v>
      </c>
      <c r="R233" t="s">
        <v>450</v>
      </c>
      <c r="S233">
        <v>2.92896</v>
      </c>
      <c r="T233">
        <v>2.4929600000000001</v>
      </c>
      <c r="U233" t="s">
        <v>325</v>
      </c>
      <c r="V233" t="s">
        <v>346</v>
      </c>
      <c r="W233">
        <v>3.75</v>
      </c>
      <c r="X233">
        <v>3.3140000000000001</v>
      </c>
      <c r="Y233">
        <v>0</v>
      </c>
      <c r="AB233" s="77">
        <f t="shared" ref="AB233" si="188">M233-AA233</f>
        <v>2.8340000000000001</v>
      </c>
      <c r="AC233" s="77">
        <f t="shared" ref="AC233" si="189">O233-AA233</f>
        <v>2.3435000000000001</v>
      </c>
      <c r="AD233" s="77">
        <f t="shared" ref="AD233" si="190">AB233/L233%</f>
        <v>86.666666666666671</v>
      </c>
      <c r="AE233" s="77">
        <f t="shared" ref="AE233" si="191">AC233/N233%</f>
        <v>84.313725490196077</v>
      </c>
      <c r="AF233" s="77">
        <f t="shared" ref="AF233" si="192">T233-AA233</f>
        <v>2.4929600000000001</v>
      </c>
      <c r="AG233" s="77">
        <f t="shared" ref="AG233" si="193">AF233/S233%</f>
        <v>85.114170217415065</v>
      </c>
      <c r="AH233" s="77">
        <f t="shared" ref="AH233" si="194">W233</f>
        <v>3.75</v>
      </c>
      <c r="AI233" s="77">
        <f t="shared" ref="AI233" si="195">J233</f>
        <v>0.436</v>
      </c>
      <c r="AJ233" s="77">
        <f t="shared" ref="AJ233" si="196">AH233-AI233</f>
        <v>3.3140000000000001</v>
      </c>
      <c r="AK233" s="77">
        <f t="shared" ref="AK233" si="197">AA233</f>
        <v>0</v>
      </c>
      <c r="AL233" s="77">
        <f t="shared" ref="AL233" si="198">AJ233-AK233</f>
        <v>3.3140000000000001</v>
      </c>
      <c r="AM233" s="77">
        <f t="shared" ref="AM233" si="199">AL233/AH233%</f>
        <v>88.373333333333335</v>
      </c>
      <c r="AN233" t="str">
        <f t="shared" si="173"/>
        <v/>
      </c>
      <c r="AO233" t="s">
        <v>327</v>
      </c>
      <c r="AP233" t="str">
        <f t="shared" si="175"/>
        <v>12V100F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4"/>
        <v>12V100F</v>
      </c>
    </row>
    <row r="234" spans="1:53">
      <c r="A234" s="35" t="s">
        <v>250</v>
      </c>
      <c r="B234" t="s">
        <v>372</v>
      </c>
      <c r="C234" t="s">
        <v>799</v>
      </c>
      <c r="D234" t="s">
        <v>319</v>
      </c>
      <c r="E234" t="s">
        <v>800</v>
      </c>
      <c r="F234" t="s">
        <v>321</v>
      </c>
      <c r="G234">
        <v>36.6</v>
      </c>
      <c r="H234">
        <v>22</v>
      </c>
      <c r="I234">
        <v>98</v>
      </c>
      <c r="J234">
        <v>5.3410000000000002</v>
      </c>
      <c r="K234" s="64">
        <v>45600</v>
      </c>
      <c r="L234">
        <v>33.510959999999997</v>
      </c>
      <c r="M234">
        <v>28.16996</v>
      </c>
      <c r="N234">
        <v>27.064699999999998</v>
      </c>
      <c r="O234">
        <v>21.723700000000001</v>
      </c>
      <c r="P234" t="s">
        <v>325</v>
      </c>
      <c r="Q234" t="s">
        <v>333</v>
      </c>
      <c r="R234" t="s">
        <v>472</v>
      </c>
      <c r="S234">
        <v>22.982399999999998</v>
      </c>
      <c r="T234">
        <v>17.641400000000001</v>
      </c>
      <c r="U234" t="s">
        <v>322</v>
      </c>
      <c r="V234" t="s">
        <v>340</v>
      </c>
      <c r="W234">
        <v>33.75</v>
      </c>
      <c r="X234">
        <v>28.408999999999999</v>
      </c>
      <c r="Y234">
        <v>55</v>
      </c>
      <c r="AB234" s="77">
        <f t="shared" si="176"/>
        <v>28.16996</v>
      </c>
      <c r="AC234" s="77">
        <f t="shared" si="177"/>
        <v>21.723700000000001</v>
      </c>
      <c r="AD234" s="77">
        <f t="shared" si="178"/>
        <v>84.061930783242275</v>
      </c>
      <c r="AE234" s="77">
        <f t="shared" si="179"/>
        <v>80.2658074909384</v>
      </c>
      <c r="AF234" s="77">
        <f t="shared" si="180"/>
        <v>17.641400000000001</v>
      </c>
      <c r="AG234" s="77">
        <f t="shared" si="181"/>
        <v>76.760477582846022</v>
      </c>
      <c r="AH234" s="77">
        <f t="shared" si="182"/>
        <v>33.75</v>
      </c>
      <c r="AI234" s="77">
        <f t="shared" si="183"/>
        <v>5.3410000000000002</v>
      </c>
      <c r="AJ234" s="77">
        <f t="shared" si="184"/>
        <v>28.408999999999999</v>
      </c>
      <c r="AK234" s="77">
        <f t="shared" si="185"/>
        <v>0</v>
      </c>
      <c r="AL234" s="77">
        <f t="shared" si="186"/>
        <v>28.408999999999999</v>
      </c>
      <c r="AM234" s="77">
        <f t="shared" si="187"/>
        <v>84.174814814814809</v>
      </c>
      <c r="AN234" t="str">
        <f t="shared" si="173"/>
        <v/>
      </c>
      <c r="AO234" t="s">
        <v>395</v>
      </c>
      <c r="AP234" t="str">
        <f t="shared" si="175"/>
        <v>DDm85-33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4"/>
        <v>DDm85-33</v>
      </c>
    </row>
    <row r="235" spans="1:53">
      <c r="A235" s="35" t="s">
        <v>251</v>
      </c>
      <c r="B235" t="s">
        <v>372</v>
      </c>
      <c r="C235" t="s">
        <v>799</v>
      </c>
      <c r="D235" t="s">
        <v>319</v>
      </c>
      <c r="E235" t="s">
        <v>800</v>
      </c>
      <c r="F235" t="s">
        <v>321</v>
      </c>
      <c r="G235">
        <v>36.6</v>
      </c>
      <c r="H235">
        <v>22</v>
      </c>
      <c r="I235">
        <v>87</v>
      </c>
      <c r="J235">
        <v>4.7415000000000003</v>
      </c>
      <c r="K235" s="64">
        <v>45600</v>
      </c>
      <c r="L235">
        <v>33.510959999999997</v>
      </c>
      <c r="M235">
        <v>28.769459999999999</v>
      </c>
      <c r="N235">
        <v>27.064699999999998</v>
      </c>
      <c r="O235">
        <v>22.3232</v>
      </c>
      <c r="P235" t="s">
        <v>325</v>
      </c>
      <c r="Q235" t="s">
        <v>333</v>
      </c>
      <c r="R235" t="s">
        <v>472</v>
      </c>
      <c r="S235">
        <v>22.982399999999998</v>
      </c>
      <c r="T235">
        <v>18.2409</v>
      </c>
      <c r="U235" t="s">
        <v>322</v>
      </c>
      <c r="V235" t="s">
        <v>340</v>
      </c>
      <c r="W235">
        <v>33.75</v>
      </c>
      <c r="X235">
        <v>29.008500000000002</v>
      </c>
      <c r="Y235">
        <v>55</v>
      </c>
      <c r="AB235" s="77">
        <f t="shared" ref="AB235" si="200">M235-AA235</f>
        <v>28.769459999999999</v>
      </c>
      <c r="AC235" s="77">
        <f t="shared" ref="AC235" si="201">O235-AA235</f>
        <v>22.3232</v>
      </c>
      <c r="AD235" s="77">
        <f t="shared" ref="AD235" si="202">AB235/L235%</f>
        <v>85.850897736143651</v>
      </c>
      <c r="AE235" s="77">
        <f t="shared" ref="AE235" si="203">AC235/N235%</f>
        <v>82.480869915424904</v>
      </c>
      <c r="AF235" s="77">
        <f t="shared" ref="AF235" si="204">T235-AA235</f>
        <v>18.2409</v>
      </c>
      <c r="AG235" s="77">
        <f t="shared" ref="AG235" si="205">AF235/S235%</f>
        <v>79.368995405179618</v>
      </c>
      <c r="AH235" s="77">
        <f t="shared" ref="AH235" si="206">W235</f>
        <v>33.75</v>
      </c>
      <c r="AI235" s="77">
        <f t="shared" ref="AI235" si="207">J235</f>
        <v>4.7415000000000003</v>
      </c>
      <c r="AJ235" s="77">
        <f t="shared" ref="AJ235" si="208">AH235-AI235</f>
        <v>29.008499999999998</v>
      </c>
      <c r="AK235" s="77">
        <f t="shared" ref="AK235" si="209">AA235</f>
        <v>0</v>
      </c>
      <c r="AL235" s="77">
        <f t="shared" ref="AL235" si="210">AJ235-AK235</f>
        <v>29.008499999999998</v>
      </c>
      <c r="AM235" s="77">
        <f t="shared" ref="AM235" si="211">AL235/AH235%</f>
        <v>85.951111111111103</v>
      </c>
      <c r="AN235" t="str">
        <f t="shared" si="173"/>
        <v/>
      </c>
      <c r="AO235" t="s">
        <v>395</v>
      </c>
      <c r="AP235" t="str">
        <f t="shared" si="175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4"/>
        <v>DDm85-33</v>
      </c>
    </row>
    <row r="236" spans="1:53">
      <c r="A236" s="35" t="s">
        <v>252</v>
      </c>
      <c r="B236" t="s">
        <v>372</v>
      </c>
      <c r="C236" t="s">
        <v>801</v>
      </c>
      <c r="D236" t="s">
        <v>330</v>
      </c>
      <c r="E236" t="s">
        <v>802</v>
      </c>
      <c r="F236" t="s">
        <v>321</v>
      </c>
      <c r="G236">
        <v>36.6</v>
      </c>
      <c r="H236">
        <v>6</v>
      </c>
      <c r="I236">
        <v>47</v>
      </c>
      <c r="J236">
        <v>2.5615000000000001</v>
      </c>
      <c r="K236" s="64">
        <v>45600</v>
      </c>
      <c r="L236">
        <v>7.9787999999999997</v>
      </c>
      <c r="M236">
        <v>5.4173</v>
      </c>
      <c r="N236">
        <v>6.867</v>
      </c>
      <c r="O236">
        <v>4.3055000000000003</v>
      </c>
      <c r="P236" t="s">
        <v>322</v>
      </c>
      <c r="Q236" t="s">
        <v>354</v>
      </c>
      <c r="R236" t="s">
        <v>557</v>
      </c>
      <c r="S236">
        <v>5.5922400000000101</v>
      </c>
      <c r="T236">
        <v>3.03074000000001</v>
      </c>
      <c r="U236" t="s">
        <v>339</v>
      </c>
      <c r="V236" t="s">
        <v>773</v>
      </c>
      <c r="W236">
        <v>18</v>
      </c>
      <c r="X236">
        <v>15.438499999999999</v>
      </c>
      <c r="Y236">
        <v>65</v>
      </c>
      <c r="AB236" s="77">
        <f t="shared" si="176"/>
        <v>5.4173</v>
      </c>
      <c r="AC236" s="77">
        <f t="shared" si="177"/>
        <v>4.3055000000000003</v>
      </c>
      <c r="AD236" s="77">
        <f t="shared" si="178"/>
        <v>67.896174863387984</v>
      </c>
      <c r="AE236" s="77">
        <f t="shared" si="179"/>
        <v>62.69841269841271</v>
      </c>
      <c r="AF236" s="77">
        <f t="shared" si="180"/>
        <v>3.03074000000001</v>
      </c>
      <c r="AG236" s="77">
        <f t="shared" si="181"/>
        <v>54.195456561234934</v>
      </c>
      <c r="AH236" s="77">
        <f t="shared" si="182"/>
        <v>18</v>
      </c>
      <c r="AI236" s="77">
        <f t="shared" si="183"/>
        <v>2.5615000000000001</v>
      </c>
      <c r="AJ236" s="77">
        <f t="shared" si="184"/>
        <v>15.438499999999999</v>
      </c>
      <c r="AK236" s="77">
        <f t="shared" si="185"/>
        <v>0</v>
      </c>
      <c r="AL236" s="77">
        <f t="shared" si="186"/>
        <v>15.438499999999999</v>
      </c>
      <c r="AM236" s="77">
        <f t="shared" si="187"/>
        <v>85.769444444444446</v>
      </c>
      <c r="AN236" t="str">
        <f t="shared" si="173"/>
        <v/>
      </c>
      <c r="AO236" t="s">
        <v>327</v>
      </c>
      <c r="AP236" t="str">
        <f t="shared" si="175"/>
        <v>12V190F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4"/>
        <v>12V190F</v>
      </c>
    </row>
    <row r="237" spans="1:53">
      <c r="A237" s="35" t="s">
        <v>253</v>
      </c>
      <c r="B237" t="s">
        <v>344</v>
      </c>
      <c r="C237" t="s">
        <v>803</v>
      </c>
      <c r="D237" t="s">
        <v>319</v>
      </c>
      <c r="E237" t="s">
        <v>804</v>
      </c>
      <c r="F237" t="s">
        <v>321</v>
      </c>
      <c r="G237">
        <v>36.6</v>
      </c>
      <c r="H237">
        <v>51</v>
      </c>
      <c r="I237">
        <v>721</v>
      </c>
      <c r="J237">
        <v>39.294499999999999</v>
      </c>
      <c r="K237" s="64">
        <v>45448</v>
      </c>
      <c r="L237">
        <v>79.787999999999997</v>
      </c>
      <c r="M237">
        <v>40.493499999999997</v>
      </c>
      <c r="N237">
        <v>56.134999999999998</v>
      </c>
      <c r="O237">
        <v>16.840499999999999</v>
      </c>
      <c r="P237" t="s">
        <v>339</v>
      </c>
      <c r="Q237" t="s">
        <v>333</v>
      </c>
      <c r="R237" t="s">
        <v>347</v>
      </c>
      <c r="S237">
        <v>71.107200000000205</v>
      </c>
      <c r="T237">
        <v>31.812700000000198</v>
      </c>
      <c r="U237" t="s">
        <v>339</v>
      </c>
      <c r="V237" t="s">
        <v>436</v>
      </c>
      <c r="W237">
        <v>67.5</v>
      </c>
      <c r="X237">
        <v>28.205500000000001</v>
      </c>
      <c r="Y237">
        <v>1</v>
      </c>
      <c r="AB237" s="77">
        <f t="shared" si="176"/>
        <v>40.493499999999997</v>
      </c>
      <c r="AC237" s="77">
        <f t="shared" si="177"/>
        <v>16.840499999999999</v>
      </c>
      <c r="AD237" s="77">
        <f t="shared" si="178"/>
        <v>50.751366120218584</v>
      </c>
      <c r="AE237" s="77">
        <f t="shared" si="179"/>
        <v>29.999999999999996</v>
      </c>
      <c r="AF237" s="77">
        <f t="shared" si="180"/>
        <v>31.812700000000198</v>
      </c>
      <c r="AG237" s="77">
        <f t="shared" si="181"/>
        <v>44.739070023851461</v>
      </c>
      <c r="AH237" s="77">
        <f t="shared" si="182"/>
        <v>67.5</v>
      </c>
      <c r="AI237" s="77">
        <f t="shared" si="183"/>
        <v>39.294499999999999</v>
      </c>
      <c r="AJ237" s="77">
        <f t="shared" si="184"/>
        <v>28.205500000000001</v>
      </c>
      <c r="AK237" s="77">
        <f t="shared" si="185"/>
        <v>0</v>
      </c>
      <c r="AL237" s="77">
        <f t="shared" si="186"/>
        <v>28.205500000000001</v>
      </c>
      <c r="AM237" s="77">
        <f t="shared" si="187"/>
        <v>41.785925925925923</v>
      </c>
      <c r="AN237" t="str">
        <f t="shared" si="173"/>
        <v/>
      </c>
      <c r="AO237" t="s">
        <v>327</v>
      </c>
      <c r="AP237" t="str">
        <f t="shared" si="175"/>
        <v>DDm125-33</v>
      </c>
      <c r="AQ237">
        <f>_xlfn.XLOOKUP(A237,'SYS Allocations'!A:A,'SYS Allocations'!B:B)</f>
        <v>0</v>
      </c>
      <c r="AR237" t="str">
        <f>_xlfn.XLOOKUP(A237,'SYS Allocations'!A:A,'SYS Allocations'!C:C)</f>
        <v>RA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4"/>
        <v>DDm125-33</v>
      </c>
    </row>
    <row r="238" spans="1:53">
      <c r="A238" s="35" t="s">
        <v>254</v>
      </c>
      <c r="B238" t="s">
        <v>344</v>
      </c>
      <c r="C238" t="s">
        <v>523</v>
      </c>
      <c r="D238" t="s">
        <v>313</v>
      </c>
      <c r="E238" t="s">
        <v>805</v>
      </c>
      <c r="F238" t="s">
        <v>321</v>
      </c>
      <c r="G238">
        <v>36.6</v>
      </c>
      <c r="H238">
        <v>81</v>
      </c>
      <c r="I238">
        <v>195</v>
      </c>
      <c r="J238">
        <v>10.6275</v>
      </c>
      <c r="K238" s="64">
        <v>45498</v>
      </c>
      <c r="L238">
        <v>127.66079999999999</v>
      </c>
      <c r="M238">
        <v>117.0333</v>
      </c>
      <c r="N238">
        <v>145.40600000000001</v>
      </c>
      <c r="O238">
        <v>134.77850000000001</v>
      </c>
      <c r="P238" t="s">
        <v>325</v>
      </c>
      <c r="Q238" t="s">
        <v>333</v>
      </c>
      <c r="R238" t="s">
        <v>342</v>
      </c>
      <c r="S238">
        <v>22.852799999999998</v>
      </c>
      <c r="T238">
        <v>12.225300000000001</v>
      </c>
      <c r="U238" t="s">
        <v>339</v>
      </c>
      <c r="V238" t="s">
        <v>418</v>
      </c>
      <c r="W238">
        <v>90</v>
      </c>
      <c r="X238">
        <v>79.372500000000002</v>
      </c>
      <c r="Y238">
        <v>8</v>
      </c>
      <c r="Z238" t="s">
        <v>671</v>
      </c>
      <c r="AB238" s="77">
        <f t="shared" si="176"/>
        <v>117.0333</v>
      </c>
      <c r="AC238" s="77">
        <f t="shared" si="177"/>
        <v>134.77850000000001</v>
      </c>
      <c r="AD238" s="77">
        <f t="shared" si="178"/>
        <v>91.67520491803279</v>
      </c>
      <c r="AE238" s="77">
        <f t="shared" si="179"/>
        <v>92.6911544227886</v>
      </c>
      <c r="AF238" s="77">
        <f t="shared" si="180"/>
        <v>12.225300000000001</v>
      </c>
      <c r="AG238" s="77">
        <f t="shared" si="181"/>
        <v>53.495851711825253</v>
      </c>
      <c r="AH238" s="77">
        <f t="shared" si="182"/>
        <v>90</v>
      </c>
      <c r="AI238" s="77">
        <f t="shared" si="183"/>
        <v>10.6275</v>
      </c>
      <c r="AJ238" s="77">
        <f t="shared" si="184"/>
        <v>79.372500000000002</v>
      </c>
      <c r="AK238" s="77">
        <f t="shared" si="185"/>
        <v>0</v>
      </c>
      <c r="AL238" s="77">
        <f t="shared" si="186"/>
        <v>79.372500000000002</v>
      </c>
      <c r="AM238" s="77">
        <f t="shared" si="187"/>
        <v>88.191666666666663</v>
      </c>
      <c r="AN238" t="str">
        <f t="shared" si="173"/>
        <v>Capped</v>
      </c>
      <c r="AO238" t="s">
        <v>327</v>
      </c>
      <c r="AP238" t="str">
        <f t="shared" si="175"/>
        <v>DDm100-27</v>
      </c>
      <c r="AQ238">
        <f>_xlfn.XLOOKUP(A238,'SYS Allocations'!A:A,'SYS Allocations'!B:B)</f>
        <v>0</v>
      </c>
      <c r="AR238">
        <f>_xlfn.XLOOKUP(A238,'SYS Allocations'!A:A,'SYS Allocations'!C:C)</f>
        <v>0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4"/>
        <v>DDm100-27</v>
      </c>
    </row>
    <row r="239" spans="1:53">
      <c r="A239" s="35" t="s">
        <v>255</v>
      </c>
      <c r="B239" t="s">
        <v>344</v>
      </c>
      <c r="C239" t="s">
        <v>806</v>
      </c>
      <c r="D239" t="s">
        <v>392</v>
      </c>
      <c r="E239" t="s">
        <v>807</v>
      </c>
      <c r="F239" t="s">
        <v>321</v>
      </c>
      <c r="G239">
        <v>36.6</v>
      </c>
      <c r="H239">
        <v>67</v>
      </c>
      <c r="I239">
        <v>944</v>
      </c>
      <c r="J239">
        <v>51.448</v>
      </c>
      <c r="K239" s="64">
        <v>45600</v>
      </c>
      <c r="L239">
        <v>105.32016</v>
      </c>
      <c r="M239">
        <v>53.872160000000001</v>
      </c>
      <c r="N239">
        <v>77.150199999999998</v>
      </c>
      <c r="O239">
        <v>25.702200000000001</v>
      </c>
      <c r="P239" t="s">
        <v>346</v>
      </c>
      <c r="Q239" t="s">
        <v>333</v>
      </c>
      <c r="R239" t="s">
        <v>347</v>
      </c>
      <c r="S239">
        <v>88.884000000000199</v>
      </c>
      <c r="T239">
        <v>37.436000000000199</v>
      </c>
      <c r="U239" t="s">
        <v>339</v>
      </c>
      <c r="V239" t="s">
        <v>367</v>
      </c>
      <c r="W239">
        <v>112.5</v>
      </c>
      <c r="X239">
        <v>61.052</v>
      </c>
      <c r="Y239">
        <v>9</v>
      </c>
      <c r="Z239" t="s">
        <v>808</v>
      </c>
      <c r="AB239" s="77">
        <f t="shared" si="176"/>
        <v>53.872160000000001</v>
      </c>
      <c r="AC239" s="77">
        <f t="shared" si="177"/>
        <v>25.702200000000001</v>
      </c>
      <c r="AD239" s="77">
        <f t="shared" si="178"/>
        <v>51.150852790197057</v>
      </c>
      <c r="AE239" s="77">
        <f t="shared" si="179"/>
        <v>33.314495620231703</v>
      </c>
      <c r="AF239" s="77">
        <f t="shared" si="180"/>
        <v>37.436000000000199</v>
      </c>
      <c r="AG239" s="77">
        <f t="shared" si="181"/>
        <v>42.117816479906523</v>
      </c>
      <c r="AH239" s="337">
        <f>AVERAGE(W239:W240)</f>
        <v>112.5</v>
      </c>
      <c r="AI239" s="337">
        <f>SUM(J239:J240)</f>
        <v>99.516999999999996</v>
      </c>
      <c r="AJ239" s="337">
        <f t="shared" si="184"/>
        <v>12.983000000000004</v>
      </c>
      <c r="AK239" s="337">
        <f>SUM(AA239:AA240)</f>
        <v>0</v>
      </c>
      <c r="AL239" s="337">
        <f t="shared" si="186"/>
        <v>12.983000000000004</v>
      </c>
      <c r="AM239" s="338">
        <f t="shared" si="187"/>
        <v>11.540444444444448</v>
      </c>
      <c r="AN239" t="str">
        <f t="shared" si="173"/>
        <v>Capped</v>
      </c>
      <c r="AO239" t="s">
        <v>395</v>
      </c>
      <c r="AP239" t="str">
        <f t="shared" si="175"/>
        <v>DDm125-33</v>
      </c>
      <c r="AQ239" t="str">
        <f>_xlfn.XLOOKUP(A239,'SYS Allocations'!A:A,'SYS Allocations'!B:B)</f>
        <v>P-Core</v>
      </c>
      <c r="AR239" t="str">
        <f>_xlfn.XLOOKUP(A239,'SYS Allocations'!A:A,'SYS Allocations'!C:C)</f>
        <v>RA</v>
      </c>
      <c r="AS239" t="str">
        <f>_xlfn.XLOOKUP(A239,'SYS Allocations'!A:A,'SYS Allocations'!D:D)</f>
        <v>PX</v>
      </c>
      <c r="AT239">
        <f>_xlfn.XLOOKUP(A239,'SYS Allocations'!A:A,'SYS Allocations'!E:E)</f>
        <v>0</v>
      </c>
      <c r="AU239" t="str">
        <f>_xlfn.XLOOKUP(A239,'SYS Allocations'!A:A,'SYS Allocations'!F:F)</f>
        <v>OPEX</v>
      </c>
      <c r="BA239" t="str">
        <f t="shared" si="174"/>
        <v>DDm125-33</v>
      </c>
    </row>
    <row r="240" spans="1:53">
      <c r="A240" s="35" t="s">
        <v>256</v>
      </c>
      <c r="B240" t="s">
        <v>344</v>
      </c>
      <c r="C240" t="s">
        <v>806</v>
      </c>
      <c r="D240" t="s">
        <v>392</v>
      </c>
      <c r="E240" t="s">
        <v>807</v>
      </c>
      <c r="F240" t="s">
        <v>321</v>
      </c>
      <c r="G240">
        <v>36.6</v>
      </c>
      <c r="H240">
        <v>67</v>
      </c>
      <c r="I240">
        <v>882</v>
      </c>
      <c r="J240">
        <v>48.069000000000003</v>
      </c>
      <c r="K240" s="64">
        <v>45600</v>
      </c>
      <c r="L240">
        <v>105.32016</v>
      </c>
      <c r="M240">
        <v>57.251159999999999</v>
      </c>
      <c r="N240">
        <v>77.150199999999998</v>
      </c>
      <c r="O240">
        <v>29.081199999999999</v>
      </c>
      <c r="P240" t="s">
        <v>346</v>
      </c>
      <c r="Q240" t="s">
        <v>333</v>
      </c>
      <c r="R240" t="s">
        <v>347</v>
      </c>
      <c r="S240">
        <v>88.884000000000199</v>
      </c>
      <c r="T240">
        <v>40.815000000000197</v>
      </c>
      <c r="U240" t="s">
        <v>339</v>
      </c>
      <c r="V240" t="s">
        <v>367</v>
      </c>
      <c r="W240">
        <v>112.5</v>
      </c>
      <c r="X240">
        <v>64.430999999999997</v>
      </c>
      <c r="Y240">
        <v>9</v>
      </c>
      <c r="Z240" t="s">
        <v>808</v>
      </c>
      <c r="AB240" s="77">
        <f t="shared" ref="AB240" si="212">M240-AA240</f>
        <v>57.251159999999999</v>
      </c>
      <c r="AC240" s="77">
        <f t="shared" ref="AC240" si="213">O240-AA240</f>
        <v>29.081199999999999</v>
      </c>
      <c r="AD240" s="77">
        <f t="shared" ref="AD240" si="214">AB240/L240%</f>
        <v>54.359165424739196</v>
      </c>
      <c r="AE240" s="77">
        <f t="shared" ref="AE240" si="215">AC240/N240%</f>
        <v>37.694263916360555</v>
      </c>
      <c r="AF240" s="77">
        <f t="shared" ref="AF240" si="216">T240-AA240</f>
        <v>40.815000000000197</v>
      </c>
      <c r="AG240" s="77">
        <f t="shared" ref="AG240" si="217">AF240/S240%</f>
        <v>45.919400567031303</v>
      </c>
      <c r="AH240" s="337"/>
      <c r="AI240" s="337"/>
      <c r="AJ240" s="337"/>
      <c r="AK240" s="337"/>
      <c r="AL240" s="337"/>
      <c r="AM240" s="338"/>
      <c r="AN240" t="str">
        <f t="shared" si="173"/>
        <v>Capped</v>
      </c>
      <c r="AO240" t="s">
        <v>395</v>
      </c>
      <c r="AP240" t="str">
        <f t="shared" si="175"/>
        <v>DDm125-33</v>
      </c>
      <c r="AQ240">
        <f>_xlfn.XLOOKUP(A240,'SYS Allocations'!A:A,'SYS Allocations'!B:B)</f>
        <v>0</v>
      </c>
      <c r="AR240">
        <f>_xlfn.XLOOKUP(A240,'SYS Allocations'!A:A,'SYS Allocations'!C:C)</f>
        <v>0</v>
      </c>
      <c r="AS240">
        <f>_xlfn.XLOOKUP(A240,'SYS Allocations'!A:A,'SYS Allocations'!D:D)</f>
        <v>0</v>
      </c>
      <c r="AT240">
        <f>_xlfn.XLOOKUP(A240,'SYS Allocations'!A:A,'SYS Allocations'!E:E)</f>
        <v>0</v>
      </c>
      <c r="AU240">
        <f>_xlfn.XLOOKUP(A240,'SYS Allocations'!A:A,'SYS Allocations'!F:F)</f>
        <v>0</v>
      </c>
      <c r="BA240" t="str">
        <f t="shared" si="174"/>
        <v>DDm125-33</v>
      </c>
    </row>
    <row r="241" spans="1:53">
      <c r="A241" s="35" t="s">
        <v>257</v>
      </c>
      <c r="B241" t="s">
        <v>344</v>
      </c>
      <c r="C241" t="s">
        <v>806</v>
      </c>
      <c r="D241" t="s">
        <v>319</v>
      </c>
      <c r="E241" t="s">
        <v>809</v>
      </c>
      <c r="F241" t="s">
        <v>321</v>
      </c>
      <c r="G241">
        <v>36.6</v>
      </c>
      <c r="H241">
        <v>60</v>
      </c>
      <c r="I241">
        <v>361</v>
      </c>
      <c r="J241">
        <v>19.674499999999998</v>
      </c>
      <c r="K241" s="64">
        <v>45600</v>
      </c>
      <c r="L241">
        <v>94.149839999999998</v>
      </c>
      <c r="M241">
        <v>74.475340000000003</v>
      </c>
      <c r="N241">
        <v>96.432299999999998</v>
      </c>
      <c r="O241">
        <v>76.757800000000003</v>
      </c>
      <c r="P241" t="s">
        <v>322</v>
      </c>
      <c r="Q241" t="s">
        <v>333</v>
      </c>
      <c r="R241" t="s">
        <v>342</v>
      </c>
      <c r="S241">
        <v>34.279200000000003</v>
      </c>
      <c r="T241">
        <v>14.604699999999999</v>
      </c>
      <c r="U241" t="s">
        <v>346</v>
      </c>
      <c r="V241" t="s">
        <v>418</v>
      </c>
      <c r="W241">
        <v>90</v>
      </c>
      <c r="X241">
        <v>70.325500000000005</v>
      </c>
      <c r="Y241">
        <v>64</v>
      </c>
      <c r="AB241" s="77">
        <f t="shared" si="176"/>
        <v>74.475340000000003</v>
      </c>
      <c r="AC241" s="77">
        <f t="shared" si="177"/>
        <v>76.757800000000003</v>
      </c>
      <c r="AD241" s="77">
        <f t="shared" si="178"/>
        <v>79.1029915717329</v>
      </c>
      <c r="AE241" s="77">
        <f t="shared" si="179"/>
        <v>79.597603707471464</v>
      </c>
      <c r="AF241" s="77">
        <f t="shared" si="180"/>
        <v>14.604699999999999</v>
      </c>
      <c r="AG241" s="77">
        <f t="shared" si="181"/>
        <v>42.605136642628757</v>
      </c>
      <c r="AH241" s="337">
        <f>AVERAGE(W241:W242)</f>
        <v>90</v>
      </c>
      <c r="AI241" s="337">
        <f>SUM(J241:J242)</f>
        <v>38.531499999999994</v>
      </c>
      <c r="AJ241" s="337">
        <f t="shared" si="184"/>
        <v>51.468500000000006</v>
      </c>
      <c r="AK241" s="337">
        <f>SUM(AA241:AA242)</f>
        <v>0</v>
      </c>
      <c r="AL241" s="337">
        <f t="shared" si="186"/>
        <v>51.468500000000006</v>
      </c>
      <c r="AM241" s="338">
        <f t="shared" si="187"/>
        <v>57.187222222222225</v>
      </c>
      <c r="AN241" t="str">
        <f t="shared" si="173"/>
        <v/>
      </c>
      <c r="AO241" t="s">
        <v>395</v>
      </c>
      <c r="AP241" t="str">
        <f t="shared" si="175"/>
        <v>DDm100-27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4"/>
        <v>DDm100-27</v>
      </c>
    </row>
    <row r="242" spans="1:53">
      <c r="A242" s="35" t="s">
        <v>258</v>
      </c>
      <c r="B242" t="s">
        <v>344</v>
      </c>
      <c r="C242" t="s">
        <v>806</v>
      </c>
      <c r="D242" t="s">
        <v>319</v>
      </c>
      <c r="E242" t="s">
        <v>809</v>
      </c>
      <c r="F242" t="s">
        <v>321</v>
      </c>
      <c r="G242">
        <v>36.6</v>
      </c>
      <c r="H242">
        <v>60</v>
      </c>
      <c r="I242">
        <v>346</v>
      </c>
      <c r="J242">
        <v>18.856999999999999</v>
      </c>
      <c r="K242" s="64">
        <v>45600</v>
      </c>
      <c r="L242">
        <v>94.149839999999998</v>
      </c>
      <c r="M242">
        <v>75.292839999999998</v>
      </c>
      <c r="N242">
        <v>96.432299999999998</v>
      </c>
      <c r="O242">
        <v>77.575299999999999</v>
      </c>
      <c r="P242" t="s">
        <v>322</v>
      </c>
      <c r="Q242" t="s">
        <v>333</v>
      </c>
      <c r="R242" t="s">
        <v>342</v>
      </c>
      <c r="S242">
        <v>34.279200000000003</v>
      </c>
      <c r="T242">
        <v>15.4222</v>
      </c>
      <c r="U242" t="s">
        <v>346</v>
      </c>
      <c r="V242" t="s">
        <v>418</v>
      </c>
      <c r="W242">
        <v>90</v>
      </c>
      <c r="X242">
        <v>71.143000000000001</v>
      </c>
      <c r="Y242">
        <v>64</v>
      </c>
      <c r="AB242" s="77">
        <f t="shared" si="176"/>
        <v>75.292839999999998</v>
      </c>
      <c r="AC242" s="77">
        <f t="shared" si="177"/>
        <v>77.575299999999999</v>
      </c>
      <c r="AD242" s="77">
        <f t="shared" si="178"/>
        <v>79.971288320829856</v>
      </c>
      <c r="AE242" s="77">
        <f t="shared" si="179"/>
        <v>80.44534870577597</v>
      </c>
      <c r="AF242" s="77">
        <f t="shared" si="180"/>
        <v>15.4222</v>
      </c>
      <c r="AG242" s="77">
        <f t="shared" si="181"/>
        <v>44.989964759971059</v>
      </c>
      <c r="AH242" s="337"/>
      <c r="AI242" s="337"/>
      <c r="AJ242" s="337"/>
      <c r="AK242" s="337"/>
      <c r="AL242" s="337"/>
      <c r="AM242" s="338"/>
      <c r="AN242" t="str">
        <f t="shared" si="173"/>
        <v/>
      </c>
      <c r="AO242" t="s">
        <v>395</v>
      </c>
      <c r="AP242" t="str">
        <f t="shared" si="175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4"/>
        <v>DDm100-27</v>
      </c>
    </row>
    <row r="243" spans="1:53">
      <c r="A243" s="35" t="s">
        <v>259</v>
      </c>
      <c r="B243" t="s">
        <v>344</v>
      </c>
      <c r="C243" t="s">
        <v>806</v>
      </c>
      <c r="D243" t="s">
        <v>319</v>
      </c>
      <c r="E243" t="s">
        <v>810</v>
      </c>
      <c r="F243" t="s">
        <v>384</v>
      </c>
      <c r="G243">
        <v>55</v>
      </c>
      <c r="H243">
        <v>8</v>
      </c>
      <c r="I243">
        <v>61</v>
      </c>
      <c r="J243">
        <v>3.3245</v>
      </c>
      <c r="K243" s="64">
        <v>44673.604166666701</v>
      </c>
      <c r="L243">
        <v>16.786000000000001</v>
      </c>
      <c r="M243">
        <v>13.461499999999999</v>
      </c>
      <c r="N243">
        <v>19.892499999999998</v>
      </c>
      <c r="O243">
        <v>16.568000000000001</v>
      </c>
      <c r="P243" t="s">
        <v>325</v>
      </c>
      <c r="Q243" t="s">
        <v>354</v>
      </c>
      <c r="R243" t="s">
        <v>811</v>
      </c>
      <c r="S243">
        <v>2.2507199999999998</v>
      </c>
      <c r="T243">
        <v>-1.07378</v>
      </c>
      <c r="U243" t="s">
        <v>339</v>
      </c>
      <c r="V243" t="s">
        <v>367</v>
      </c>
      <c r="W243">
        <v>112.5</v>
      </c>
      <c r="X243">
        <v>109.1755</v>
      </c>
      <c r="Y243">
        <v>6</v>
      </c>
      <c r="AB243" s="77">
        <f t="shared" si="176"/>
        <v>13.461499999999999</v>
      </c>
      <c r="AC243" s="77">
        <f t="shared" si="177"/>
        <v>16.568000000000001</v>
      </c>
      <c r="AD243" s="77">
        <f t="shared" si="178"/>
        <v>80.194805194805184</v>
      </c>
      <c r="AE243" s="77">
        <f t="shared" si="179"/>
        <v>83.287671232876718</v>
      </c>
      <c r="AF243" s="77">
        <f t="shared" si="180"/>
        <v>-1.07378</v>
      </c>
      <c r="AG243" s="77">
        <f t="shared" si="181"/>
        <v>-47.708288903106563</v>
      </c>
      <c r="AH243" s="77">
        <f t="shared" si="182"/>
        <v>112.5</v>
      </c>
      <c r="AI243" s="77">
        <f t="shared" si="183"/>
        <v>3.3245</v>
      </c>
      <c r="AJ243" s="77">
        <f t="shared" si="184"/>
        <v>109.1755</v>
      </c>
      <c r="AK243" s="77">
        <f t="shared" si="185"/>
        <v>0</v>
      </c>
      <c r="AL243" s="77">
        <f t="shared" si="186"/>
        <v>109.1755</v>
      </c>
      <c r="AM243" s="77">
        <f t="shared" si="187"/>
        <v>97.044888888888892</v>
      </c>
      <c r="AN243" t="str">
        <f t="shared" si="173"/>
        <v/>
      </c>
      <c r="AO243" t="s">
        <v>327</v>
      </c>
      <c r="AP243" t="str">
        <f t="shared" si="175"/>
        <v>12V125F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4"/>
        <v>12V125F</v>
      </c>
    </row>
    <row r="244" spans="1:53">
      <c r="A244" s="35" t="s">
        <v>260</v>
      </c>
      <c r="B244" t="s">
        <v>350</v>
      </c>
      <c r="C244" t="s">
        <v>812</v>
      </c>
      <c r="D244" t="s">
        <v>319</v>
      </c>
      <c r="E244" t="s">
        <v>813</v>
      </c>
      <c r="F244" t="s">
        <v>321</v>
      </c>
      <c r="G244">
        <v>36.6</v>
      </c>
      <c r="H244">
        <v>4</v>
      </c>
      <c r="I244">
        <v>34</v>
      </c>
      <c r="J244">
        <v>1.853</v>
      </c>
      <c r="K244" s="64">
        <v>45600</v>
      </c>
      <c r="L244">
        <v>4.78728</v>
      </c>
      <c r="M244">
        <v>2.9342800000000002</v>
      </c>
      <c r="N244">
        <v>3.8749498364999999</v>
      </c>
      <c r="O244">
        <v>2.0219498365000002</v>
      </c>
      <c r="P244" t="s">
        <v>322</v>
      </c>
      <c r="Q244" t="s">
        <v>354</v>
      </c>
      <c r="R244" t="s">
        <v>361</v>
      </c>
      <c r="S244">
        <v>4.2119999999999997</v>
      </c>
      <c r="T244">
        <v>2.359</v>
      </c>
      <c r="U244" t="s">
        <v>325</v>
      </c>
      <c r="V244" t="s">
        <v>356</v>
      </c>
      <c r="W244">
        <v>5.0250000000000004</v>
      </c>
      <c r="X244">
        <v>3.1720000000000002</v>
      </c>
      <c r="Y244">
        <v>5</v>
      </c>
      <c r="AB244" s="77">
        <f t="shared" si="176"/>
        <v>2.9342800000000002</v>
      </c>
      <c r="AC244" s="77">
        <f t="shared" si="177"/>
        <v>2.0219498365000002</v>
      </c>
      <c r="AD244" s="77">
        <f t="shared" si="178"/>
        <v>61.293260473588347</v>
      </c>
      <c r="AE244" s="77">
        <f t="shared" si="179"/>
        <v>52.180026111674813</v>
      </c>
      <c r="AF244" s="77">
        <f t="shared" si="180"/>
        <v>2.359</v>
      </c>
      <c r="AG244" s="77">
        <f t="shared" si="181"/>
        <v>56.00664767331434</v>
      </c>
      <c r="AH244" s="77">
        <f t="shared" si="182"/>
        <v>5.0250000000000004</v>
      </c>
      <c r="AI244" s="77">
        <f t="shared" si="183"/>
        <v>1.853</v>
      </c>
      <c r="AJ244" s="77">
        <f t="shared" si="184"/>
        <v>3.1720000000000006</v>
      </c>
      <c r="AK244" s="77">
        <f t="shared" si="185"/>
        <v>0</v>
      </c>
      <c r="AL244" s="77">
        <f t="shared" si="186"/>
        <v>3.1720000000000006</v>
      </c>
      <c r="AM244" s="77">
        <f t="shared" si="187"/>
        <v>63.124378109452742</v>
      </c>
      <c r="AN244" t="str">
        <f t="shared" si="173"/>
        <v/>
      </c>
      <c r="AO244" t="s">
        <v>327</v>
      </c>
      <c r="AP244" t="str">
        <f t="shared" si="175"/>
        <v>12V155F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4"/>
        <v>12V155F</v>
      </c>
    </row>
    <row r="245" spans="1:53">
      <c r="A245" s="35" t="s">
        <v>261</v>
      </c>
      <c r="B245" t="s">
        <v>402</v>
      </c>
      <c r="C245" t="s">
        <v>814</v>
      </c>
      <c r="D245" t="s">
        <v>392</v>
      </c>
      <c r="E245" t="s">
        <v>815</v>
      </c>
      <c r="F245" t="s">
        <v>816</v>
      </c>
      <c r="G245">
        <v>20</v>
      </c>
      <c r="H245">
        <v>3</v>
      </c>
      <c r="I245">
        <v>0</v>
      </c>
      <c r="J245">
        <v>0</v>
      </c>
      <c r="K245" s="64">
        <v>0</v>
      </c>
      <c r="L245">
        <v>1.744</v>
      </c>
      <c r="M245">
        <v>1.744</v>
      </c>
      <c r="N245">
        <v>0.54500000000000004</v>
      </c>
      <c r="O245">
        <v>0.54500000000000004</v>
      </c>
      <c r="P245" t="s">
        <v>322</v>
      </c>
      <c r="Q245" t="s">
        <v>333</v>
      </c>
      <c r="R245" t="s">
        <v>535</v>
      </c>
      <c r="S245">
        <v>2.8252799999999998</v>
      </c>
      <c r="T245">
        <v>2.8252799999999998</v>
      </c>
      <c r="U245" t="s">
        <v>325</v>
      </c>
      <c r="V245" t="s">
        <v>446</v>
      </c>
      <c r="W245">
        <v>6</v>
      </c>
      <c r="X245">
        <v>6</v>
      </c>
      <c r="Y245">
        <v>1</v>
      </c>
      <c r="Z245" t="s">
        <v>817</v>
      </c>
      <c r="AB245" s="77">
        <f t="shared" si="176"/>
        <v>1.744</v>
      </c>
      <c r="AC245" s="77">
        <f t="shared" si="177"/>
        <v>0.54500000000000004</v>
      </c>
      <c r="AD245" s="77">
        <f t="shared" si="178"/>
        <v>100</v>
      </c>
      <c r="AE245" s="77">
        <f t="shared" si="179"/>
        <v>100.00000000000001</v>
      </c>
      <c r="AF245" s="77">
        <f t="shared" si="180"/>
        <v>2.8252799999999998</v>
      </c>
      <c r="AG245" s="77">
        <f t="shared" si="181"/>
        <v>100</v>
      </c>
      <c r="AH245" s="77">
        <f t="shared" si="182"/>
        <v>6</v>
      </c>
      <c r="AI245" s="77">
        <f t="shared" si="183"/>
        <v>0</v>
      </c>
      <c r="AJ245" s="77">
        <f t="shared" si="184"/>
        <v>6</v>
      </c>
      <c r="AK245" s="77">
        <f t="shared" si="185"/>
        <v>0</v>
      </c>
      <c r="AL245" s="77">
        <f t="shared" si="186"/>
        <v>6</v>
      </c>
      <c r="AM245" s="77">
        <f t="shared" si="187"/>
        <v>100</v>
      </c>
      <c r="AN245" t="str">
        <f t="shared" si="173"/>
        <v>Capped</v>
      </c>
      <c r="AO245" t="s">
        <v>327</v>
      </c>
      <c r="AP245" t="str">
        <f t="shared" si="175"/>
        <v>SBS 12V100F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4"/>
        <v>SBS 12V100F</v>
      </c>
    </row>
    <row r="246" spans="1:53">
      <c r="A246" s="35" t="s">
        <v>262</v>
      </c>
      <c r="B246" t="s">
        <v>363</v>
      </c>
      <c r="C246" t="s">
        <v>818</v>
      </c>
      <c r="D246" t="s">
        <v>319</v>
      </c>
      <c r="E246" t="s">
        <v>819</v>
      </c>
      <c r="F246" t="s">
        <v>337</v>
      </c>
      <c r="G246">
        <v>31</v>
      </c>
      <c r="H246">
        <v>24</v>
      </c>
      <c r="I246">
        <v>438</v>
      </c>
      <c r="J246">
        <v>23.870999999999999</v>
      </c>
      <c r="K246" s="64">
        <v>44840</v>
      </c>
      <c r="L246">
        <v>31.0868</v>
      </c>
      <c r="M246">
        <v>7.2157999999999998</v>
      </c>
      <c r="N246">
        <v>18.4755</v>
      </c>
      <c r="O246">
        <v>-5.3955000000000002</v>
      </c>
      <c r="P246" t="s">
        <v>325</v>
      </c>
      <c r="Q246" t="s">
        <v>333</v>
      </c>
      <c r="R246" t="s">
        <v>624</v>
      </c>
      <c r="S246">
        <v>32.832000000000001</v>
      </c>
      <c r="T246">
        <v>8.9610000000000198</v>
      </c>
      <c r="U246" t="s">
        <v>360</v>
      </c>
      <c r="V246" t="s">
        <v>501</v>
      </c>
      <c r="W246">
        <v>180</v>
      </c>
      <c r="X246">
        <v>156.12899999999999</v>
      </c>
      <c r="Y246">
        <v>77</v>
      </c>
      <c r="AB246" s="77">
        <f t="shared" si="176"/>
        <v>7.2157999999999998</v>
      </c>
      <c r="AC246" s="77">
        <f t="shared" si="177"/>
        <v>-5.3955000000000002</v>
      </c>
      <c r="AD246" s="77">
        <f t="shared" si="178"/>
        <v>23.211781206171111</v>
      </c>
      <c r="AE246" s="77">
        <f t="shared" si="179"/>
        <v>-29.20353982300885</v>
      </c>
      <c r="AF246" s="77">
        <f t="shared" si="180"/>
        <v>8.9610000000000198</v>
      </c>
      <c r="AG246" s="77">
        <f t="shared" si="181"/>
        <v>27.293494152046843</v>
      </c>
      <c r="AH246" s="77">
        <f t="shared" si="182"/>
        <v>180</v>
      </c>
      <c r="AI246" s="77">
        <f t="shared" si="183"/>
        <v>23.870999999999999</v>
      </c>
      <c r="AJ246" s="77">
        <f t="shared" si="184"/>
        <v>156.12899999999999</v>
      </c>
      <c r="AK246" s="77">
        <f t="shared" si="185"/>
        <v>0</v>
      </c>
      <c r="AL246" s="77">
        <f t="shared" si="186"/>
        <v>156.12899999999999</v>
      </c>
      <c r="AM246" s="77">
        <f t="shared" si="187"/>
        <v>86.73833333333333</v>
      </c>
      <c r="AN246" t="str">
        <f t="shared" si="173"/>
        <v/>
      </c>
      <c r="AO246" t="s">
        <v>327</v>
      </c>
      <c r="AP246" t="str">
        <f t="shared" si="175"/>
        <v>SBS EON 1800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4"/>
        <v>SBS EON 1800</v>
      </c>
    </row>
    <row r="247" spans="1:53">
      <c r="A247" s="35" t="s">
        <v>263</v>
      </c>
      <c r="B247" t="s">
        <v>437</v>
      </c>
      <c r="C247" t="s">
        <v>820</v>
      </c>
      <c r="D247" t="s">
        <v>319</v>
      </c>
      <c r="E247" t="s">
        <v>821</v>
      </c>
      <c r="F247" t="s">
        <v>321</v>
      </c>
      <c r="G247">
        <v>36.6</v>
      </c>
      <c r="H247">
        <v>35</v>
      </c>
      <c r="I247">
        <v>135</v>
      </c>
      <c r="J247">
        <v>7.3574999999999999</v>
      </c>
      <c r="K247" s="64">
        <v>44589</v>
      </c>
      <c r="L247">
        <v>54.255839999999999</v>
      </c>
      <c r="M247">
        <v>46.898339999999997</v>
      </c>
      <c r="N247">
        <v>46.019799999999996</v>
      </c>
      <c r="O247">
        <v>38.662300000000002</v>
      </c>
      <c r="P247" t="s">
        <v>325</v>
      </c>
      <c r="Q247" t="s">
        <v>333</v>
      </c>
      <c r="R247" t="s">
        <v>347</v>
      </c>
      <c r="S247">
        <v>35.553600000000003</v>
      </c>
      <c r="T247">
        <v>28.196100000000001</v>
      </c>
      <c r="U247" t="s">
        <v>346</v>
      </c>
      <c r="V247" t="s">
        <v>822</v>
      </c>
      <c r="W247">
        <v>66</v>
      </c>
      <c r="X247">
        <v>58.642499999999998</v>
      </c>
      <c r="Y247">
        <v>34</v>
      </c>
      <c r="AB247" s="77">
        <f t="shared" si="176"/>
        <v>46.898339999999997</v>
      </c>
      <c r="AC247" s="77">
        <f t="shared" si="177"/>
        <v>38.662300000000002</v>
      </c>
      <c r="AD247" s="77">
        <f t="shared" si="178"/>
        <v>86.439247830279655</v>
      </c>
      <c r="AE247" s="77">
        <f t="shared" si="179"/>
        <v>84.01231643770727</v>
      </c>
      <c r="AF247" s="77">
        <f t="shared" si="180"/>
        <v>28.196100000000001</v>
      </c>
      <c r="AG247" s="77">
        <f t="shared" si="181"/>
        <v>79.305893074119069</v>
      </c>
      <c r="AH247" s="77">
        <f t="shared" si="182"/>
        <v>66</v>
      </c>
      <c r="AI247" s="77">
        <f t="shared" si="183"/>
        <v>7.3574999999999999</v>
      </c>
      <c r="AJ247" s="77">
        <f t="shared" si="184"/>
        <v>58.642499999999998</v>
      </c>
      <c r="AK247" s="77">
        <f t="shared" si="185"/>
        <v>0</v>
      </c>
      <c r="AL247" s="77">
        <f t="shared" si="186"/>
        <v>58.642499999999998</v>
      </c>
      <c r="AM247" s="77">
        <f t="shared" si="187"/>
        <v>88.85227272727272</v>
      </c>
      <c r="AN247" t="str">
        <f t="shared" si="173"/>
        <v/>
      </c>
      <c r="AO247" t="s">
        <v>327</v>
      </c>
      <c r="AP247" t="str">
        <f t="shared" si="175"/>
        <v>DDm125-33</v>
      </c>
      <c r="AQ247">
        <f>_xlfn.XLOOKUP(A247,'SYS Allocations'!A:A,'SYS Allocations'!B:B)</f>
        <v>0</v>
      </c>
      <c r="AR247" t="str">
        <f>_xlfn.XLOOKUP(A247,'SYS Allocations'!A:A,'SYS Allocations'!C:C)</f>
        <v>RA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4"/>
        <v>DDm125-33</v>
      </c>
    </row>
    <row r="248" spans="1:53">
      <c r="A248" s="35" t="s">
        <v>264</v>
      </c>
      <c r="B248" t="s">
        <v>421</v>
      </c>
      <c r="C248" t="s">
        <v>823</v>
      </c>
      <c r="D248" t="s">
        <v>392</v>
      </c>
      <c r="E248" t="s">
        <v>824</v>
      </c>
      <c r="F248" t="s">
        <v>337</v>
      </c>
      <c r="G248">
        <v>31</v>
      </c>
      <c r="H248">
        <v>6</v>
      </c>
      <c r="I248">
        <v>0</v>
      </c>
      <c r="J248">
        <v>0</v>
      </c>
      <c r="K248" s="64">
        <v>0</v>
      </c>
      <c r="L248">
        <v>6.758</v>
      </c>
      <c r="M248">
        <v>6.758</v>
      </c>
      <c r="N248">
        <v>5.9950000000000001</v>
      </c>
      <c r="O248">
        <v>5.9950000000000001</v>
      </c>
      <c r="P248" t="s">
        <v>322</v>
      </c>
      <c r="Q248" t="s">
        <v>333</v>
      </c>
      <c r="R248" t="s">
        <v>533</v>
      </c>
      <c r="S248">
        <v>11.689920000000001</v>
      </c>
      <c r="T248">
        <v>11.689920000000001</v>
      </c>
      <c r="U248" t="s">
        <v>424</v>
      </c>
      <c r="V248" t="s">
        <v>446</v>
      </c>
      <c r="W248">
        <v>6</v>
      </c>
      <c r="X248">
        <v>6</v>
      </c>
      <c r="Y248">
        <v>1</v>
      </c>
      <c r="Z248" t="s">
        <v>425</v>
      </c>
      <c r="AB248" s="77">
        <f t="shared" si="176"/>
        <v>6.758</v>
      </c>
      <c r="AC248" s="77">
        <f t="shared" si="177"/>
        <v>5.9950000000000001</v>
      </c>
      <c r="AD248" s="77">
        <f t="shared" si="178"/>
        <v>100</v>
      </c>
      <c r="AE248" s="77">
        <f t="shared" si="179"/>
        <v>100</v>
      </c>
      <c r="AF248" s="77">
        <f t="shared" si="180"/>
        <v>11.689920000000001</v>
      </c>
      <c r="AG248" s="77">
        <f t="shared" si="181"/>
        <v>100</v>
      </c>
      <c r="AH248" s="77">
        <f t="shared" si="182"/>
        <v>6</v>
      </c>
      <c r="AI248" s="77">
        <f t="shared" si="183"/>
        <v>0</v>
      </c>
      <c r="AJ248" s="77">
        <f t="shared" si="184"/>
        <v>6</v>
      </c>
      <c r="AK248" s="77">
        <f t="shared" si="185"/>
        <v>0</v>
      </c>
      <c r="AL248" s="77">
        <f t="shared" si="186"/>
        <v>6</v>
      </c>
      <c r="AM248" s="77">
        <f t="shared" si="187"/>
        <v>100</v>
      </c>
      <c r="AN248" t="str">
        <f t="shared" si="173"/>
        <v>Capped</v>
      </c>
      <c r="AO248" t="s">
        <v>327</v>
      </c>
      <c r="AP248" t="str">
        <f t="shared" si="175"/>
        <v>SBS XL 150F-FT</v>
      </c>
      <c r="AQ248">
        <f>_xlfn.XLOOKUP(A248,'SYS Allocations'!A:A,'SYS Allocations'!B:B)</f>
        <v>0</v>
      </c>
      <c r="AR248">
        <f>_xlfn.XLOOKUP(A248,'SYS Allocations'!A:A,'SYS Allocations'!C:C)</f>
        <v>0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4"/>
        <v xml:space="preserve">SBS XL 150F-FT </v>
      </c>
    </row>
    <row r="249" spans="1:53">
      <c r="A249" s="35" t="s">
        <v>265</v>
      </c>
      <c r="B249" t="s">
        <v>421</v>
      </c>
      <c r="C249" t="s">
        <v>825</v>
      </c>
      <c r="D249" t="s">
        <v>385</v>
      </c>
      <c r="E249" t="s">
        <v>826</v>
      </c>
      <c r="F249" t="s">
        <v>384</v>
      </c>
      <c r="G249">
        <v>55</v>
      </c>
      <c r="H249">
        <v>26</v>
      </c>
      <c r="I249">
        <v>691</v>
      </c>
      <c r="J249">
        <v>37.659500000000001</v>
      </c>
      <c r="K249" s="64">
        <v>44645.666666666701</v>
      </c>
      <c r="L249">
        <v>59.95</v>
      </c>
      <c r="M249">
        <v>22.290500000000002</v>
      </c>
      <c r="N249">
        <v>42.237499999999997</v>
      </c>
      <c r="O249">
        <v>4.5780000000000003</v>
      </c>
      <c r="P249" t="s">
        <v>322</v>
      </c>
      <c r="Q249" t="s">
        <v>333</v>
      </c>
      <c r="R249" t="s">
        <v>347</v>
      </c>
      <c r="S249">
        <v>53.330399999999997</v>
      </c>
      <c r="T249">
        <v>15.6709</v>
      </c>
      <c r="U249" t="s">
        <v>375</v>
      </c>
      <c r="V249" t="s">
        <v>827</v>
      </c>
      <c r="W249">
        <v>70.5</v>
      </c>
      <c r="X249">
        <v>32.840499999999999</v>
      </c>
      <c r="Y249">
        <v>34</v>
      </c>
      <c r="AB249" s="77">
        <f t="shared" si="176"/>
        <v>22.290500000000002</v>
      </c>
      <c r="AC249" s="77">
        <f t="shared" si="177"/>
        <v>4.5780000000000003</v>
      </c>
      <c r="AD249" s="77">
        <f t="shared" si="178"/>
        <v>37.18181818181818</v>
      </c>
      <c r="AE249" s="77">
        <f t="shared" si="179"/>
        <v>10.838709677419358</v>
      </c>
      <c r="AF249" s="77">
        <f t="shared" si="180"/>
        <v>15.6709</v>
      </c>
      <c r="AG249" s="77">
        <f t="shared" si="181"/>
        <v>29.384553650450773</v>
      </c>
      <c r="AH249" s="77">
        <f t="shared" si="182"/>
        <v>70.5</v>
      </c>
      <c r="AI249" s="77">
        <f t="shared" si="183"/>
        <v>37.659500000000001</v>
      </c>
      <c r="AJ249" s="77">
        <f t="shared" si="184"/>
        <v>32.840499999999999</v>
      </c>
      <c r="AK249" s="77">
        <f t="shared" si="185"/>
        <v>0</v>
      </c>
      <c r="AL249" s="77">
        <f t="shared" si="186"/>
        <v>32.840499999999999</v>
      </c>
      <c r="AM249" s="77">
        <f t="shared" si="187"/>
        <v>46.582269503546101</v>
      </c>
      <c r="AN249" t="str">
        <f t="shared" si="173"/>
        <v/>
      </c>
      <c r="AO249" t="s">
        <v>327</v>
      </c>
      <c r="AP249" t="str">
        <f t="shared" si="175"/>
        <v>DDm125-33</v>
      </c>
      <c r="AQ249">
        <f>_xlfn.XLOOKUP(A249,'SYS Allocations'!A:A,'SYS Allocations'!B:B)</f>
        <v>0</v>
      </c>
      <c r="AR249" t="str">
        <f>_xlfn.XLOOKUP(A249,'SYS Allocations'!A:A,'SYS Allocations'!C:C)</f>
        <v>RA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4"/>
        <v>DDm125-33</v>
      </c>
    </row>
    <row r="250" spans="1:53">
      <c r="A250" s="35" t="s">
        <v>266</v>
      </c>
      <c r="B250" t="s">
        <v>317</v>
      </c>
      <c r="C250" t="s">
        <v>828</v>
      </c>
      <c r="D250" t="s">
        <v>330</v>
      </c>
      <c r="E250" t="s">
        <v>829</v>
      </c>
      <c r="F250" t="s">
        <v>321</v>
      </c>
      <c r="G250">
        <v>36.6</v>
      </c>
      <c r="H250">
        <v>15</v>
      </c>
      <c r="I250">
        <v>137</v>
      </c>
      <c r="J250">
        <v>7.4664999999999999</v>
      </c>
      <c r="K250" s="64">
        <v>44251</v>
      </c>
      <c r="L250">
        <v>22.34064</v>
      </c>
      <c r="M250">
        <v>14.874140000000001</v>
      </c>
      <c r="N250">
        <v>14.845800000000001</v>
      </c>
      <c r="O250">
        <v>7.3792999999999997</v>
      </c>
      <c r="P250" t="s">
        <v>325</v>
      </c>
      <c r="Q250" t="s">
        <v>333</v>
      </c>
      <c r="R250" t="s">
        <v>338</v>
      </c>
      <c r="S250">
        <v>21.1248</v>
      </c>
      <c r="T250">
        <v>13.658300000000001</v>
      </c>
      <c r="U250" t="s">
        <v>346</v>
      </c>
      <c r="V250" t="s">
        <v>830</v>
      </c>
      <c r="W250">
        <v>28.35</v>
      </c>
      <c r="X250">
        <v>20.883500000000002</v>
      </c>
      <c r="Y250">
        <v>42</v>
      </c>
      <c r="AB250" s="77">
        <f t="shared" si="176"/>
        <v>14.874140000000001</v>
      </c>
      <c r="AC250" s="77">
        <f t="shared" si="177"/>
        <v>7.3792999999999997</v>
      </c>
      <c r="AD250" s="77">
        <f t="shared" si="178"/>
        <v>66.578844652615146</v>
      </c>
      <c r="AE250" s="77">
        <f t="shared" si="179"/>
        <v>49.706314243759174</v>
      </c>
      <c r="AF250" s="77">
        <f t="shared" si="180"/>
        <v>13.658300000000001</v>
      </c>
      <c r="AG250" s="77">
        <f t="shared" si="181"/>
        <v>64.655286677270325</v>
      </c>
      <c r="AH250" s="77">
        <f t="shared" si="182"/>
        <v>28.35</v>
      </c>
      <c r="AI250" s="77">
        <f t="shared" si="183"/>
        <v>7.4664999999999999</v>
      </c>
      <c r="AJ250" s="77">
        <f t="shared" si="184"/>
        <v>20.883500000000002</v>
      </c>
      <c r="AK250" s="77">
        <f t="shared" si="185"/>
        <v>0</v>
      </c>
      <c r="AL250" s="77">
        <f t="shared" si="186"/>
        <v>20.883500000000002</v>
      </c>
      <c r="AM250" s="77">
        <f t="shared" si="187"/>
        <v>73.663139329806</v>
      </c>
      <c r="AN250" t="str">
        <f t="shared" si="173"/>
        <v/>
      </c>
      <c r="AO250" t="s">
        <v>327</v>
      </c>
      <c r="AP250" t="str">
        <f t="shared" si="175"/>
        <v>DDm100-25</v>
      </c>
      <c r="AQ250">
        <f>_xlfn.XLOOKUP(A250,'SYS Allocations'!A:A,'SYS Allocations'!B:B)</f>
        <v>0</v>
      </c>
      <c r="AR250">
        <f>_xlfn.XLOOKUP(A250,'SYS Allocations'!A:A,'SYS Allocations'!C:C)</f>
        <v>0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4"/>
        <v>DDm100-25</v>
      </c>
    </row>
    <row r="251" spans="1:53">
      <c r="A251" s="35" t="s">
        <v>267</v>
      </c>
      <c r="B251" t="s">
        <v>377</v>
      </c>
      <c r="C251" t="s">
        <v>831</v>
      </c>
      <c r="D251" t="s">
        <v>319</v>
      </c>
      <c r="E251" t="s">
        <v>832</v>
      </c>
      <c r="F251" t="s">
        <v>321</v>
      </c>
      <c r="G251">
        <v>36.6</v>
      </c>
      <c r="H251">
        <v>15</v>
      </c>
      <c r="I251">
        <v>178</v>
      </c>
      <c r="J251">
        <v>9.7010000000000005</v>
      </c>
      <c r="K251" s="64">
        <v>44627.458333333299</v>
      </c>
      <c r="L251">
        <v>22.34064</v>
      </c>
      <c r="M251">
        <v>12.63964</v>
      </c>
      <c r="N251">
        <v>11.248799999999999</v>
      </c>
      <c r="O251">
        <v>1.5478000000000001</v>
      </c>
      <c r="P251" t="s">
        <v>322</v>
      </c>
      <c r="Q251" t="s">
        <v>333</v>
      </c>
      <c r="R251" t="s">
        <v>334</v>
      </c>
      <c r="S251">
        <v>26.1144</v>
      </c>
      <c r="T251">
        <v>16.413399999999999</v>
      </c>
      <c r="U251" t="s">
        <v>322</v>
      </c>
      <c r="V251" t="s">
        <v>833</v>
      </c>
      <c r="W251">
        <v>11.1</v>
      </c>
      <c r="X251">
        <v>1.399</v>
      </c>
      <c r="Y251">
        <v>12</v>
      </c>
      <c r="AB251" s="77">
        <f t="shared" si="176"/>
        <v>12.63964</v>
      </c>
      <c r="AC251" s="77">
        <f t="shared" si="177"/>
        <v>1.5478000000000001</v>
      </c>
      <c r="AD251" s="77">
        <f t="shared" si="178"/>
        <v>56.576893052302886</v>
      </c>
      <c r="AE251" s="77">
        <f t="shared" si="179"/>
        <v>13.759689922480622</v>
      </c>
      <c r="AF251" s="77">
        <f t="shared" si="180"/>
        <v>16.413399999999999</v>
      </c>
      <c r="AG251" s="77">
        <f t="shared" si="181"/>
        <v>62.851913120730323</v>
      </c>
      <c r="AH251" s="77">
        <f t="shared" si="182"/>
        <v>11.1</v>
      </c>
      <c r="AI251" s="77">
        <f t="shared" si="183"/>
        <v>9.7010000000000005</v>
      </c>
      <c r="AJ251" s="77">
        <f t="shared" si="184"/>
        <v>1.3989999999999991</v>
      </c>
      <c r="AK251" s="77">
        <f t="shared" si="185"/>
        <v>0</v>
      </c>
      <c r="AL251" s="77">
        <f t="shared" si="186"/>
        <v>1.3989999999999991</v>
      </c>
      <c r="AM251" s="77">
        <f t="shared" si="187"/>
        <v>12.603603603603595</v>
      </c>
      <c r="AN251" t="str">
        <f t="shared" si="173"/>
        <v/>
      </c>
      <c r="AO251" t="s">
        <v>327</v>
      </c>
      <c r="AP251" t="str">
        <f t="shared" si="175"/>
        <v>DDm85-25</v>
      </c>
      <c r="AQ251">
        <f>_xlfn.XLOOKUP(A251,'SYS Allocations'!A:A,'SYS Allocations'!B:B)</f>
        <v>0</v>
      </c>
      <c r="AR251" t="str">
        <f>_xlfn.XLOOKUP(A251,'SYS Allocations'!A:A,'SYS Allocations'!C:C)</f>
        <v>RA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4"/>
        <v>DDm85-25</v>
      </c>
    </row>
    <row r="252" spans="1:53">
      <c r="A252" t="s">
        <v>268</v>
      </c>
      <c r="B252" t="s">
        <v>396</v>
      </c>
      <c r="C252" t="s">
        <v>834</v>
      </c>
      <c r="D252" t="s">
        <v>319</v>
      </c>
      <c r="E252" t="s">
        <v>835</v>
      </c>
      <c r="F252" t="s">
        <v>332</v>
      </c>
      <c r="G252">
        <v>75</v>
      </c>
      <c r="H252">
        <v>9</v>
      </c>
      <c r="I252">
        <v>240</v>
      </c>
      <c r="J252">
        <v>13.08</v>
      </c>
      <c r="K252" s="64">
        <v>44049</v>
      </c>
      <c r="L252">
        <v>26.16</v>
      </c>
      <c r="M252">
        <v>13.08</v>
      </c>
      <c r="N252">
        <v>19.62</v>
      </c>
      <c r="O252">
        <v>6.54</v>
      </c>
      <c r="P252" t="s">
        <v>325</v>
      </c>
      <c r="Q252" t="s">
        <v>333</v>
      </c>
      <c r="R252" t="s">
        <v>338</v>
      </c>
      <c r="S252">
        <v>21.1248</v>
      </c>
      <c r="T252">
        <v>8.0448000000000093</v>
      </c>
      <c r="U252" t="s">
        <v>322</v>
      </c>
      <c r="V252" t="s">
        <v>455</v>
      </c>
      <c r="W252">
        <v>33</v>
      </c>
      <c r="X252">
        <v>19.920000000000002</v>
      </c>
      <c r="Y252">
        <v>67</v>
      </c>
      <c r="AB252" s="77">
        <f t="shared" si="176"/>
        <v>13.08</v>
      </c>
      <c r="AC252" s="77">
        <f t="shared" si="177"/>
        <v>6.54</v>
      </c>
      <c r="AD252" s="77">
        <f t="shared" si="178"/>
        <v>50</v>
      </c>
      <c r="AE252" s="77">
        <f t="shared" si="179"/>
        <v>33.333333333333329</v>
      </c>
      <c r="AF252" s="77">
        <f t="shared" si="180"/>
        <v>8.0448000000000093</v>
      </c>
      <c r="AG252" s="77">
        <f t="shared" si="181"/>
        <v>38.082254033174323</v>
      </c>
      <c r="AH252" s="77">
        <f t="shared" si="182"/>
        <v>33</v>
      </c>
      <c r="AI252" s="77">
        <f t="shared" si="183"/>
        <v>13.08</v>
      </c>
      <c r="AJ252" s="77">
        <f t="shared" si="184"/>
        <v>19.920000000000002</v>
      </c>
      <c r="AK252" s="77">
        <f t="shared" si="185"/>
        <v>0</v>
      </c>
      <c r="AL252" s="77">
        <f t="shared" si="186"/>
        <v>19.920000000000002</v>
      </c>
      <c r="AM252" s="77">
        <f t="shared" si="187"/>
        <v>60.363636363636367</v>
      </c>
      <c r="AN252" t="str">
        <f t="shared" si="173"/>
        <v/>
      </c>
      <c r="AO252" t="s">
        <v>327</v>
      </c>
      <c r="AP252" t="str">
        <f t="shared" si="175"/>
        <v>DDm100-25</v>
      </c>
      <c r="AQ252">
        <f>_xlfn.XLOOKUP(A252,'SYS Allocations'!A:A,'SYS Allocations'!B:B)</f>
        <v>0</v>
      </c>
      <c r="AR252">
        <f>_xlfn.XLOOKUP(A252,'SYS Allocations'!A:A,'SYS Allocations'!C:C)</f>
        <v>0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4"/>
        <v>DDm100-25</v>
      </c>
    </row>
    <row r="253" spans="1:53">
      <c r="A253" t="s">
        <v>269</v>
      </c>
      <c r="B253" t="s">
        <v>396</v>
      </c>
      <c r="C253" t="s">
        <v>834</v>
      </c>
      <c r="D253" t="s">
        <v>330</v>
      </c>
      <c r="E253" t="s">
        <v>836</v>
      </c>
      <c r="F253" t="s">
        <v>399</v>
      </c>
      <c r="G253">
        <v>50</v>
      </c>
      <c r="H253">
        <v>5</v>
      </c>
      <c r="I253">
        <v>81.8</v>
      </c>
      <c r="J253">
        <v>4.4581</v>
      </c>
      <c r="K253" s="64">
        <v>44739.411111111098</v>
      </c>
      <c r="L253">
        <v>8.7200000000000006</v>
      </c>
      <c r="M253">
        <v>4.2618999999999998</v>
      </c>
      <c r="N253">
        <v>4.4145000000000003</v>
      </c>
      <c r="O253">
        <v>-4.3599999999999799E-2</v>
      </c>
      <c r="P253" t="s">
        <v>325</v>
      </c>
      <c r="Q253" t="s">
        <v>333</v>
      </c>
      <c r="R253" t="s">
        <v>366</v>
      </c>
      <c r="S253">
        <v>10.1088</v>
      </c>
      <c r="T253">
        <v>5.6506999999999801</v>
      </c>
      <c r="U253" t="s">
        <v>325</v>
      </c>
      <c r="V253" t="s">
        <v>335</v>
      </c>
      <c r="W253">
        <v>22.5</v>
      </c>
      <c r="X253">
        <v>18.041899999999998</v>
      </c>
      <c r="Y253">
        <v>42</v>
      </c>
      <c r="AB253" s="77">
        <f t="shared" si="176"/>
        <v>4.2618999999999998</v>
      </c>
      <c r="AC253" s="77">
        <f t="shared" si="177"/>
        <v>-4.3599999999999799E-2</v>
      </c>
      <c r="AD253" s="77">
        <f t="shared" si="178"/>
        <v>48.875</v>
      </c>
      <c r="AE253" s="77">
        <f t="shared" si="179"/>
        <v>-0.98765432098764971</v>
      </c>
      <c r="AF253" s="77">
        <f t="shared" si="180"/>
        <v>5.6506999999999801</v>
      </c>
      <c r="AG253" s="77">
        <f t="shared" si="181"/>
        <v>55.898820829376184</v>
      </c>
      <c r="AH253" s="77">
        <f t="shared" si="182"/>
        <v>22.5</v>
      </c>
      <c r="AI253" s="77">
        <f t="shared" si="183"/>
        <v>4.4581</v>
      </c>
      <c r="AJ253" s="77">
        <f t="shared" si="184"/>
        <v>18.041899999999998</v>
      </c>
      <c r="AK253" s="77">
        <f t="shared" si="185"/>
        <v>0</v>
      </c>
      <c r="AL253" s="77">
        <f t="shared" si="186"/>
        <v>18.041899999999998</v>
      </c>
      <c r="AM253" s="77">
        <f t="shared" si="187"/>
        <v>80.186222222222213</v>
      </c>
      <c r="AN253" t="str">
        <f t="shared" si="173"/>
        <v/>
      </c>
      <c r="AO253" t="s">
        <v>327</v>
      </c>
      <c r="AP253" t="str">
        <f t="shared" si="175"/>
        <v>2DDm85-15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4"/>
        <v>2DDm85-15</v>
      </c>
    </row>
    <row r="254" spans="1:53">
      <c r="A254" s="35"/>
      <c r="B254" s="35" t="s">
        <v>344</v>
      </c>
      <c r="C254" s="35" t="s">
        <v>523</v>
      </c>
      <c r="D254" s="35" t="s">
        <v>385</v>
      </c>
      <c r="E254" s="35" t="s">
        <v>837</v>
      </c>
      <c r="F254" s="35"/>
      <c r="G254" s="102"/>
      <c r="H254" s="102"/>
      <c r="I254" s="102"/>
      <c r="J254" s="102"/>
      <c r="K254" s="103"/>
      <c r="L254" s="102"/>
      <c r="M254" s="102"/>
      <c r="N254" s="102"/>
      <c r="O254" s="102"/>
      <c r="P254" s="35"/>
      <c r="Q254" s="35"/>
      <c r="R254" s="35"/>
      <c r="S254" s="102"/>
      <c r="T254" s="102"/>
      <c r="U254" s="35" t="s">
        <v>325</v>
      </c>
      <c r="V254" s="35" t="s">
        <v>335</v>
      </c>
      <c r="W254" s="102">
        <v>22.5</v>
      </c>
      <c r="X254" s="102">
        <v>18.041899999999998</v>
      </c>
      <c r="Y254" s="102">
        <v>42</v>
      </c>
      <c r="AA254" t="e">
        <f>VLOOKUP(A254,Cover!A:R,18,0)</f>
        <v>#N/A</v>
      </c>
      <c r="AB254" s="77" t="e">
        <f t="shared" si="176"/>
        <v>#N/A</v>
      </c>
      <c r="AC254" s="77" t="e">
        <f t="shared" si="177"/>
        <v>#N/A</v>
      </c>
      <c r="AD254" s="77" t="e">
        <f t="shared" si="178"/>
        <v>#N/A</v>
      </c>
      <c r="AE254" s="77" t="e">
        <f t="shared" si="179"/>
        <v>#N/A</v>
      </c>
      <c r="AF254" s="77" t="e">
        <f t="shared" si="180"/>
        <v>#N/A</v>
      </c>
      <c r="AG254" s="77" t="e">
        <f t="shared" si="181"/>
        <v>#N/A</v>
      </c>
      <c r="AH254" s="77">
        <f t="shared" si="182"/>
        <v>22.5</v>
      </c>
      <c r="AI254" s="77">
        <f t="shared" si="183"/>
        <v>0</v>
      </c>
      <c r="AJ254" s="77">
        <f t="shared" si="184"/>
        <v>22.5</v>
      </c>
      <c r="AK254" s="77" t="e">
        <f t="shared" si="185"/>
        <v>#N/A</v>
      </c>
      <c r="AL254" s="77" t="e">
        <f t="shared" si="186"/>
        <v>#N/A</v>
      </c>
      <c r="AM254" s="77" t="e">
        <f t="shared" si="187"/>
        <v>#N/A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</row>
    <row r="255" spans="1:53">
      <c r="A255" s="35"/>
      <c r="B255" s="35" t="s">
        <v>344</v>
      </c>
      <c r="C255" s="35" t="s">
        <v>803</v>
      </c>
      <c r="D255" s="35" t="s">
        <v>385</v>
      </c>
      <c r="E255" s="35" t="s">
        <v>838</v>
      </c>
      <c r="F255" s="35" t="s">
        <v>839</v>
      </c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322</v>
      </c>
      <c r="V255" s="35" t="s">
        <v>840</v>
      </c>
      <c r="W255" s="102">
        <v>174</v>
      </c>
      <c r="X255" s="102">
        <v>174</v>
      </c>
      <c r="Y255" s="102">
        <v>5</v>
      </c>
      <c r="AA255" t="e">
        <f>VLOOKUP(A255,Cover!A:R,18,0)</f>
        <v>#N/A</v>
      </c>
      <c r="AB255" s="77" t="e">
        <f t="shared" si="176"/>
        <v>#N/A</v>
      </c>
      <c r="AC255" s="77" t="e">
        <f t="shared" si="177"/>
        <v>#N/A</v>
      </c>
      <c r="AD255" s="77" t="e">
        <f t="shared" si="178"/>
        <v>#N/A</v>
      </c>
      <c r="AE255" s="77" t="e">
        <f t="shared" si="179"/>
        <v>#N/A</v>
      </c>
      <c r="AF255" s="77" t="e">
        <f t="shared" si="180"/>
        <v>#N/A</v>
      </c>
      <c r="AG255" s="77" t="e">
        <f t="shared" si="181"/>
        <v>#N/A</v>
      </c>
      <c r="AH255" s="77">
        <f t="shared" si="182"/>
        <v>174</v>
      </c>
      <c r="AI255" s="77">
        <f t="shared" si="183"/>
        <v>0</v>
      </c>
      <c r="AJ255" s="77">
        <f t="shared" si="184"/>
        <v>174</v>
      </c>
      <c r="AK255" s="77" t="e">
        <f t="shared" si="185"/>
        <v>#N/A</v>
      </c>
      <c r="AL255" s="77" t="e">
        <f t="shared" si="186"/>
        <v>#N/A</v>
      </c>
      <c r="AM255" s="77" t="e">
        <f t="shared" si="187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377</v>
      </c>
      <c r="C256" s="35" t="s">
        <v>409</v>
      </c>
      <c r="D256" s="35" t="s">
        <v>385</v>
      </c>
      <c r="E256" s="35" t="s">
        <v>841</v>
      </c>
      <c r="F256" s="35" t="s">
        <v>839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325</v>
      </c>
      <c r="V256" s="35" t="s">
        <v>335</v>
      </c>
      <c r="W256" s="102">
        <v>22.5</v>
      </c>
      <c r="X256" s="102">
        <v>22.5</v>
      </c>
      <c r="Y256" s="102">
        <v>16</v>
      </c>
      <c r="AA256" t="e">
        <f>VLOOKUP(A256,Cover!A:R,18,0)</f>
        <v>#N/A</v>
      </c>
      <c r="AB256" s="77" t="e">
        <f t="shared" si="176"/>
        <v>#N/A</v>
      </c>
      <c r="AC256" s="77" t="e">
        <f t="shared" si="177"/>
        <v>#N/A</v>
      </c>
      <c r="AD256" s="77" t="e">
        <f t="shared" si="178"/>
        <v>#N/A</v>
      </c>
      <c r="AE256" s="77" t="e">
        <f t="shared" si="179"/>
        <v>#N/A</v>
      </c>
      <c r="AF256" s="77" t="e">
        <f t="shared" si="180"/>
        <v>#N/A</v>
      </c>
      <c r="AG256" s="77" t="e">
        <f t="shared" si="181"/>
        <v>#N/A</v>
      </c>
      <c r="AH256" s="77">
        <f t="shared" si="182"/>
        <v>22.5</v>
      </c>
      <c r="AI256" s="77">
        <f t="shared" si="183"/>
        <v>0</v>
      </c>
      <c r="AJ256" s="77">
        <f t="shared" si="184"/>
        <v>22.5</v>
      </c>
      <c r="AK256" s="77" t="e">
        <f t="shared" si="185"/>
        <v>#N/A</v>
      </c>
      <c r="AL256" s="77" t="e">
        <f t="shared" si="186"/>
        <v>#N/A</v>
      </c>
      <c r="AM256" s="77" t="e">
        <f t="shared" si="187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377</v>
      </c>
      <c r="C257" s="35" t="s">
        <v>636</v>
      </c>
      <c r="D257" s="35" t="s">
        <v>385</v>
      </c>
      <c r="E257" s="35" t="s">
        <v>842</v>
      </c>
      <c r="F257" s="35" t="s">
        <v>839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325</v>
      </c>
      <c r="V257" s="35" t="s">
        <v>843</v>
      </c>
      <c r="W257" s="102">
        <v>7.6875</v>
      </c>
      <c r="X257" s="102">
        <v>7.6875</v>
      </c>
      <c r="Y257" s="102">
        <v>1</v>
      </c>
      <c r="AA257" t="e">
        <f>VLOOKUP(A257,Cover!A:R,18,0)</f>
        <v>#N/A</v>
      </c>
      <c r="AB257" s="77" t="e">
        <f t="shared" si="176"/>
        <v>#N/A</v>
      </c>
      <c r="AC257" s="77" t="e">
        <f t="shared" si="177"/>
        <v>#N/A</v>
      </c>
      <c r="AD257" s="77" t="e">
        <f t="shared" si="178"/>
        <v>#N/A</v>
      </c>
      <c r="AE257" s="77" t="e">
        <f t="shared" si="179"/>
        <v>#N/A</v>
      </c>
      <c r="AF257" s="77" t="e">
        <f t="shared" si="180"/>
        <v>#N/A</v>
      </c>
      <c r="AG257" s="77" t="e">
        <f t="shared" si="181"/>
        <v>#N/A</v>
      </c>
      <c r="AH257" s="77">
        <f t="shared" si="182"/>
        <v>7.6875</v>
      </c>
      <c r="AI257" s="77">
        <f t="shared" si="183"/>
        <v>0</v>
      </c>
      <c r="AJ257" s="77">
        <f t="shared" si="184"/>
        <v>7.6875</v>
      </c>
      <c r="AK257" s="77" t="e">
        <f t="shared" si="185"/>
        <v>#N/A</v>
      </c>
      <c r="AL257" s="77" t="e">
        <f t="shared" si="186"/>
        <v>#N/A</v>
      </c>
      <c r="AM257" s="77" t="e">
        <f t="shared" si="187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396</v>
      </c>
      <c r="C258" s="35" t="s">
        <v>639</v>
      </c>
      <c r="D258" s="35" t="s">
        <v>313</v>
      </c>
      <c r="E258" s="35" t="s">
        <v>844</v>
      </c>
      <c r="F258" s="35" t="s">
        <v>839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375</v>
      </c>
      <c r="V258" s="35" t="s">
        <v>845</v>
      </c>
      <c r="W258" s="102">
        <v>41.25</v>
      </c>
      <c r="X258" s="102">
        <v>41.25</v>
      </c>
      <c r="Y258" s="102">
        <v>0</v>
      </c>
      <c r="AA258" t="e">
        <f>VLOOKUP(A258,Cover!A:R,18,0)</f>
        <v>#N/A</v>
      </c>
      <c r="AB258" s="77" t="e">
        <f t="shared" si="176"/>
        <v>#N/A</v>
      </c>
      <c r="AC258" s="77" t="e">
        <f t="shared" si="177"/>
        <v>#N/A</v>
      </c>
      <c r="AD258" s="77" t="e">
        <f t="shared" si="178"/>
        <v>#N/A</v>
      </c>
      <c r="AE258" s="77" t="e">
        <f t="shared" si="179"/>
        <v>#N/A</v>
      </c>
      <c r="AF258" s="77" t="e">
        <f t="shared" si="180"/>
        <v>#N/A</v>
      </c>
      <c r="AG258" s="77" t="e">
        <f t="shared" si="181"/>
        <v>#N/A</v>
      </c>
      <c r="AH258" s="77">
        <f t="shared" si="182"/>
        <v>41.25</v>
      </c>
      <c r="AI258" s="77">
        <f t="shared" si="183"/>
        <v>0</v>
      </c>
      <c r="AJ258" s="77">
        <f t="shared" si="184"/>
        <v>41.25</v>
      </c>
      <c r="AK258" s="77" t="e">
        <f t="shared" si="185"/>
        <v>#N/A</v>
      </c>
      <c r="AL258" s="77" t="e">
        <f t="shared" si="186"/>
        <v>#N/A</v>
      </c>
      <c r="AM258" s="77" t="e">
        <f t="shared" si="187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396</v>
      </c>
      <c r="C259" s="35" t="s">
        <v>639</v>
      </c>
      <c r="D259" s="35" t="s">
        <v>313</v>
      </c>
      <c r="E259" s="35" t="s">
        <v>844</v>
      </c>
      <c r="F259" s="35" t="s">
        <v>839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322</v>
      </c>
      <c r="V259" s="35" t="s">
        <v>442</v>
      </c>
      <c r="W259" s="102">
        <v>11.25</v>
      </c>
      <c r="X259" s="102">
        <v>11.25</v>
      </c>
      <c r="Y259" s="102">
        <v>0</v>
      </c>
      <c r="Z259" s="35" t="s">
        <v>8</v>
      </c>
      <c r="AA259" t="e">
        <f>VLOOKUP(A259,Cover!A:R,18,0)</f>
        <v>#N/A</v>
      </c>
      <c r="AB259" s="77" t="e">
        <f t="shared" si="176"/>
        <v>#N/A</v>
      </c>
      <c r="AC259" s="77" t="e">
        <f t="shared" si="177"/>
        <v>#N/A</v>
      </c>
      <c r="AD259" s="77" t="e">
        <f t="shared" si="178"/>
        <v>#N/A</v>
      </c>
      <c r="AE259" s="77" t="e">
        <f t="shared" si="179"/>
        <v>#N/A</v>
      </c>
      <c r="AF259" s="77" t="e">
        <f t="shared" si="180"/>
        <v>#N/A</v>
      </c>
      <c r="AG259" s="77" t="e">
        <f t="shared" si="181"/>
        <v>#N/A</v>
      </c>
      <c r="AH259" s="77">
        <f t="shared" si="182"/>
        <v>11.25</v>
      </c>
      <c r="AI259" s="77">
        <f t="shared" si="183"/>
        <v>0</v>
      </c>
      <c r="AJ259" s="77">
        <f t="shared" si="184"/>
        <v>11.25</v>
      </c>
      <c r="AK259" s="77" t="e">
        <f t="shared" si="185"/>
        <v>#N/A</v>
      </c>
      <c r="AL259" s="77" t="e">
        <f t="shared" si="186"/>
        <v>#N/A</v>
      </c>
      <c r="AM259" s="77" t="e">
        <f t="shared" si="187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396</v>
      </c>
      <c r="C260" s="35" t="s">
        <v>639</v>
      </c>
      <c r="D260" s="35" t="s">
        <v>313</v>
      </c>
      <c r="E260" s="35" t="s">
        <v>846</v>
      </c>
      <c r="F260" s="35" t="s">
        <v>839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322</v>
      </c>
      <c r="V260" s="35" t="s">
        <v>847</v>
      </c>
      <c r="W260" s="102">
        <v>48</v>
      </c>
      <c r="X260" s="102">
        <v>48</v>
      </c>
      <c r="Y260" s="102">
        <v>0</v>
      </c>
      <c r="Z260" s="35"/>
      <c r="AA260" t="e">
        <f>VLOOKUP(A260,Cover!A:R,18,0)</f>
        <v>#N/A</v>
      </c>
      <c r="AB260" s="77" t="e">
        <f t="shared" si="176"/>
        <v>#N/A</v>
      </c>
      <c r="AC260" s="77" t="e">
        <f t="shared" si="177"/>
        <v>#N/A</v>
      </c>
      <c r="AD260" s="77" t="e">
        <f t="shared" si="178"/>
        <v>#N/A</v>
      </c>
      <c r="AE260" s="77" t="e">
        <f t="shared" si="179"/>
        <v>#N/A</v>
      </c>
      <c r="AF260" s="77" t="e">
        <f t="shared" si="180"/>
        <v>#N/A</v>
      </c>
      <c r="AG260" s="77" t="e">
        <f t="shared" si="181"/>
        <v>#N/A</v>
      </c>
      <c r="AH260" s="77">
        <f t="shared" si="182"/>
        <v>48</v>
      </c>
      <c r="AI260" s="77">
        <f t="shared" si="183"/>
        <v>0</v>
      </c>
      <c r="AJ260" s="77">
        <f t="shared" si="184"/>
        <v>48</v>
      </c>
      <c r="AK260" s="77" t="e">
        <f t="shared" si="185"/>
        <v>#N/A</v>
      </c>
      <c r="AL260" s="77" t="e">
        <f t="shared" si="186"/>
        <v>#N/A</v>
      </c>
      <c r="AM260" s="77" t="e">
        <f t="shared" si="187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396</v>
      </c>
      <c r="C261" s="35" t="s">
        <v>639</v>
      </c>
      <c r="D261" s="35" t="s">
        <v>385</v>
      </c>
      <c r="E261" s="35" t="s">
        <v>848</v>
      </c>
      <c r="F261" s="35" t="s">
        <v>839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339</v>
      </c>
      <c r="V261" s="35" t="s">
        <v>360</v>
      </c>
      <c r="W261" s="102">
        <v>6.75</v>
      </c>
      <c r="X261" s="102">
        <v>6.75</v>
      </c>
      <c r="Y261" s="102">
        <v>3</v>
      </c>
      <c r="Z261" s="35"/>
      <c r="AA261" t="e">
        <f>VLOOKUP(A261,Cover!A:R,18,0)</f>
        <v>#N/A</v>
      </c>
      <c r="AB261" s="77" t="e">
        <f t="shared" si="176"/>
        <v>#N/A</v>
      </c>
      <c r="AC261" s="77" t="e">
        <f t="shared" si="177"/>
        <v>#N/A</v>
      </c>
      <c r="AD261" s="77" t="e">
        <f t="shared" si="178"/>
        <v>#N/A</v>
      </c>
      <c r="AE261" s="77" t="e">
        <f t="shared" si="179"/>
        <v>#N/A</v>
      </c>
      <c r="AF261" s="77" t="e">
        <f t="shared" si="180"/>
        <v>#N/A</v>
      </c>
      <c r="AG261" s="77" t="e">
        <f t="shared" si="181"/>
        <v>#N/A</v>
      </c>
      <c r="AH261" s="77">
        <f t="shared" si="182"/>
        <v>6.75</v>
      </c>
      <c r="AI261" s="77">
        <f t="shared" si="183"/>
        <v>0</v>
      </c>
      <c r="AJ261" s="77">
        <f t="shared" si="184"/>
        <v>6.75</v>
      </c>
      <c r="AK261" s="77" t="e">
        <f t="shared" si="185"/>
        <v>#N/A</v>
      </c>
      <c r="AL261" s="77" t="e">
        <f t="shared" si="186"/>
        <v>#N/A</v>
      </c>
      <c r="AM261" s="77" t="e">
        <f t="shared" si="187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402</v>
      </c>
      <c r="C262" s="35" t="s">
        <v>479</v>
      </c>
      <c r="D262" s="35" t="s">
        <v>385</v>
      </c>
      <c r="E262" s="35" t="s">
        <v>849</v>
      </c>
      <c r="F262" s="35" t="s">
        <v>839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561</v>
      </c>
      <c r="V262" s="35" t="s">
        <v>561</v>
      </c>
      <c r="W262" s="102"/>
      <c r="X262" s="102"/>
      <c r="Y262" s="102">
        <v>0</v>
      </c>
      <c r="Z262" s="35"/>
      <c r="AA262" t="e">
        <f>VLOOKUP(A262,Cover!A:R,18,0)</f>
        <v>#N/A</v>
      </c>
      <c r="AB262" s="77" t="e">
        <f t="shared" si="176"/>
        <v>#N/A</v>
      </c>
      <c r="AC262" s="77" t="e">
        <f t="shared" si="177"/>
        <v>#N/A</v>
      </c>
      <c r="AD262" s="77" t="e">
        <f t="shared" si="178"/>
        <v>#N/A</v>
      </c>
      <c r="AE262" s="77" t="e">
        <f t="shared" si="179"/>
        <v>#N/A</v>
      </c>
      <c r="AF262" s="77" t="e">
        <f t="shared" si="180"/>
        <v>#N/A</v>
      </c>
      <c r="AG262" s="77" t="e">
        <f t="shared" si="181"/>
        <v>#N/A</v>
      </c>
      <c r="AH262" s="77">
        <f t="shared" si="182"/>
        <v>0</v>
      </c>
      <c r="AI262" s="77">
        <f t="shared" si="183"/>
        <v>0</v>
      </c>
      <c r="AJ262" s="77">
        <f t="shared" si="184"/>
        <v>0</v>
      </c>
      <c r="AK262" s="77" t="e">
        <f t="shared" si="185"/>
        <v>#N/A</v>
      </c>
      <c r="AL262" s="77" t="e">
        <f t="shared" si="186"/>
        <v>#N/A</v>
      </c>
      <c r="AM262" s="77" t="e">
        <f t="shared" si="187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328</v>
      </c>
      <c r="C263" s="35" t="s">
        <v>329</v>
      </c>
      <c r="D263" s="35" t="s">
        <v>385</v>
      </c>
      <c r="E263" s="35" t="s">
        <v>561</v>
      </c>
      <c r="F263" s="35" t="s">
        <v>839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561</v>
      </c>
      <c r="V263" s="35" t="s">
        <v>561</v>
      </c>
      <c r="W263" s="102">
        <v>0</v>
      </c>
      <c r="X263" s="102">
        <v>0</v>
      </c>
      <c r="Y263" s="102">
        <v>1</v>
      </c>
      <c r="Z263" s="35"/>
      <c r="AA263" t="e">
        <f>VLOOKUP(A263,Cover!A:R,18,0)</f>
        <v>#N/A</v>
      </c>
      <c r="AB263" s="77" t="e">
        <f t="shared" si="176"/>
        <v>#N/A</v>
      </c>
      <c r="AC263" s="77" t="e">
        <f t="shared" si="177"/>
        <v>#N/A</v>
      </c>
      <c r="AD263" s="77" t="e">
        <f t="shared" si="178"/>
        <v>#N/A</v>
      </c>
      <c r="AE263" s="77" t="e">
        <f t="shared" si="179"/>
        <v>#N/A</v>
      </c>
      <c r="AF263" s="77" t="e">
        <f t="shared" si="180"/>
        <v>#N/A</v>
      </c>
      <c r="AG263" s="77" t="e">
        <f t="shared" si="181"/>
        <v>#N/A</v>
      </c>
      <c r="AH263" s="77">
        <f t="shared" si="182"/>
        <v>0</v>
      </c>
      <c r="AI263" s="77">
        <f t="shared" si="183"/>
        <v>0</v>
      </c>
      <c r="AJ263" s="77">
        <f t="shared" si="184"/>
        <v>0</v>
      </c>
      <c r="AK263" s="77" t="e">
        <f t="shared" si="185"/>
        <v>#N/A</v>
      </c>
      <c r="AL263" s="77" t="e">
        <f t="shared" si="186"/>
        <v>#N/A</v>
      </c>
      <c r="AM263" s="77" t="e">
        <f t="shared" si="187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328</v>
      </c>
      <c r="C264" s="35" t="s">
        <v>850</v>
      </c>
      <c r="D264" s="35" t="s">
        <v>385</v>
      </c>
      <c r="E264" s="35" t="s">
        <v>851</v>
      </c>
      <c r="F264" s="35" t="s">
        <v>839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325</v>
      </c>
      <c r="V264" s="35" t="s">
        <v>326</v>
      </c>
      <c r="W264" s="102">
        <v>7.5</v>
      </c>
      <c r="X264" s="102">
        <v>7.5</v>
      </c>
      <c r="Y264" s="102">
        <v>0</v>
      </c>
      <c r="Z264" s="35"/>
      <c r="AA264" t="e">
        <f>VLOOKUP(A264,Cover!A:R,18,0)</f>
        <v>#N/A</v>
      </c>
      <c r="AB264" s="77" t="e">
        <f t="shared" si="176"/>
        <v>#N/A</v>
      </c>
      <c r="AC264" s="77" t="e">
        <f t="shared" si="177"/>
        <v>#N/A</v>
      </c>
      <c r="AD264" s="77" t="e">
        <f t="shared" si="178"/>
        <v>#N/A</v>
      </c>
      <c r="AE264" s="77" t="e">
        <f t="shared" si="179"/>
        <v>#N/A</v>
      </c>
      <c r="AF264" s="77" t="e">
        <f t="shared" si="180"/>
        <v>#N/A</v>
      </c>
      <c r="AG264" s="77" t="e">
        <f t="shared" si="181"/>
        <v>#N/A</v>
      </c>
      <c r="AH264" s="77">
        <f t="shared" si="182"/>
        <v>7.5</v>
      </c>
      <c r="AI264" s="77">
        <f t="shared" si="183"/>
        <v>0</v>
      </c>
      <c r="AJ264" s="77">
        <f t="shared" si="184"/>
        <v>7.5</v>
      </c>
      <c r="AK264" s="77" t="e">
        <f t="shared" si="185"/>
        <v>#N/A</v>
      </c>
      <c r="AL264" s="77" t="e">
        <f t="shared" si="186"/>
        <v>#N/A</v>
      </c>
      <c r="AM264" s="77" t="e">
        <f t="shared" si="187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328</v>
      </c>
      <c r="C265" s="35" t="s">
        <v>566</v>
      </c>
      <c r="D265" s="35" t="s">
        <v>385</v>
      </c>
      <c r="E265" s="35" t="s">
        <v>852</v>
      </c>
      <c r="F265" s="35" t="s">
        <v>839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561</v>
      </c>
      <c r="V265" s="35" t="s">
        <v>561</v>
      </c>
      <c r="W265" s="102"/>
      <c r="X265" s="102"/>
      <c r="Y265" s="102">
        <v>210</v>
      </c>
      <c r="Z265" s="35" t="s">
        <v>853</v>
      </c>
      <c r="AA265" t="e">
        <f>VLOOKUP(A265,Cover!A:R,18,0)</f>
        <v>#N/A</v>
      </c>
      <c r="AB265" s="77" t="e">
        <f t="shared" si="176"/>
        <v>#N/A</v>
      </c>
      <c r="AC265" s="77" t="e">
        <f t="shared" si="177"/>
        <v>#N/A</v>
      </c>
      <c r="AD265" s="77" t="e">
        <f t="shared" si="178"/>
        <v>#N/A</v>
      </c>
      <c r="AE265" s="77" t="e">
        <f t="shared" si="179"/>
        <v>#N/A</v>
      </c>
      <c r="AF265" s="77" t="e">
        <f t="shared" si="180"/>
        <v>#N/A</v>
      </c>
      <c r="AG265" s="77" t="e">
        <f t="shared" si="181"/>
        <v>#N/A</v>
      </c>
      <c r="AH265" s="77">
        <f t="shared" si="182"/>
        <v>0</v>
      </c>
      <c r="AI265" s="77">
        <f t="shared" si="183"/>
        <v>0</v>
      </c>
      <c r="AJ265" s="77">
        <f t="shared" si="184"/>
        <v>0</v>
      </c>
      <c r="AK265" s="77" t="e">
        <f t="shared" si="185"/>
        <v>#N/A</v>
      </c>
      <c r="AL265" s="77" t="e">
        <f t="shared" si="186"/>
        <v>#N/A</v>
      </c>
      <c r="AM265" s="77" t="e">
        <f t="shared" si="187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328</v>
      </c>
      <c r="C266" s="35" t="s">
        <v>854</v>
      </c>
      <c r="D266" s="35" t="s">
        <v>385</v>
      </c>
      <c r="E266" s="35" t="s">
        <v>855</v>
      </c>
      <c r="F266" s="35" t="s">
        <v>839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326</v>
      </c>
      <c r="V266" s="35" t="s">
        <v>436</v>
      </c>
      <c r="W266" s="102">
        <v>67.5</v>
      </c>
      <c r="X266" s="102">
        <v>67.5</v>
      </c>
      <c r="Y266" s="102">
        <v>2</v>
      </c>
      <c r="Z266" s="35" t="s">
        <v>8</v>
      </c>
      <c r="AA266" t="e">
        <f>VLOOKUP(A266,Cover!A:R,18,0)</f>
        <v>#N/A</v>
      </c>
      <c r="AB266" s="77" t="e">
        <f t="shared" si="176"/>
        <v>#N/A</v>
      </c>
      <c r="AC266" s="77" t="e">
        <f t="shared" si="177"/>
        <v>#N/A</v>
      </c>
      <c r="AD266" s="77" t="e">
        <f t="shared" si="178"/>
        <v>#N/A</v>
      </c>
      <c r="AE266" s="77" t="e">
        <f t="shared" si="179"/>
        <v>#N/A</v>
      </c>
      <c r="AF266" s="77" t="e">
        <f t="shared" si="180"/>
        <v>#N/A</v>
      </c>
      <c r="AG266" s="77" t="e">
        <f t="shared" si="181"/>
        <v>#N/A</v>
      </c>
      <c r="AH266" s="77">
        <f t="shared" si="182"/>
        <v>67.5</v>
      </c>
      <c r="AI266" s="77">
        <f t="shared" si="183"/>
        <v>0</v>
      </c>
      <c r="AJ266" s="77">
        <f t="shared" si="184"/>
        <v>67.5</v>
      </c>
      <c r="AK266" s="77" t="e">
        <f t="shared" si="185"/>
        <v>#N/A</v>
      </c>
      <c r="AL266" s="77" t="e">
        <f t="shared" si="186"/>
        <v>#N/A</v>
      </c>
      <c r="AM266" s="77" t="e">
        <f t="shared" si="187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372</v>
      </c>
      <c r="C267" s="35" t="s">
        <v>373</v>
      </c>
      <c r="D267" s="35" t="s">
        <v>313</v>
      </c>
      <c r="E267" s="35" t="s">
        <v>856</v>
      </c>
      <c r="F267" s="35" t="s">
        <v>839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430</v>
      </c>
      <c r="V267" s="35" t="s">
        <v>857</v>
      </c>
      <c r="W267" s="102">
        <v>445.5</v>
      </c>
      <c r="X267" s="102">
        <v>445.5</v>
      </c>
      <c r="Y267" s="102">
        <v>9</v>
      </c>
      <c r="Z267" s="35" t="s">
        <v>8</v>
      </c>
      <c r="AA267" t="e">
        <f>VLOOKUP(A267,Cover!A:R,18,0)</f>
        <v>#N/A</v>
      </c>
      <c r="AB267" s="77" t="e">
        <f t="shared" ref="AB267" si="218">M267-AA267</f>
        <v>#N/A</v>
      </c>
      <c r="AC267" s="77" t="e">
        <f t="shared" ref="AC267" si="219">O267-AA267</f>
        <v>#N/A</v>
      </c>
      <c r="AD267" s="77" t="e">
        <f t="shared" ref="AD267" si="220">AB267/L267%</f>
        <v>#N/A</v>
      </c>
      <c r="AE267" s="77" t="e">
        <f t="shared" ref="AE267" si="221">AC267/N267%</f>
        <v>#N/A</v>
      </c>
      <c r="AF267" s="77" t="e">
        <f t="shared" ref="AF267" si="222">T267-AA267</f>
        <v>#N/A</v>
      </c>
      <c r="AG267" s="77" t="e">
        <f t="shared" ref="AG267" si="223">AF267/S267%</f>
        <v>#N/A</v>
      </c>
      <c r="AH267" s="77">
        <f t="shared" ref="AH267" si="224">W267</f>
        <v>445.5</v>
      </c>
      <c r="AI267" s="77">
        <f t="shared" ref="AI267" si="225">J267</f>
        <v>0</v>
      </c>
      <c r="AJ267" s="77">
        <f t="shared" ref="AJ267" si="226">AH267-AI267</f>
        <v>445.5</v>
      </c>
      <c r="AK267" s="77" t="e">
        <f t="shared" ref="AK267" si="227">AA267</f>
        <v>#N/A</v>
      </c>
      <c r="AL267" s="77" t="e">
        <f t="shared" ref="AL267" si="228">AJ267-AK267</f>
        <v>#N/A</v>
      </c>
      <c r="AM267" s="77" t="e">
        <f t="shared" ref="AM267" si="229">AL267/AH267%</f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259"/>
      <c r="B268" s="35" t="s">
        <v>372</v>
      </c>
      <c r="C268" s="35" t="s">
        <v>748</v>
      </c>
      <c r="D268" s="35" t="s">
        <v>313</v>
      </c>
      <c r="E268" s="35" t="s">
        <v>858</v>
      </c>
      <c r="F268" s="259" t="s">
        <v>839</v>
      </c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 t="s">
        <v>430</v>
      </c>
      <c r="V268" s="259" t="s">
        <v>857</v>
      </c>
      <c r="W268" s="259">
        <v>445.5</v>
      </c>
      <c r="X268" s="259">
        <v>445.5</v>
      </c>
      <c r="Y268" s="259">
        <v>9</v>
      </c>
      <c r="Z268" s="259" t="s">
        <v>8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</row>
  </sheetData>
  <sheetProtection algorithmName="SHA-512" hashValue="MfisNas0mC9l9Ce6t7vaTcUx7rqVrblrNLvJFSrYOjWlD8Rlsd/xyUwdeUYpknDQwb4pm9v5A58yWMENsMGAiQ==" saltValue="hc9LqmrB9rFIqYs0+Z44YQ==" spinCount="100000" sheet="1" autoFilter="0"/>
  <autoFilter ref="A7:BA268" xr:uid="{00000000-0009-0000-0000-000006000000}"/>
  <mergeCells count="204">
    <mergeCell ref="AH48:AH49"/>
    <mergeCell ref="AI48:AI49"/>
    <mergeCell ref="AJ48:AJ49"/>
    <mergeCell ref="AK48:AK49"/>
    <mergeCell ref="AL48:AL49"/>
    <mergeCell ref="AM48:AM49"/>
    <mergeCell ref="AH218:AH219"/>
    <mergeCell ref="AI218:AI219"/>
    <mergeCell ref="AJ218:AJ219"/>
    <mergeCell ref="AK218:AK219"/>
    <mergeCell ref="AL218:AL219"/>
    <mergeCell ref="AM218:AM219"/>
    <mergeCell ref="AH113:AH114"/>
    <mergeCell ref="AI113:AI114"/>
    <mergeCell ref="AJ113:AJ114"/>
    <mergeCell ref="AK113:AK114"/>
    <mergeCell ref="AL113:AL114"/>
    <mergeCell ref="AM113:AM114"/>
    <mergeCell ref="AH158:AH159"/>
    <mergeCell ref="AI158:AI159"/>
    <mergeCell ref="AJ158:AJ159"/>
    <mergeCell ref="AK158:AK159"/>
    <mergeCell ref="AL158:AL159"/>
    <mergeCell ref="AM158:AM159"/>
    <mergeCell ref="AH220:AH221"/>
    <mergeCell ref="AI220:AI221"/>
    <mergeCell ref="AJ220:AJ221"/>
    <mergeCell ref="AK220:AK221"/>
    <mergeCell ref="AL220:AL221"/>
    <mergeCell ref="AM220:AM221"/>
    <mergeCell ref="AH12:AH13"/>
    <mergeCell ref="AI12:AI13"/>
    <mergeCell ref="AJ12:AJ13"/>
    <mergeCell ref="AK12:AK13"/>
    <mergeCell ref="AL12:AL13"/>
    <mergeCell ref="AM12:AM13"/>
    <mergeCell ref="AH171:AH172"/>
    <mergeCell ref="AI171:AI172"/>
    <mergeCell ref="AJ171:AJ172"/>
    <mergeCell ref="AK171:AK172"/>
    <mergeCell ref="AL171:AL172"/>
    <mergeCell ref="AM171:AM172"/>
    <mergeCell ref="AH50:AH51"/>
    <mergeCell ref="AI50:AI51"/>
    <mergeCell ref="AJ50:AJ51"/>
    <mergeCell ref="AK50:AK51"/>
    <mergeCell ref="AL50:AL51"/>
    <mergeCell ref="AM50:AM51"/>
    <mergeCell ref="AH22:AH23"/>
    <mergeCell ref="AI22:AI23"/>
    <mergeCell ref="AJ22:AJ23"/>
    <mergeCell ref="AK22:AK23"/>
    <mergeCell ref="AL22:AL23"/>
    <mergeCell ref="AM22:AM23"/>
    <mergeCell ref="AH215:AH217"/>
    <mergeCell ref="AI215:AI217"/>
    <mergeCell ref="AJ215:AJ217"/>
    <mergeCell ref="AK215:AK217"/>
    <mergeCell ref="AL215:AL217"/>
    <mergeCell ref="AM215:AM217"/>
    <mergeCell ref="AH202:AH203"/>
    <mergeCell ref="AI202:AI203"/>
    <mergeCell ref="AJ202:AJ203"/>
    <mergeCell ref="AK202:AK203"/>
    <mergeCell ref="AL202:AL203"/>
    <mergeCell ref="AM202:AM203"/>
    <mergeCell ref="AH186:AH187"/>
    <mergeCell ref="AI186:AI187"/>
    <mergeCell ref="AJ186:AJ187"/>
    <mergeCell ref="AK186:AK187"/>
    <mergeCell ref="AL186:AL187"/>
    <mergeCell ref="AM186:AM187"/>
    <mergeCell ref="AH156:AH157"/>
    <mergeCell ref="AI156:AI157"/>
    <mergeCell ref="AJ156:AJ157"/>
    <mergeCell ref="AK156:AK157"/>
    <mergeCell ref="AL156:AL157"/>
    <mergeCell ref="AM156:AM157"/>
    <mergeCell ref="AH231:AH232"/>
    <mergeCell ref="AI231:AI232"/>
    <mergeCell ref="AJ231:AJ232"/>
    <mergeCell ref="AK231:AK232"/>
    <mergeCell ref="AL231:AL232"/>
    <mergeCell ref="AM231:AM232"/>
    <mergeCell ref="AH226:AH229"/>
    <mergeCell ref="AI226:AI229"/>
    <mergeCell ref="AJ226:AJ229"/>
    <mergeCell ref="AK226:AK229"/>
    <mergeCell ref="AL226:AL229"/>
    <mergeCell ref="AM226:AM229"/>
    <mergeCell ref="AH194:AH195"/>
    <mergeCell ref="AI194:AI195"/>
    <mergeCell ref="AJ194:AJ195"/>
    <mergeCell ref="AK194:AK195"/>
    <mergeCell ref="AL194:AL195"/>
    <mergeCell ref="AM194:AM195"/>
    <mergeCell ref="AH175:AH176"/>
    <mergeCell ref="AI175:AI176"/>
    <mergeCell ref="AJ175:AJ176"/>
    <mergeCell ref="AK175:AK176"/>
    <mergeCell ref="AL175:AL176"/>
    <mergeCell ref="AM175:AM176"/>
    <mergeCell ref="AH179:AH182"/>
    <mergeCell ref="AI179:AI182"/>
    <mergeCell ref="AJ179:AJ182"/>
    <mergeCell ref="AK179:AK182"/>
    <mergeCell ref="AL179:AL182"/>
    <mergeCell ref="AM179:AM182"/>
    <mergeCell ref="AH177:AH178"/>
    <mergeCell ref="AI177:AI178"/>
    <mergeCell ref="AJ177:AJ178"/>
    <mergeCell ref="AK177:AK178"/>
    <mergeCell ref="AL177:AL178"/>
    <mergeCell ref="AM177:AM178"/>
    <mergeCell ref="AH153:AH154"/>
    <mergeCell ref="AI153:AI154"/>
    <mergeCell ref="AJ153:AJ154"/>
    <mergeCell ref="AK153:AK154"/>
    <mergeCell ref="AL153:AL154"/>
    <mergeCell ref="AM153:AM154"/>
    <mergeCell ref="AH142:AH143"/>
    <mergeCell ref="AI142:AI143"/>
    <mergeCell ref="AJ142:AJ143"/>
    <mergeCell ref="AK142:AK143"/>
    <mergeCell ref="AL142:AL143"/>
    <mergeCell ref="AM142:AM143"/>
    <mergeCell ref="AH108:AH109"/>
    <mergeCell ref="AI108:AI109"/>
    <mergeCell ref="AJ108:AJ109"/>
    <mergeCell ref="AK108:AK109"/>
    <mergeCell ref="AL108:AL109"/>
    <mergeCell ref="AM108:AM109"/>
    <mergeCell ref="AH140:AH141"/>
    <mergeCell ref="AI140:AI141"/>
    <mergeCell ref="AJ140:AJ141"/>
    <mergeCell ref="AK140:AK141"/>
    <mergeCell ref="AL140:AL141"/>
    <mergeCell ref="AM140:AM141"/>
    <mergeCell ref="AH118:AH119"/>
    <mergeCell ref="AI118:AI119"/>
    <mergeCell ref="AJ118:AJ119"/>
    <mergeCell ref="AK118:AK119"/>
    <mergeCell ref="AL118:AL119"/>
    <mergeCell ref="AM118:AM119"/>
    <mergeCell ref="AH71:AH72"/>
    <mergeCell ref="AI71:AI72"/>
    <mergeCell ref="AJ71:AJ72"/>
    <mergeCell ref="AK71:AK72"/>
    <mergeCell ref="AL71:AL72"/>
    <mergeCell ref="AM71:AM72"/>
    <mergeCell ref="AH103:AH104"/>
    <mergeCell ref="AI103:AI104"/>
    <mergeCell ref="AJ103:AJ104"/>
    <mergeCell ref="AK103:AK104"/>
    <mergeCell ref="AL103:AL104"/>
    <mergeCell ref="AM103:AM104"/>
    <mergeCell ref="AH41:AH42"/>
    <mergeCell ref="AI41:AI42"/>
    <mergeCell ref="AJ41:AJ42"/>
    <mergeCell ref="AK41:AK42"/>
    <mergeCell ref="AL41:AL42"/>
    <mergeCell ref="AM41:AM42"/>
    <mergeCell ref="AH116:AH117"/>
    <mergeCell ref="AI116:AI117"/>
    <mergeCell ref="AJ116:AJ117"/>
    <mergeCell ref="AK116:AK117"/>
    <mergeCell ref="AL116:AL117"/>
    <mergeCell ref="AM116:AM117"/>
    <mergeCell ref="AH69:AH70"/>
    <mergeCell ref="AI69:AI70"/>
    <mergeCell ref="AJ69:AJ70"/>
    <mergeCell ref="AK69:AK70"/>
    <mergeCell ref="AL69:AL70"/>
    <mergeCell ref="AM69:AM70"/>
    <mergeCell ref="AH79:AH80"/>
    <mergeCell ref="AI79:AI80"/>
    <mergeCell ref="AJ79:AJ80"/>
    <mergeCell ref="AK79:AK80"/>
    <mergeCell ref="AL79:AL80"/>
    <mergeCell ref="AM79:AM80"/>
    <mergeCell ref="AH241:AH242"/>
    <mergeCell ref="AI241:AI242"/>
    <mergeCell ref="AJ241:AJ242"/>
    <mergeCell ref="AK241:AK242"/>
    <mergeCell ref="AL241:AL242"/>
    <mergeCell ref="AM241:AM242"/>
    <mergeCell ref="AH37:AH39"/>
    <mergeCell ref="AI37:AI39"/>
    <mergeCell ref="AJ37:AJ39"/>
    <mergeCell ref="AK37:AK39"/>
    <mergeCell ref="AL37:AL39"/>
    <mergeCell ref="AM37:AM39"/>
    <mergeCell ref="AH239:AH240"/>
    <mergeCell ref="AI239:AI240"/>
    <mergeCell ref="AJ239:AJ240"/>
    <mergeCell ref="AK239:AK240"/>
    <mergeCell ref="AL239:AL240"/>
    <mergeCell ref="AM239:AM240"/>
    <mergeCell ref="AH75:AH76"/>
    <mergeCell ref="AI75:AI76"/>
    <mergeCell ref="AJ75:AJ76"/>
    <mergeCell ref="AK75:AK76"/>
    <mergeCell ref="AL75:AL76"/>
    <mergeCell ref="AM75:AM76"/>
  </mergeCells>
  <conditionalFormatting sqref="AD8:AE267">
    <cfRule type="cellIs" dxfId="173" priority="11" operator="greaterThanOrEqual">
      <formula>25</formula>
    </cfRule>
    <cfRule type="cellIs" dxfId="172" priority="12" operator="between">
      <formula>10</formula>
      <formula>24.9999999999</formula>
    </cfRule>
    <cfRule type="cellIs" dxfId="171" priority="13" operator="between">
      <formula>0</formula>
      <formula>9.99999999</formula>
    </cfRule>
    <cfRule type="cellIs" dxfId="170" priority="14" operator="lessThan">
      <formula>0</formula>
    </cfRule>
  </conditionalFormatting>
  <conditionalFormatting sqref="AG8:AG267">
    <cfRule type="cellIs" dxfId="169" priority="7" operator="greaterThanOrEqual">
      <formula>25</formula>
    </cfRule>
    <cfRule type="cellIs" dxfId="168" priority="8" operator="between">
      <formula>10</formula>
      <formula>24.99999999</formula>
    </cfRule>
    <cfRule type="cellIs" dxfId="167" priority="9" operator="between">
      <formula>0</formula>
      <formula>9.999999999</formula>
    </cfRule>
    <cfRule type="cellIs" dxfId="166" priority="10" operator="lessThan">
      <formula>0</formula>
    </cfRule>
  </conditionalFormatting>
  <conditionalFormatting sqref="AM8:AM12 AM14:AM22 AM24:AM36 AM40:AM41 AM43:AM48 AM50 AM52:AM69 AM71 AM73:AM75 AM77:AM79 AM81:AM103 AM105:AM108 AM110:AM113 AM115:AM116 AM118 AM120:AM140 AM142 AM144:AM153 AM156 AM158 AM160:AM171 AM173:AM175 AM177 AM179 AM183:AM186 AM188:AM194 AM196:AM202 AM204:AM215 AM218 AM220 AM222:AM226 AM230:AM231 AM233:AM239 AM241 AM243:AM267">
    <cfRule type="cellIs" dxfId="165" priority="15" operator="greaterThanOrEqual">
      <formula>25</formula>
    </cfRule>
    <cfRule type="cellIs" dxfId="164" priority="16" operator="between">
      <formula>10</formula>
      <formula>24.9999999</formula>
    </cfRule>
    <cfRule type="cellIs" dxfId="163" priority="17" operator="between">
      <formula>0</formula>
      <formula>9.99999999</formula>
    </cfRule>
    <cfRule type="cellIs" dxfId="162" priority="18" operator="lessThan">
      <formula>0</formula>
    </cfRule>
  </conditionalFormatting>
  <conditionalFormatting sqref="AQ8:AU267">
    <cfRule type="cellIs" dxfId="161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D2" sqref="D2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859</v>
      </c>
      <c r="B1" s="56" t="s">
        <v>860</v>
      </c>
      <c r="C1" s="62" t="s">
        <v>861</v>
      </c>
      <c r="F1" s="63"/>
      <c r="G1" t="s">
        <v>862</v>
      </c>
    </row>
    <row r="2" spans="1:25" ht="16.149999999999999">
      <c r="A2" s="333" t="s">
        <v>665</v>
      </c>
      <c r="B2" s="58">
        <f>VLOOKUP(A2,Space!A:D,4,0)</f>
        <v>7</v>
      </c>
      <c r="C2" s="80"/>
      <c r="F2" s="109"/>
      <c r="G2" s="52" t="s">
        <v>863</v>
      </c>
    </row>
    <row r="3" spans="1:25">
      <c r="F3" s="179" t="s">
        <v>864</v>
      </c>
      <c r="G3" s="52" t="s">
        <v>865</v>
      </c>
    </row>
    <row r="5" spans="1:25" ht="59.65" customHeight="1">
      <c r="A5" s="56" t="s">
        <v>866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867</v>
      </c>
      <c r="N5" s="62" t="s">
        <v>868</v>
      </c>
      <c r="O5" s="178" t="s">
        <v>314</v>
      </c>
      <c r="P5" s="107" t="s">
        <v>869</v>
      </c>
      <c r="Q5" s="56" t="s">
        <v>870</v>
      </c>
    </row>
    <row r="6" spans="1:25">
      <c r="A6" s="58" t="str" cm="1">
        <f t="array" ref="A6">IFERROR(INDEX(All!A$1:A$263,SMALL(IF(All!E$1:E$263='Site check'!A$2,ROW(All!A$1:A$263)),ROWS(A$2:A2))),"")</f>
        <v>LTNDN1;DC SYS01</v>
      </c>
      <c r="B6" s="22">
        <f>VLOOKUP(A6,All!A:AM,30,0)</f>
        <v>63.636363636363647</v>
      </c>
      <c r="C6" s="54">
        <f>VLOOKUP(A6,All!A:AM,28,0)</f>
        <v>22.89</v>
      </c>
      <c r="D6" s="54">
        <f>VLOOKUP(A6,All!A:AM,31,0)</f>
        <v>52.475247524752476</v>
      </c>
      <c r="E6" s="54">
        <f>VLOOKUP(A6,All!A:AM,29,0)</f>
        <v>14.442500000000001</v>
      </c>
      <c r="F6" s="55">
        <f>VLOOKUP(A6,All!A:AM,33,0)</f>
        <v>53.49035671616317</v>
      </c>
      <c r="G6" s="55">
        <f>VLOOKUP(A6,All!A:AM,32,0)</f>
        <v>15.043200000000001</v>
      </c>
      <c r="H6" s="94">
        <f>VLOOKUP(A6,All!A:AM,39,0)</f>
        <v>41.866666666666667</v>
      </c>
      <c r="I6" s="94">
        <f>VLOOKUP(A6,All!A:AM,38,0)</f>
        <v>9.42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</v>
      </c>
      <c r="N6" s="80"/>
      <c r="O6" s="108" t="str">
        <f>IF(VLOOKUP(A6,All!A:AO,41,0)="","",VLOOKUP(A6,All!A:AO,41,0))</f>
        <v>Single</v>
      </c>
      <c r="P6" s="108" t="str">
        <f>IF(VLOOKUP(A6,All!A:AN,40,0)="","",VLOOKUP(A6,All!A:AN,40,0))</f>
        <v>Capped</v>
      </c>
      <c r="Q6" s="108" t="str">
        <f>IF(VLOOKUP(A6,All!A:AN,26,0)="","",VLOOKUP(A6,All!A:AN,26,0))</f>
        <v>Space</v>
      </c>
    </row>
    <row r="7" spans="1:25">
      <c r="A7" s="58" t="str" cm="1">
        <f t="array" ref="A7">IFERROR(INDEX(All!A$1:A$263,SMALL(IF(All!E$1:E$263='Site check'!A$2,ROW(All!A$1:A$263)),ROWS(A$2:A3))),"")</f>
        <v/>
      </c>
      <c r="B7" s="22" t="e">
        <f>VLOOKUP(A7,All!A:AM,30,0)</f>
        <v>#N/A</v>
      </c>
      <c r="C7" s="54" t="e">
        <f>VLOOKUP(A7,All!A:AM,28,0)</f>
        <v>#N/A</v>
      </c>
      <c r="D7" s="54" t="e">
        <f>VLOOKUP(A7,All!A:AM,31,0)</f>
        <v>#N/A</v>
      </c>
      <c r="E7" s="54" t="e">
        <f>VLOOKUP(A7,All!A:AM,29,0)</f>
        <v>#N/A</v>
      </c>
      <c r="F7" s="55" t="e">
        <f>VLOOKUP(A7,All!A:AM,33,0)</f>
        <v>#N/A</v>
      </c>
      <c r="G7" s="55" t="e">
        <f>VLOOKUP(A7,All!A:AM,32,0)</f>
        <v>#N/A</v>
      </c>
      <c r="H7" s="94" t="e">
        <f>VLOOKUP(A7,All!A:AM,39,0)</f>
        <v>#N/A</v>
      </c>
      <c r="I7" s="94" t="e">
        <f>VLOOKUP(A7,All!A:AM,38,0)</f>
        <v>#N/A</v>
      </c>
      <c r="J7" s="5" t="e">
        <f>VLOOKUP(A7,'SYS Allocations'!A:G,2,0)</f>
        <v>#N/A</v>
      </c>
      <c r="K7" s="5" t="e">
        <f>VLOOKUP(A7,'SYS Allocations'!A:G,3,0)</f>
        <v>#N/A</v>
      </c>
      <c r="L7" s="34" t="e">
        <f>VLOOKUP(A7,'SYS Allocations'!A:G,4,0)</f>
        <v>#N/A</v>
      </c>
      <c r="M7" s="12" t="e">
        <f>VLOOKUP(A7,'SYS Allocations'!A:G,7,0)</f>
        <v>#N/A</v>
      </c>
      <c r="N7" s="80"/>
      <c r="O7" s="108" t="e">
        <f>IF(VLOOKUP(A7,All!A:AO,41,0)="","",VLOOKUP(A7,All!A:AO,41,0))</f>
        <v>#N/A</v>
      </c>
      <c r="P7" s="108" t="e">
        <f>IF(VLOOKUP(A7,All!A:AN,40,0)="","",VLOOKUP(A7,All!A:AN,40,0))</f>
        <v>#N/A</v>
      </c>
      <c r="Q7" s="108" t="e">
        <f>IF(VLOOKUP(A7,All!A:AN,26,0)="","",VLOOKUP(A7,All!A:AN,26,0))</f>
        <v>#N/A</v>
      </c>
    </row>
    <row r="8" spans="1:25">
      <c r="A8" s="58" t="str" cm="1">
        <f t="array" ref="A8">IFERROR(INDEX(All!A$1:A$263,SMALL(IF(All!E$1:E$263='Site check'!A$2,ROW(All!A$1:A$263)),ROWS(A$2:A4))),"")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IFERROR(INDEX(All!A$1:A$263,SMALL(IF(All!E$1:E$263='Site check'!A$2,ROW(All!A$1:A$263)),ROWS(A$2:A5))),"")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9" t="s">
        <v>871</v>
      </c>
      <c r="B12" s="339" t="s">
        <v>872</v>
      </c>
      <c r="C12" s="339" t="s">
        <v>859</v>
      </c>
      <c r="D12" s="341" t="s">
        <v>873</v>
      </c>
      <c r="E12" s="341" t="s">
        <v>874</v>
      </c>
      <c r="F12" s="341" t="s">
        <v>286</v>
      </c>
      <c r="G12" s="341" t="s">
        <v>875</v>
      </c>
      <c r="H12" s="341" t="s">
        <v>876</v>
      </c>
      <c r="I12" s="345" t="s">
        <v>877</v>
      </c>
      <c r="J12" s="346"/>
      <c r="K12" s="346"/>
      <c r="L12" s="346"/>
      <c r="M12" s="346"/>
      <c r="N12" s="347"/>
      <c r="O12" s="267"/>
      <c r="P12" s="342" t="s">
        <v>878</v>
      </c>
      <c r="Q12" s="343"/>
    </row>
    <row r="13" spans="1:25" ht="26.45">
      <c r="A13" s="340"/>
      <c r="B13" s="340"/>
      <c r="C13" s="340"/>
      <c r="D13" s="340"/>
      <c r="E13" s="340"/>
      <c r="F13" s="344"/>
      <c r="G13" s="344"/>
      <c r="H13" s="344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879</v>
      </c>
      <c r="O13" s="57" t="s">
        <v>880</v>
      </c>
      <c r="P13" s="59" t="s">
        <v>881</v>
      </c>
      <c r="Q13" s="59" t="s">
        <v>882</v>
      </c>
      <c r="T13" s="59" t="s">
        <v>875</v>
      </c>
      <c r="U13" s="59" t="s">
        <v>876</v>
      </c>
      <c r="V13" s="59" t="s">
        <v>883</v>
      </c>
      <c r="W13" s="59" t="s">
        <v>884</v>
      </c>
      <c r="X13" s="59" t="s">
        <v>885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LTNDN1_SEC_DD770_BB_CC_05</v>
      </c>
      <c r="B14" s="58" t="str">
        <f>VLOOKUP($A14,'DC Dist Allocations'!$A:$X,2,0)</f>
        <v>LTNDN1;DC SYS01</v>
      </c>
      <c r="C14" s="58" t="str">
        <f>VLOOKUP($A14,'DC Dist Allocations'!$A:$X,3,0)</f>
        <v>LTNDN1</v>
      </c>
      <c r="D14" s="58">
        <f>VLOOKUP($A14,'DC Dist Allocations'!$A:$X,5,0)</f>
        <v>120</v>
      </c>
      <c r="E14" s="58">
        <f>VLOOKUP($A14,'DC Dist Allocations'!$A:$X,6,0)</f>
        <v>170</v>
      </c>
      <c r="F14" s="61">
        <f>VLOOKUP($A14,'DC Dist Allocations'!$A:$X,7,0)</f>
        <v>44264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6</v>
      </c>
      <c r="K14" s="58">
        <f>VLOOKUP($A14,'DC Dist Allocations'!$A:$X,12,0)</f>
        <v>0</v>
      </c>
      <c r="L14" s="58">
        <f>VLOOKUP($A14,'DC Dist Allocations'!$A:$X,13,0)</f>
        <v>7</v>
      </c>
      <c r="M14" s="58">
        <f>VLOOKUP($A14,'DC Dist Allocations'!$A:$X,14,0)</f>
        <v>9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1</v>
      </c>
      <c r="Q14" s="60">
        <f>VLOOKUP(A14,'DC Dist Allocations'!$A:$BC,51,0)</f>
        <v>20.833333333333332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/>
      </c>
      <c r="B15" s="58" t="e">
        <f>VLOOKUP($A15,'DC Dist Allocations'!$A:$X,2,0)</f>
        <v>#N/A</v>
      </c>
      <c r="C15" s="58" t="e">
        <f>VLOOKUP($A15,'DC Dist Allocations'!$A:$X,3,0)</f>
        <v>#N/A</v>
      </c>
      <c r="D15" s="58" t="e">
        <f>VLOOKUP($A15,'DC Dist Allocations'!$A:$X,5,0)</f>
        <v>#N/A</v>
      </c>
      <c r="E15" s="58" t="e">
        <f>VLOOKUP($A15,'DC Dist Allocations'!$A:$X,6,0)</f>
        <v>#N/A</v>
      </c>
      <c r="F15" s="61" t="e">
        <f>VLOOKUP($A15,'DC Dist Allocations'!$A:$X,7,0)</f>
        <v>#N/A</v>
      </c>
      <c r="G15" s="58" t="e">
        <f>VLOOKUP($A15,'DC Dist Allocations'!$A:$X,8,0)</f>
        <v>#N/A</v>
      </c>
      <c r="H15" s="58" t="e">
        <f>VLOOKUP($A15,'DC Dist Allocations'!$A:$X,9,0)</f>
        <v>#N/A</v>
      </c>
      <c r="I15" s="58" t="e">
        <f>VLOOKUP($A15,'DC Dist Allocations'!$A:$X,10,0)</f>
        <v>#N/A</v>
      </c>
      <c r="J15" s="58" t="e">
        <f>VLOOKUP($A15,'DC Dist Allocations'!$A:$X,11,0)</f>
        <v>#N/A</v>
      </c>
      <c r="K15" s="58" t="e">
        <f>VLOOKUP($A15,'DC Dist Allocations'!$A:$X,12,0)</f>
        <v>#N/A</v>
      </c>
      <c r="L15" s="58" t="e">
        <f>VLOOKUP($A15,'DC Dist Allocations'!$A:$X,13,0)</f>
        <v>#N/A</v>
      </c>
      <c r="M15" s="58" t="e">
        <f>VLOOKUP($A15,'DC Dist Allocations'!$A:$X,14,0)</f>
        <v>#N/A</v>
      </c>
      <c r="N15" s="58" t="e">
        <f>VLOOKUP($A15,'DC Dist Allocations'!$A:$X,15,0)</f>
        <v>#N/A</v>
      </c>
      <c r="O15" s="58">
        <f t="shared" si="0"/>
        <v>0</v>
      </c>
      <c r="P15" s="60" t="e">
        <f>VLOOKUP(A15,'DC Dist Allocations'!$A:$BC,50,0)</f>
        <v>#N/A</v>
      </c>
      <c r="Q15" s="60" t="e">
        <f>VLOOKUP(A15,'DC Dist Allocations'!$A:$BC,51,0)</f>
        <v>#N/A</v>
      </c>
      <c r="T15" s="58" t="e">
        <f t="shared" ref="T15:T38" si="1">G15</f>
        <v>#N/A</v>
      </c>
      <c r="U15" s="58" t="e">
        <f t="shared" ref="U15:U38" si="2">H15</f>
        <v>#N/A</v>
      </c>
      <c r="V15" s="60" t="e">
        <f t="shared" ref="V15:V38" si="3">SUM(G15/100)*90</f>
        <v>#N/A</v>
      </c>
      <c r="W15" s="60" t="e">
        <f t="shared" ref="W15:W38" si="4">SUM(G15/100)*75</f>
        <v>#N/A</v>
      </c>
      <c r="X15" s="60" t="e">
        <f t="shared" ref="X15:X38" si="5">SUM(G15/100)*74.99</f>
        <v>#N/A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/>
      </c>
      <c r="B16" s="58" t="e">
        <f>VLOOKUP($A16,'DC Dist Allocations'!$A:$X,2,0)</f>
        <v>#N/A</v>
      </c>
      <c r="C16" s="58" t="e">
        <f>VLOOKUP($A16,'DC Dist Allocations'!$A:$X,3,0)</f>
        <v>#N/A</v>
      </c>
      <c r="D16" s="58" t="e">
        <f>VLOOKUP($A16,'DC Dist Allocations'!$A:$X,5,0)</f>
        <v>#N/A</v>
      </c>
      <c r="E16" s="58" t="e">
        <f>VLOOKUP($A16,'DC Dist Allocations'!$A:$X,6,0)</f>
        <v>#N/A</v>
      </c>
      <c r="F16" s="61" t="e">
        <f>VLOOKUP($A16,'DC Dist Allocations'!$A:$X,7,0)</f>
        <v>#N/A</v>
      </c>
      <c r="G16" s="58" t="e">
        <f>VLOOKUP($A16,'DC Dist Allocations'!$A:$X,8,0)</f>
        <v>#N/A</v>
      </c>
      <c r="H16" s="58" t="e">
        <f>VLOOKUP($A16,'DC Dist Allocations'!$A:$X,9,0)</f>
        <v>#N/A</v>
      </c>
      <c r="I16" s="58" t="e">
        <f>VLOOKUP($A16,'DC Dist Allocations'!$A:$X,10,0)</f>
        <v>#N/A</v>
      </c>
      <c r="J16" s="58" t="e">
        <f>VLOOKUP($A16,'DC Dist Allocations'!$A:$X,11,0)</f>
        <v>#N/A</v>
      </c>
      <c r="K16" s="58" t="e">
        <f>VLOOKUP($A16,'DC Dist Allocations'!$A:$X,12,0)</f>
        <v>#N/A</v>
      </c>
      <c r="L16" s="58" t="e">
        <f>VLOOKUP($A16,'DC Dist Allocations'!$A:$X,13,0)</f>
        <v>#N/A</v>
      </c>
      <c r="M16" s="58" t="e">
        <f>VLOOKUP($A16,'DC Dist Allocations'!$A:$X,14,0)</f>
        <v>#N/A</v>
      </c>
      <c r="N16" s="58" t="e">
        <f>VLOOKUP($A16,'DC Dist Allocations'!$A:$X,15,0)</f>
        <v>#N/A</v>
      </c>
      <c r="O16" s="58">
        <f t="shared" si="0"/>
        <v>0</v>
      </c>
      <c r="P16" s="60" t="e">
        <f>VLOOKUP(A16,'DC Dist Allocations'!$A:$BC,50,0)</f>
        <v>#N/A</v>
      </c>
      <c r="Q16" s="60" t="e">
        <f>VLOOKUP(A16,'DC Dist Allocations'!$A:$BC,51,0)</f>
        <v>#N/A</v>
      </c>
      <c r="T16" s="58" t="e">
        <f t="shared" si="1"/>
        <v>#N/A</v>
      </c>
      <c r="U16" s="58" t="e">
        <f t="shared" si="2"/>
        <v>#N/A</v>
      </c>
      <c r="V16" s="60" t="e">
        <f t="shared" si="3"/>
        <v>#N/A</v>
      </c>
      <c r="W16" s="60" t="e">
        <f t="shared" si="4"/>
        <v>#N/A</v>
      </c>
      <c r="X16" s="60" t="e">
        <f t="shared" si="5"/>
        <v>#N/A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60" priority="30">
      <formula>O14&gt;0</formula>
    </cfRule>
  </conditionalFormatting>
  <conditionalFormatting sqref="A6:I6 N6 P6:Q6">
    <cfRule type="expression" dxfId="159" priority="8">
      <formula>$O$6="Dual"</formula>
    </cfRule>
  </conditionalFormatting>
  <conditionalFormatting sqref="A8:I8 M8:Q9">
    <cfRule type="expression" dxfId="158" priority="2">
      <formula>$O$8="Dual"</formula>
    </cfRule>
  </conditionalFormatting>
  <conditionalFormatting sqref="A9:I9 M9:Q9">
    <cfRule type="expression" dxfId="157" priority="1">
      <formula>$O$9="Dual"</formula>
    </cfRule>
  </conditionalFormatting>
  <conditionalFormatting sqref="A6:L6 N6 P6:Q6">
    <cfRule type="expression" dxfId="156" priority="64">
      <formula>$P$6="Capped"</formula>
    </cfRule>
  </conditionalFormatting>
  <conditionalFormatting sqref="A8:Q8">
    <cfRule type="expression" dxfId="155" priority="58">
      <formula>$P$8="Capped"</formula>
    </cfRule>
  </conditionalFormatting>
  <conditionalFormatting sqref="A9:Q9">
    <cfRule type="expression" dxfId="154" priority="63">
      <formula>$P$9="Capped"</formula>
    </cfRule>
  </conditionalFormatting>
  <conditionalFormatting sqref="B2">
    <cfRule type="cellIs" dxfId="153" priority="22" operator="lessThan">
      <formula>0</formula>
    </cfRule>
    <cfRule type="cellIs" dxfId="152" priority="23" operator="between">
      <formula>21</formula>
      <formula>10000</formula>
    </cfRule>
    <cfRule type="cellIs" dxfId="151" priority="24" operator="between">
      <formula>11</formula>
      <formula>20</formula>
    </cfRule>
    <cfRule type="cellIs" dxfId="150" priority="25" operator="between">
      <formula>0</formula>
      <formula>10</formula>
    </cfRule>
  </conditionalFormatting>
  <conditionalFormatting sqref="B6:B9 D6:D9 F6:F9 H6:H9">
    <cfRule type="cellIs" dxfId="149" priority="209" operator="between">
      <formula>10</formula>
      <formula>24.99999999999</formula>
    </cfRule>
    <cfRule type="cellIs" dxfId="148" priority="211" operator="between">
      <formula>25</formula>
      <formula>100</formula>
    </cfRule>
    <cfRule type="cellIs" dxfId="147" priority="205" operator="lessThan">
      <formula>0</formula>
    </cfRule>
    <cfRule type="cellIs" dxfId="146" priority="207" operator="between">
      <formula>0</formula>
      <formula>9.999999999999</formula>
    </cfRule>
  </conditionalFormatting>
  <conditionalFormatting sqref="D14:D47">
    <cfRule type="cellIs" dxfId="145" priority="55" operator="between">
      <formula>W14</formula>
      <formula>V14-1</formula>
    </cfRule>
    <cfRule type="cellIs" dxfId="144" priority="56" operator="between">
      <formula>0</formula>
      <formula>X14-1</formula>
    </cfRule>
    <cfRule type="cellIs" dxfId="143" priority="54" operator="between">
      <formula>U14-1</formula>
      <formula>V14</formula>
    </cfRule>
  </conditionalFormatting>
  <conditionalFormatting sqref="D14:E47">
    <cfRule type="cellIs" dxfId="142" priority="52" operator="equal">
      <formula>"n/a"</formula>
    </cfRule>
    <cfRule type="cellIs" dxfId="141" priority="53" operator="greaterThan">
      <formula>T14</formula>
    </cfRule>
  </conditionalFormatting>
  <conditionalFormatting sqref="E14:E47">
    <cfRule type="cellIs" dxfId="140" priority="184" operator="between">
      <formula>U14</formula>
      <formula>V14</formula>
    </cfRule>
    <cfRule type="cellIs" dxfId="139" priority="185" operator="between">
      <formula>V14</formula>
      <formula>W14</formula>
    </cfRule>
    <cfRule type="cellIs" dxfId="138" priority="186" operator="lessThan">
      <formula>X14</formula>
    </cfRule>
  </conditionalFormatting>
  <conditionalFormatting sqref="F14:F47">
    <cfRule type="cellIs" dxfId="137" priority="31" operator="lessThan">
      <formula>TODAY()-365</formula>
    </cfRule>
  </conditionalFormatting>
  <conditionalFormatting sqref="J6:L9">
    <cfRule type="cellIs" dxfId="136" priority="66" operator="equal">
      <formula>"PX"</formula>
    </cfRule>
    <cfRule type="cellIs" dxfId="135" priority="67" operator="equal">
      <formula>0</formula>
    </cfRule>
    <cfRule type="cellIs" dxfId="134" priority="187" operator="equal">
      <formula>"RA"</formula>
    </cfRule>
    <cfRule type="cellIs" dxfId="133" priority="189" operator="equal">
      <formula>"P-Core"</formula>
    </cfRule>
  </conditionalFormatting>
  <conditionalFormatting sqref="M6 O6 A7:I7 M7:Q7">
    <cfRule type="expression" dxfId="132" priority="11">
      <formula>$O$7="Dual"</formula>
    </cfRule>
  </conditionalFormatting>
  <conditionalFormatting sqref="M6 O6 A7:Q7">
    <cfRule type="expression" dxfId="131" priority="65">
      <formula>$P$7="Capped"</formula>
    </cfRule>
  </conditionalFormatting>
  <conditionalFormatting sqref="O14:O47">
    <cfRule type="cellIs" dxfId="130" priority="26" operator="greaterThan">
      <formula>0</formula>
    </cfRule>
  </conditionalFormatting>
  <conditionalFormatting sqref="P14:P47">
    <cfRule type="cellIs" dxfId="129" priority="37" stopIfTrue="1" operator="equal">
      <formula>"n/a"</formula>
    </cfRule>
    <cfRule type="cellIs" dxfId="128" priority="40" stopIfTrue="1" operator="between">
      <formula>W14</formula>
      <formula>V14-0.5</formula>
    </cfRule>
    <cfRule type="cellIs" dxfId="127" priority="39" stopIfTrue="1" operator="between">
      <formula>U14-1</formula>
      <formula>V14</formula>
    </cfRule>
    <cfRule type="cellIs" dxfId="126" priority="38" stopIfTrue="1" operator="greaterThan">
      <formula>T14</formula>
    </cfRule>
    <cfRule type="cellIs" dxfId="125" priority="41" stopIfTrue="1" operator="lessThan">
      <formula>X14</formula>
    </cfRule>
  </conditionalFormatting>
  <conditionalFormatting sqref="Q14:Q47">
    <cfRule type="cellIs" dxfId="124" priority="32" operator="equal">
      <formula>"n/a"</formula>
    </cfRule>
    <cfRule type="cellIs" dxfId="123" priority="33" operator="greaterThan">
      <formula>U14</formula>
    </cfRule>
    <cfRule type="cellIs" dxfId="122" priority="34" operator="between">
      <formula>V14</formula>
      <formula>U14-1</formula>
    </cfRule>
    <cfRule type="cellIs" dxfId="121" priority="35" operator="between">
      <formula>W14</formula>
      <formula>V14-0.5</formula>
    </cfRule>
    <cfRule type="cellIs" dxfId="120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0"/>
  <sheetViews>
    <sheetView zoomScale="90" zoomScaleNormal="90" workbookViewId="0">
      <pane xSplit="8" ySplit="4" topLeftCell="I112" activePane="bottomRight" state="frozen"/>
      <selection pane="bottomRight" activeCell="A125" sqref="A125:XFD126"/>
      <selection pane="bottomLeft" activeCell="S44" sqref="S44"/>
      <selection pane="topRight" activeCell="S44" sqref="S44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50" t="s">
        <v>886</v>
      </c>
      <c r="E1" s="350"/>
      <c r="F1" s="350"/>
      <c r="G1" s="350"/>
      <c r="H1" s="350"/>
    </row>
    <row r="2" spans="1:48">
      <c r="A2" s="27" t="s">
        <v>3</v>
      </c>
      <c r="B2" s="47"/>
      <c r="C2" s="47"/>
      <c r="D2" s="329">
        <v>34.53</v>
      </c>
      <c r="E2" s="273" t="s">
        <v>887</v>
      </c>
      <c r="F2" s="273"/>
      <c r="G2" s="275">
        <f>SUM(D2*54.5)/1000</f>
        <v>1.881885</v>
      </c>
      <c r="H2" s="274" t="s">
        <v>888</v>
      </c>
      <c r="I2" s="270" t="s">
        <v>889</v>
      </c>
      <c r="J2" s="348" t="s">
        <v>890</v>
      </c>
      <c r="K2" s="349"/>
      <c r="L2" s="349"/>
    </row>
    <row r="3" spans="1:48">
      <c r="A3" s="28" t="s">
        <v>4</v>
      </c>
      <c r="B3" s="46"/>
      <c r="C3" s="46"/>
      <c r="D3" s="46"/>
      <c r="E3" s="46"/>
      <c r="F3" s="46"/>
      <c r="I3" s="96" t="s">
        <v>891</v>
      </c>
      <c r="J3" s="277" t="s">
        <v>892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893</v>
      </c>
      <c r="G7" s="276" t="s">
        <v>22</v>
      </c>
      <c r="H7" s="11" t="s">
        <v>894</v>
      </c>
      <c r="I7" s="13" t="s">
        <v>895</v>
      </c>
      <c r="J7" s="278" t="s">
        <v>896</v>
      </c>
      <c r="K7" s="13" t="s">
        <v>895</v>
      </c>
      <c r="L7" s="278" t="s">
        <v>896</v>
      </c>
      <c r="M7" s="13" t="s">
        <v>895</v>
      </c>
      <c r="N7" s="278" t="s">
        <v>896</v>
      </c>
      <c r="O7" s="13" t="s">
        <v>895</v>
      </c>
      <c r="P7" s="278" t="s">
        <v>896</v>
      </c>
      <c r="Q7" s="13" t="s">
        <v>895</v>
      </c>
      <c r="R7" s="278" t="s">
        <v>896</v>
      </c>
      <c r="S7" s="13" t="s">
        <v>895</v>
      </c>
      <c r="T7" s="278" t="s">
        <v>896</v>
      </c>
      <c r="U7" s="13" t="s">
        <v>895</v>
      </c>
      <c r="V7" s="278" t="s">
        <v>896</v>
      </c>
      <c r="W7" s="13" t="s">
        <v>895</v>
      </c>
      <c r="X7" s="278" t="s">
        <v>896</v>
      </c>
      <c r="Y7" s="13" t="s">
        <v>895</v>
      </c>
      <c r="Z7" s="278" t="s">
        <v>896</v>
      </c>
      <c r="AA7" s="13" t="s">
        <v>895</v>
      </c>
      <c r="AB7" s="278" t="s">
        <v>896</v>
      </c>
      <c r="AC7" s="13" t="s">
        <v>895</v>
      </c>
      <c r="AD7" s="278" t="s">
        <v>896</v>
      </c>
      <c r="AE7" s="13" t="s">
        <v>895</v>
      </c>
      <c r="AF7" s="278" t="s">
        <v>896</v>
      </c>
      <c r="AG7" s="13" t="s">
        <v>895</v>
      </c>
      <c r="AH7" s="278" t="s">
        <v>896</v>
      </c>
      <c r="AI7" s="13" t="s">
        <v>895</v>
      </c>
      <c r="AJ7" s="278" t="s">
        <v>896</v>
      </c>
      <c r="AK7" s="13" t="s">
        <v>895</v>
      </c>
      <c r="AL7" s="278" t="s">
        <v>896</v>
      </c>
      <c r="AM7" s="13" t="s">
        <v>895</v>
      </c>
      <c r="AN7" s="278" t="s">
        <v>896</v>
      </c>
      <c r="AO7" s="13" t="s">
        <v>895</v>
      </c>
      <c r="AP7" s="278" t="s">
        <v>896</v>
      </c>
      <c r="AQ7" s="13" t="s">
        <v>895</v>
      </c>
      <c r="AR7" s="278" t="s">
        <v>896</v>
      </c>
      <c r="AS7" s="13" t="s">
        <v>895</v>
      </c>
      <c r="AT7" s="278" t="s">
        <v>896</v>
      </c>
      <c r="AU7" s="13" t="s">
        <v>895</v>
      </c>
      <c r="AV7" s="49" t="s">
        <v>897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1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3" si="1">SUM(G9*1000)/54.5</f>
        <v>119.26605504587155</v>
      </c>
      <c r="I9" s="81" t="s">
        <v>898</v>
      </c>
      <c r="J9" s="279">
        <v>0.5</v>
      </c>
      <c r="K9" s="87" t="s">
        <v>899</v>
      </c>
      <c r="L9" s="281">
        <v>2</v>
      </c>
      <c r="M9" s="87" t="s">
        <v>900</v>
      </c>
      <c r="N9" s="281">
        <v>2</v>
      </c>
      <c r="O9" s="87" t="s">
        <v>901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902</v>
      </c>
      <c r="J10" s="280">
        <v>1</v>
      </c>
      <c r="K10" s="87" t="s">
        <v>903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904</v>
      </c>
      <c r="J11" s="279">
        <v>4</v>
      </c>
      <c r="K11" s="87" t="s">
        <v>905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906</v>
      </c>
      <c r="G12" s="251">
        <f t="shared" si="0"/>
        <v>7.25</v>
      </c>
      <c r="H12" s="136">
        <f t="shared" si="1"/>
        <v>133.02752293577981</v>
      </c>
      <c r="I12" s="81" t="s">
        <v>907</v>
      </c>
      <c r="J12" s="279">
        <v>0.9</v>
      </c>
      <c r="K12" s="81" t="s">
        <v>908</v>
      </c>
      <c r="L12" s="279">
        <v>2.75</v>
      </c>
      <c r="M12" s="87" t="s">
        <v>909</v>
      </c>
      <c r="N12" s="281">
        <v>0.8</v>
      </c>
      <c r="O12" s="87" t="s">
        <v>910</v>
      </c>
      <c r="P12" s="281">
        <v>0.8</v>
      </c>
      <c r="Q12" s="300" t="s">
        <v>911</v>
      </c>
      <c r="R12" s="330">
        <v>1.5</v>
      </c>
      <c r="S12" s="83" t="s">
        <v>912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7.25</v>
      </c>
      <c r="H13" s="136">
        <f t="shared" ref="H13" si="3">SUM(G13*1000)/54.5</f>
        <v>133.02752293577981</v>
      </c>
      <c r="I13" s="81" t="s">
        <v>907</v>
      </c>
      <c r="J13" s="279">
        <v>1</v>
      </c>
      <c r="K13" s="81" t="s">
        <v>908</v>
      </c>
      <c r="L13" s="279">
        <v>2.4500000000000002</v>
      </c>
      <c r="M13" s="87" t="s">
        <v>909</v>
      </c>
      <c r="N13" s="281">
        <v>0.8</v>
      </c>
      <c r="O13" s="87" t="s">
        <v>910</v>
      </c>
      <c r="P13" s="281">
        <v>1</v>
      </c>
      <c r="Q13" s="300" t="s">
        <v>911</v>
      </c>
      <c r="R13" s="330">
        <v>1.5</v>
      </c>
      <c r="S13" s="83" t="s">
        <v>912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913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914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915</v>
      </c>
      <c r="J18" s="279">
        <v>2.4</v>
      </c>
      <c r="K18" s="81" t="s">
        <v>916</v>
      </c>
      <c r="L18" s="279">
        <v>0.5</v>
      </c>
      <c r="M18" s="87" t="s">
        <v>917</v>
      </c>
      <c r="N18" s="281">
        <v>2</v>
      </c>
      <c r="O18" s="87" t="s">
        <v>918</v>
      </c>
      <c r="P18" s="281">
        <v>1</v>
      </c>
      <c r="Q18" s="87" t="s">
        <v>919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920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7.5</v>
      </c>
      <c r="H21" s="136">
        <f t="shared" si="1"/>
        <v>137.61467889908258</v>
      </c>
      <c r="I21" s="87" t="s">
        <v>921</v>
      </c>
      <c r="J21" s="281">
        <v>2</v>
      </c>
      <c r="K21" s="85" t="s">
        <v>922</v>
      </c>
      <c r="L21" s="280">
        <v>4</v>
      </c>
      <c r="M21" s="294" t="s">
        <v>923</v>
      </c>
      <c r="N21" s="295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906</v>
      </c>
      <c r="G22" s="251">
        <f t="shared" si="0"/>
        <v>12.75</v>
      </c>
      <c r="H22" s="136">
        <f t="shared" si="1"/>
        <v>233.94495412844037</v>
      </c>
      <c r="I22" s="81" t="s">
        <v>924</v>
      </c>
      <c r="J22" s="279">
        <v>2</v>
      </c>
      <c r="K22" s="81" t="s">
        <v>925</v>
      </c>
      <c r="L22" s="279">
        <v>0.4</v>
      </c>
      <c r="M22" s="81" t="s">
        <v>926</v>
      </c>
      <c r="N22" s="279">
        <v>1.6</v>
      </c>
      <c r="O22" s="81" t="s">
        <v>927</v>
      </c>
      <c r="P22" s="279">
        <v>1.45</v>
      </c>
      <c r="Q22" s="81" t="s">
        <v>928</v>
      </c>
      <c r="R22" s="279">
        <v>1.1499999999999999</v>
      </c>
      <c r="S22" s="81" t="s">
        <v>929</v>
      </c>
      <c r="T22" s="279">
        <v>1.75</v>
      </c>
      <c r="U22" s="87" t="s">
        <v>930</v>
      </c>
      <c r="V22" s="281">
        <v>1</v>
      </c>
      <c r="W22" s="87" t="s">
        <v>931</v>
      </c>
      <c r="X22" s="281">
        <v>2.2000000000000002</v>
      </c>
      <c r="Y22" s="85" t="s">
        <v>932</v>
      </c>
      <c r="Z22" s="280">
        <v>1.2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10.95</v>
      </c>
      <c r="H23" s="136">
        <f t="shared" si="1"/>
        <v>200.91743119266056</v>
      </c>
      <c r="I23" s="81" t="s">
        <v>924</v>
      </c>
      <c r="J23" s="279">
        <v>2</v>
      </c>
      <c r="K23" s="81" t="s">
        <v>925</v>
      </c>
      <c r="L23" s="279">
        <v>0.4</v>
      </c>
      <c r="M23" s="81"/>
      <c r="N23" s="279"/>
      <c r="O23" s="81" t="s">
        <v>927</v>
      </c>
      <c r="P23" s="279">
        <v>1.25</v>
      </c>
      <c r="Q23" s="81" t="s">
        <v>928</v>
      </c>
      <c r="R23" s="279">
        <v>0.95</v>
      </c>
      <c r="S23" s="81" t="s">
        <v>929</v>
      </c>
      <c r="T23" s="279">
        <v>1.75</v>
      </c>
      <c r="U23" s="87" t="s">
        <v>930</v>
      </c>
      <c r="V23" s="281">
        <v>1</v>
      </c>
      <c r="W23" s="87" t="s">
        <v>931</v>
      </c>
      <c r="X23" s="281">
        <v>2.2999999999999998</v>
      </c>
      <c r="Y23" s="85" t="s">
        <v>933</v>
      </c>
      <c r="Z23" s="280">
        <v>1.3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22.599999999999998</v>
      </c>
      <c r="H25" s="136">
        <f t="shared" si="1"/>
        <v>414.67889908256876</v>
      </c>
      <c r="I25" s="81" t="s">
        <v>934</v>
      </c>
      <c r="J25" s="279">
        <v>2.4</v>
      </c>
      <c r="K25" s="260" t="s">
        <v>935</v>
      </c>
      <c r="L25" s="281">
        <v>1</v>
      </c>
      <c r="M25" s="85" t="s">
        <v>936</v>
      </c>
      <c r="N25" s="280">
        <v>5</v>
      </c>
      <c r="O25" s="320" t="s">
        <v>937</v>
      </c>
      <c r="P25" s="321">
        <v>5</v>
      </c>
      <c r="Q25" s="320" t="s">
        <v>938</v>
      </c>
      <c r="R25" s="321">
        <v>5</v>
      </c>
      <c r="S25" s="83" t="s">
        <v>939</v>
      </c>
      <c r="T25" s="284">
        <v>4.2</v>
      </c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18.399999999999999</v>
      </c>
      <c r="H26" s="136">
        <f t="shared" si="1"/>
        <v>337.61467889908255</v>
      </c>
      <c r="I26" s="81" t="s">
        <v>940</v>
      </c>
      <c r="J26" s="279">
        <v>1.7</v>
      </c>
      <c r="K26" s="81" t="s">
        <v>941</v>
      </c>
      <c r="L26" s="279">
        <v>2</v>
      </c>
      <c r="M26" s="81" t="s">
        <v>942</v>
      </c>
      <c r="N26" s="279">
        <v>1</v>
      </c>
      <c r="O26" s="87" t="s">
        <v>943</v>
      </c>
      <c r="P26" s="281">
        <v>1</v>
      </c>
      <c r="Q26" s="85" t="s">
        <v>944</v>
      </c>
      <c r="R26" s="280">
        <v>2.5</v>
      </c>
      <c r="S26" s="85" t="s">
        <v>945</v>
      </c>
      <c r="T26" s="280">
        <v>2.5</v>
      </c>
      <c r="U26" s="85" t="s">
        <v>946</v>
      </c>
      <c r="V26" s="280">
        <v>3.5</v>
      </c>
      <c r="W26" s="83" t="s">
        <v>947</v>
      </c>
      <c r="X26" s="284">
        <v>4.2</v>
      </c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948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948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906</v>
      </c>
      <c r="G30" s="251">
        <f t="shared" si="0"/>
        <v>8.5500000000000007</v>
      </c>
      <c r="H30" s="136">
        <f t="shared" si="1"/>
        <v>156.88073394495413</v>
      </c>
      <c r="I30" s="85" t="s">
        <v>949</v>
      </c>
      <c r="J30" s="280">
        <v>0.3</v>
      </c>
      <c r="K30" s="81" t="s">
        <v>950</v>
      </c>
      <c r="L30" s="279">
        <v>1.9</v>
      </c>
      <c r="M30" s="81" t="s">
        <v>951</v>
      </c>
      <c r="N30" s="279">
        <v>0.9</v>
      </c>
      <c r="O30" s="81" t="s">
        <v>952</v>
      </c>
      <c r="P30" s="279">
        <v>1.65</v>
      </c>
      <c r="Q30" s="81" t="s">
        <v>953</v>
      </c>
      <c r="R30" s="279">
        <v>0.7</v>
      </c>
      <c r="S30" s="81" t="s">
        <v>954</v>
      </c>
      <c r="T30" s="279">
        <v>1.3</v>
      </c>
      <c r="U30" s="81" t="s">
        <v>955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7.18</v>
      </c>
      <c r="H31" s="136">
        <f t="shared" si="1"/>
        <v>131.74311926605503</v>
      </c>
      <c r="I31" s="85" t="s">
        <v>949</v>
      </c>
      <c r="J31" s="280">
        <v>0.5</v>
      </c>
      <c r="K31" s="81" t="s">
        <v>950</v>
      </c>
      <c r="L31" s="279">
        <v>0.5</v>
      </c>
      <c r="M31" s="81" t="s">
        <v>951</v>
      </c>
      <c r="N31" s="279">
        <v>0.93</v>
      </c>
      <c r="O31" s="81" t="s">
        <v>952</v>
      </c>
      <c r="P31" s="279">
        <v>1.55</v>
      </c>
      <c r="Q31" s="81" t="s">
        <v>953</v>
      </c>
      <c r="R31" s="279">
        <v>0.6</v>
      </c>
      <c r="S31" s="81" t="s">
        <v>954</v>
      </c>
      <c r="T31" s="279">
        <v>1.2</v>
      </c>
      <c r="U31" s="81" t="s">
        <v>955</v>
      </c>
      <c r="V31" s="279">
        <v>1.9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956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956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957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921</v>
      </c>
      <c r="J36" s="279">
        <v>1</v>
      </c>
      <c r="K36" s="87" t="s">
        <v>958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18.8</v>
      </c>
      <c r="H37" s="136">
        <f t="shared" si="1"/>
        <v>344.95412844036696</v>
      </c>
      <c r="I37" s="89" t="s">
        <v>959</v>
      </c>
      <c r="J37" s="282">
        <v>2</v>
      </c>
      <c r="K37" s="89" t="s">
        <v>960</v>
      </c>
      <c r="L37" s="282">
        <v>2.9</v>
      </c>
      <c r="M37" s="89" t="s">
        <v>961</v>
      </c>
      <c r="N37" s="282">
        <v>3.9</v>
      </c>
      <c r="O37" s="83" t="s">
        <v>962</v>
      </c>
      <c r="P37" s="284">
        <v>5</v>
      </c>
      <c r="Q37" s="89" t="s">
        <v>963</v>
      </c>
      <c r="R37" s="282">
        <v>5</v>
      </c>
      <c r="S37" s="89"/>
      <c r="T37" s="282"/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</v>
      </c>
      <c r="H38" s="136">
        <f t="shared" si="1"/>
        <v>36.697247706422019</v>
      </c>
      <c r="I38" s="83" t="s">
        <v>964</v>
      </c>
      <c r="J38" s="284">
        <v>2</v>
      </c>
      <c r="K38" s="81"/>
      <c r="L38" s="279"/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 ht="34.9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906</v>
      </c>
      <c r="G39" s="251">
        <f>SUM(J39,L39,N39,P39,R39,T39,V39,X39,Z39,AB39,AD39,AF39,AH39,AJ39,AL39,AN39,AP39,AR39,AT39,AV39)</f>
        <v>68.150000000000006</v>
      </c>
      <c r="H39" s="136">
        <f>SUM(G39*1000)/54.5</f>
        <v>1250.4587155963302</v>
      </c>
      <c r="I39" s="81" t="s">
        <v>965</v>
      </c>
      <c r="J39" s="279">
        <v>18.8</v>
      </c>
      <c r="K39" s="81" t="s">
        <v>966</v>
      </c>
      <c r="L39" s="279">
        <v>29.7</v>
      </c>
      <c r="M39" s="81" t="s">
        <v>967</v>
      </c>
      <c r="N39" s="279">
        <v>2</v>
      </c>
      <c r="O39" s="81" t="s">
        <v>968</v>
      </c>
      <c r="P39" s="279">
        <v>0.5</v>
      </c>
      <c r="Q39" s="87" t="s">
        <v>969</v>
      </c>
      <c r="R39" s="281">
        <v>0.7</v>
      </c>
      <c r="S39" s="87" t="s">
        <v>970</v>
      </c>
      <c r="T39" s="281">
        <v>0.8</v>
      </c>
      <c r="U39" s="81" t="s">
        <v>971</v>
      </c>
      <c r="V39" s="279">
        <v>0.7</v>
      </c>
      <c r="W39" s="81" t="s">
        <v>972</v>
      </c>
      <c r="X39" s="279">
        <v>0.22500000000000001</v>
      </c>
      <c r="Y39" s="81" t="s">
        <v>973</v>
      </c>
      <c r="Z39" s="279">
        <v>0.22500000000000001</v>
      </c>
      <c r="AA39" s="89" t="s">
        <v>974</v>
      </c>
      <c r="AB39" s="282">
        <v>1.4</v>
      </c>
      <c r="AC39" s="89" t="s">
        <v>975</v>
      </c>
      <c r="AD39" s="282">
        <v>0.5</v>
      </c>
      <c r="AE39" s="81" t="s">
        <v>976</v>
      </c>
      <c r="AF39" s="279">
        <v>1.6</v>
      </c>
      <c r="AG39" s="253" t="s">
        <v>977</v>
      </c>
      <c r="AH39" s="299">
        <v>1</v>
      </c>
      <c r="AI39" s="253" t="s">
        <v>978</v>
      </c>
      <c r="AJ39" s="299">
        <v>1</v>
      </c>
      <c r="AK39" s="253" t="s">
        <v>979</v>
      </c>
      <c r="AL39" s="299">
        <v>1</v>
      </c>
      <c r="AM39" s="332" t="s">
        <v>980</v>
      </c>
      <c r="AN39" s="284">
        <v>3.3</v>
      </c>
      <c r="AO39" s="85" t="s">
        <v>981</v>
      </c>
      <c r="AP39" s="280">
        <v>2</v>
      </c>
      <c r="AQ39" s="85" t="s">
        <v>982</v>
      </c>
      <c r="AR39" s="280">
        <v>2.4500000000000002</v>
      </c>
      <c r="AS39" s="83" t="s">
        <v>983</v>
      </c>
      <c r="AT39" s="284">
        <v>0.25</v>
      </c>
      <c r="AU39" s="81"/>
      <c r="AV39" s="50">
        <f>IFERROR(VLOOKUP(A39,'Site check'!A:Q,14,0),0)</f>
        <v>0</v>
      </c>
    </row>
    <row r="40" spans="1:48" ht="34.9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66.55</v>
      </c>
      <c r="H40" s="136">
        <f>SUM(G40*1000)/54.5</f>
        <v>1221.1009174311926</v>
      </c>
      <c r="I40" s="81" t="s">
        <v>965</v>
      </c>
      <c r="J40" s="279">
        <v>17.2</v>
      </c>
      <c r="K40" s="81" t="s">
        <v>966</v>
      </c>
      <c r="L40" s="279">
        <v>28.7</v>
      </c>
      <c r="M40" s="81" t="s">
        <v>967</v>
      </c>
      <c r="N40" s="279">
        <v>2</v>
      </c>
      <c r="O40" s="81" t="s">
        <v>968</v>
      </c>
      <c r="P40" s="279">
        <v>0.8</v>
      </c>
      <c r="Q40" s="87" t="s">
        <v>969</v>
      </c>
      <c r="R40" s="281">
        <v>1</v>
      </c>
      <c r="S40" s="87" t="s">
        <v>970</v>
      </c>
      <c r="T40" s="281">
        <v>1</v>
      </c>
      <c r="U40" s="81" t="s">
        <v>971</v>
      </c>
      <c r="V40" s="279">
        <v>0.9</v>
      </c>
      <c r="W40" s="81" t="s">
        <v>972</v>
      </c>
      <c r="X40" s="279">
        <v>0.22500000000000001</v>
      </c>
      <c r="Y40" s="81" t="s">
        <v>973</v>
      </c>
      <c r="Z40" s="279">
        <v>0.22500000000000001</v>
      </c>
      <c r="AA40" s="89" t="s">
        <v>974</v>
      </c>
      <c r="AB40" s="282">
        <v>1.4</v>
      </c>
      <c r="AC40" s="89" t="s">
        <v>975</v>
      </c>
      <c r="AD40" s="282">
        <v>0.5</v>
      </c>
      <c r="AE40" s="81" t="s">
        <v>976</v>
      </c>
      <c r="AF40" s="279">
        <v>1.6</v>
      </c>
      <c r="AG40" s="253" t="s">
        <v>977</v>
      </c>
      <c r="AH40" s="299">
        <v>1</v>
      </c>
      <c r="AI40" s="253" t="s">
        <v>978</v>
      </c>
      <c r="AJ40" s="299">
        <v>1</v>
      </c>
      <c r="AK40" s="253" t="s">
        <v>979</v>
      </c>
      <c r="AL40" s="299">
        <v>1</v>
      </c>
      <c r="AM40" s="332" t="s">
        <v>980</v>
      </c>
      <c r="AN40" s="284">
        <v>3.3</v>
      </c>
      <c r="AO40" s="85" t="s">
        <v>981</v>
      </c>
      <c r="AP40" s="280">
        <v>2</v>
      </c>
      <c r="AQ40" s="85" t="s">
        <v>982</v>
      </c>
      <c r="AR40" s="280">
        <v>2.4500000000000002</v>
      </c>
      <c r="AS40" s="83" t="s">
        <v>983</v>
      </c>
      <c r="AT40" s="284">
        <v>0.25</v>
      </c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984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985</v>
      </c>
      <c r="J44" s="279">
        <v>1</v>
      </c>
      <c r="K44" s="318" t="s">
        <v>986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987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988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8.1999999999999993</v>
      </c>
      <c r="H47" s="136">
        <f t="shared" si="1"/>
        <v>150.45871559633028</v>
      </c>
      <c r="I47" s="260" t="s">
        <v>989</v>
      </c>
      <c r="J47" s="283">
        <v>3</v>
      </c>
      <c r="K47" s="87" t="s">
        <v>990</v>
      </c>
      <c r="L47" s="281">
        <v>1</v>
      </c>
      <c r="M47" s="83" t="s">
        <v>991</v>
      </c>
      <c r="N47" s="284">
        <v>4.2</v>
      </c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37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>SUM(J48,L48,N48,P48,R48,T48,V48,X48,Z48,AB48,AD48,AF48,AH48,AJ48,AL48,AN48,AP48,AR48,AT48,AV48)</f>
        <v>22.699999999999996</v>
      </c>
      <c r="H48" s="136">
        <f t="shared" si="1"/>
        <v>416.51376146788982</v>
      </c>
      <c r="I48" s="81" t="s">
        <v>992</v>
      </c>
      <c r="J48" s="279">
        <v>1.2</v>
      </c>
      <c r="K48" s="87"/>
      <c r="L48" s="281"/>
      <c r="M48" s="87" t="s">
        <v>993</v>
      </c>
      <c r="N48" s="281">
        <v>1.4</v>
      </c>
      <c r="O48" s="87" t="s">
        <v>994</v>
      </c>
      <c r="P48" s="281">
        <v>1.3</v>
      </c>
      <c r="Q48" s="87" t="s">
        <v>995</v>
      </c>
      <c r="R48" s="281">
        <v>1.3</v>
      </c>
      <c r="S48" s="87" t="s">
        <v>996</v>
      </c>
      <c r="T48" s="281">
        <v>1.3</v>
      </c>
      <c r="U48" s="87" t="s">
        <v>997</v>
      </c>
      <c r="V48" s="281">
        <v>0.8</v>
      </c>
      <c r="W48" s="89" t="s">
        <v>998</v>
      </c>
      <c r="X48" s="282">
        <v>0.7</v>
      </c>
      <c r="Y48" s="89" t="s">
        <v>999</v>
      </c>
      <c r="Z48" s="282">
        <v>1.1000000000000001</v>
      </c>
      <c r="AA48" s="89" t="s">
        <v>1000</v>
      </c>
      <c r="AB48" s="282">
        <v>2</v>
      </c>
      <c r="AC48" s="81" t="s">
        <v>1001</v>
      </c>
      <c r="AD48" s="279">
        <v>2.2000000000000002</v>
      </c>
      <c r="AE48" s="87" t="s">
        <v>1002</v>
      </c>
      <c r="AF48" s="281">
        <v>4</v>
      </c>
      <c r="AG48" s="263" t="s">
        <v>1003</v>
      </c>
      <c r="AH48" s="283">
        <v>1.2</v>
      </c>
      <c r="AI48" s="89" t="s">
        <v>1004</v>
      </c>
      <c r="AJ48" s="282">
        <v>2</v>
      </c>
      <c r="AK48" s="81" t="s">
        <v>1005</v>
      </c>
      <c r="AL48" s="279">
        <v>0.4</v>
      </c>
      <c r="AM48" s="87" t="s">
        <v>1006</v>
      </c>
      <c r="AN48" s="281">
        <v>0.4</v>
      </c>
      <c r="AO48" s="87" t="s">
        <v>1007</v>
      </c>
      <c r="AP48" s="281">
        <v>0.5</v>
      </c>
      <c r="AQ48" s="87" t="s">
        <v>1008</v>
      </c>
      <c r="AR48" s="281">
        <v>0.9</v>
      </c>
      <c r="AS48" s="81"/>
      <c r="AT48" s="279"/>
      <c r="AU48" s="81"/>
      <c r="AV48" s="50">
        <f>IFERROR(VLOOKUP(A48,'Site check'!A:Q,14,0),0)</f>
        <v>0</v>
      </c>
    </row>
    <row r="49" spans="1:48">
      <c r="A49" s="37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21.999999999999996</v>
      </c>
      <c r="H49" s="136">
        <f t="shared" si="1"/>
        <v>403.66972477064212</v>
      </c>
      <c r="I49" s="81" t="s">
        <v>992</v>
      </c>
      <c r="J49" s="279">
        <v>0.5</v>
      </c>
      <c r="K49" s="87"/>
      <c r="L49" s="281"/>
      <c r="M49" s="87" t="s">
        <v>993</v>
      </c>
      <c r="N49" s="281">
        <v>1.3</v>
      </c>
      <c r="O49" s="87" t="s">
        <v>994</v>
      </c>
      <c r="P49" s="281">
        <v>1.2</v>
      </c>
      <c r="Q49" s="87" t="s">
        <v>995</v>
      </c>
      <c r="R49" s="281">
        <v>1.3</v>
      </c>
      <c r="S49" s="87" t="s">
        <v>996</v>
      </c>
      <c r="T49" s="281">
        <v>1.3</v>
      </c>
      <c r="U49" s="87" t="s">
        <v>997</v>
      </c>
      <c r="V49" s="281">
        <v>0.7</v>
      </c>
      <c r="W49" s="89" t="s">
        <v>998</v>
      </c>
      <c r="X49" s="282">
        <v>1</v>
      </c>
      <c r="Y49" s="89" t="s">
        <v>999</v>
      </c>
      <c r="Z49" s="282">
        <v>1.1000000000000001</v>
      </c>
      <c r="AA49" s="89" t="s">
        <v>1000</v>
      </c>
      <c r="AB49" s="282">
        <v>2</v>
      </c>
      <c r="AC49" s="81" t="s">
        <v>1001</v>
      </c>
      <c r="AD49" s="279">
        <v>2.2000000000000002</v>
      </c>
      <c r="AE49" s="87" t="s">
        <v>1002</v>
      </c>
      <c r="AF49" s="281">
        <v>4</v>
      </c>
      <c r="AG49" s="263" t="s">
        <v>1003</v>
      </c>
      <c r="AH49" s="283">
        <v>1.2</v>
      </c>
      <c r="AI49" s="89" t="s">
        <v>1004</v>
      </c>
      <c r="AJ49" s="282">
        <v>2</v>
      </c>
      <c r="AK49" s="81" t="s">
        <v>1005</v>
      </c>
      <c r="AL49" s="279">
        <v>0.4</v>
      </c>
      <c r="AM49" s="87" t="s">
        <v>1006</v>
      </c>
      <c r="AN49" s="281">
        <v>0.4</v>
      </c>
      <c r="AO49" s="87" t="s">
        <v>1007</v>
      </c>
      <c r="AP49" s="281">
        <v>0.5</v>
      </c>
      <c r="AQ49" s="87" t="s">
        <v>1008</v>
      </c>
      <c r="AR49" s="281">
        <v>0.9</v>
      </c>
      <c r="AS49" s="81"/>
      <c r="AT49" s="279"/>
      <c r="AU49" s="81"/>
      <c r="AV49" s="50">
        <f>IFERROR(VLOOKUP(A49,'Site check'!A:Q,14,0),0)</f>
        <v>0</v>
      </c>
    </row>
    <row r="50" spans="1:48">
      <c r="A50" s="38" t="s">
        <v>66</v>
      </c>
      <c r="B50" s="96"/>
      <c r="C50" s="4"/>
      <c r="D50" s="4"/>
      <c r="E50" s="4"/>
      <c r="F50" s="4"/>
      <c r="G50" s="251">
        <f>SUM(J50,L50,N50,P50,R50,T50,V50,X50,Z50,AB50,AD50,AF50,AH50,AJ50,AL50,AN50,AP50,AR50,AT50,AV50)</f>
        <v>7.8999999999999986</v>
      </c>
      <c r="H50" s="136">
        <f t="shared" si="1"/>
        <v>144.95412844036693</v>
      </c>
      <c r="I50" s="85" t="s">
        <v>1009</v>
      </c>
      <c r="J50" s="280">
        <v>2</v>
      </c>
      <c r="K50" s="83" t="s">
        <v>1010</v>
      </c>
      <c r="L50" s="284">
        <v>2</v>
      </c>
      <c r="M50" s="85"/>
      <c r="N50" s="280"/>
      <c r="O50" s="83" t="s">
        <v>1011</v>
      </c>
      <c r="P50" s="284">
        <v>0.6</v>
      </c>
      <c r="Q50" s="83" t="s">
        <v>1012</v>
      </c>
      <c r="R50" s="284">
        <v>1.1000000000000001</v>
      </c>
      <c r="S50" s="83" t="s">
        <v>1013</v>
      </c>
      <c r="T50" s="284">
        <v>1.1000000000000001</v>
      </c>
      <c r="U50" s="83" t="s">
        <v>1014</v>
      </c>
      <c r="V50" s="284">
        <v>1.1000000000000001</v>
      </c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5.9</v>
      </c>
      <c r="H51" s="136">
        <f t="shared" si="1"/>
        <v>108.25688073394495</v>
      </c>
      <c r="I51" s="85"/>
      <c r="J51" s="280"/>
      <c r="K51" s="83" t="s">
        <v>1010</v>
      </c>
      <c r="L51" s="284">
        <v>2</v>
      </c>
      <c r="M51" s="85"/>
      <c r="N51" s="280"/>
      <c r="O51" s="83" t="s">
        <v>1011</v>
      </c>
      <c r="P51" s="284">
        <v>0.6</v>
      </c>
      <c r="Q51" s="83" t="s">
        <v>1012</v>
      </c>
      <c r="R51" s="284">
        <v>1.1000000000000001</v>
      </c>
      <c r="S51" s="83" t="s">
        <v>1013</v>
      </c>
      <c r="T51" s="284">
        <v>1.1000000000000001</v>
      </c>
      <c r="U51" s="83" t="s">
        <v>1014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5" t="s">
        <v>68</v>
      </c>
      <c r="B52" s="24" t="s">
        <v>17</v>
      </c>
      <c r="C52" s="4"/>
      <c r="D52" s="4"/>
      <c r="E52" s="4"/>
      <c r="F52" s="4"/>
      <c r="G52" s="251">
        <f t="shared" si="0"/>
        <v>0</v>
      </c>
      <c r="H52" s="136">
        <f t="shared" si="1"/>
        <v>0</v>
      </c>
      <c r="I52" s="83"/>
      <c r="J52" s="284"/>
      <c r="K52" s="83"/>
      <c r="L52" s="284"/>
      <c r="M52" s="83"/>
      <c r="N52" s="284"/>
      <c r="O52" s="81"/>
      <c r="P52" s="279"/>
      <c r="Q52" s="81"/>
      <c r="R52" s="279"/>
      <c r="S52" s="83"/>
      <c r="T52" s="284"/>
      <c r="U52" s="83"/>
      <c r="V52" s="284"/>
      <c r="W52" s="83"/>
      <c r="X52" s="284"/>
      <c r="Y52" s="81"/>
      <c r="Z52" s="279"/>
      <c r="AA52" s="81"/>
      <c r="AB52" s="279"/>
      <c r="AC52" s="85"/>
      <c r="AD52" s="280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96"/>
      <c r="C53" s="30" t="s">
        <v>18</v>
      </c>
      <c r="D53" s="30" t="s">
        <v>19</v>
      </c>
      <c r="E53" s="4"/>
      <c r="F53" s="30" t="s">
        <v>906</v>
      </c>
      <c r="G53" s="251">
        <f>SUM(J53,L53,N53,P53,R53,T53,V53,X53,Z53,AB53,AD53,AF53,AH53,AJ53,AL53,AN53,AP53,AR53,AT53,AV53)</f>
        <v>30.599999999999998</v>
      </c>
      <c r="H53" s="136">
        <f>SUM(G53*1000)/54.5</f>
        <v>561.46788990825678</v>
      </c>
      <c r="I53" s="81" t="s">
        <v>1015</v>
      </c>
      <c r="J53" s="279">
        <v>2.5</v>
      </c>
      <c r="K53" s="81" t="s">
        <v>1016</v>
      </c>
      <c r="L53" s="279">
        <v>0.8</v>
      </c>
      <c r="M53" s="81" t="s">
        <v>1017</v>
      </c>
      <c r="N53" s="279">
        <v>2</v>
      </c>
      <c r="O53" s="81" t="s">
        <v>1018</v>
      </c>
      <c r="P53" s="279">
        <v>1.4</v>
      </c>
      <c r="Q53" s="81" t="s">
        <v>1019</v>
      </c>
      <c r="R53" s="279">
        <v>10.199999999999999</v>
      </c>
      <c r="S53" s="81" t="s">
        <v>1020</v>
      </c>
      <c r="T53" s="279">
        <v>0.5</v>
      </c>
      <c r="U53" s="89" t="s">
        <v>1021</v>
      </c>
      <c r="V53" s="282">
        <v>1.8</v>
      </c>
      <c r="W53" s="89" t="s">
        <v>1022</v>
      </c>
      <c r="X53" s="282">
        <v>1.8</v>
      </c>
      <c r="Y53" s="89"/>
      <c r="Z53" s="282"/>
      <c r="AA53" s="262" t="s">
        <v>1023</v>
      </c>
      <c r="AB53" s="281">
        <v>2</v>
      </c>
      <c r="AC53" s="85" t="s">
        <v>1024</v>
      </c>
      <c r="AD53" s="280">
        <v>2.4</v>
      </c>
      <c r="AE53" s="87" t="s">
        <v>1025</v>
      </c>
      <c r="AF53" s="281">
        <v>1.8</v>
      </c>
      <c r="AG53" s="87" t="s">
        <v>1026</v>
      </c>
      <c r="AH53" s="281">
        <v>0.5</v>
      </c>
      <c r="AI53" s="87" t="s">
        <v>1027</v>
      </c>
      <c r="AJ53" s="279">
        <v>2.9</v>
      </c>
      <c r="AK53" s="87"/>
      <c r="AL53" s="281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9" t="s">
        <v>70</v>
      </c>
      <c r="B54" s="96"/>
      <c r="C54" s="4"/>
      <c r="D54" s="4"/>
      <c r="E54" s="4"/>
      <c r="F54" s="4"/>
      <c r="G54" s="251">
        <f>SUM(J54,L54,N54,P54,R54,T54,V54,X54,Z54,AB54,AD54,AF54,AH54,AJ54,AL54,AN54,AP54,AR54,AT54,AV54)</f>
        <v>2.25</v>
      </c>
      <c r="H54" s="136">
        <f t="shared" si="1"/>
        <v>41.284403669724767</v>
      </c>
      <c r="I54" s="87" t="s">
        <v>1028</v>
      </c>
      <c r="J54" s="281">
        <v>2</v>
      </c>
      <c r="K54" s="81" t="s">
        <v>1029</v>
      </c>
      <c r="L54" s="279">
        <v>0.25</v>
      </c>
      <c r="M54" s="81"/>
      <c r="N54" s="279"/>
      <c r="O54" s="81">
        <v>36.75</v>
      </c>
      <c r="P54" s="279"/>
      <c r="Q54" s="81"/>
      <c r="R54" s="279"/>
      <c r="S54" s="81"/>
      <c r="T54" s="279"/>
      <c r="U54" s="81"/>
      <c r="V54" s="279"/>
      <c r="W54" s="81"/>
      <c r="X54" s="279"/>
      <c r="Y54" s="81"/>
      <c r="Z54" s="279"/>
      <c r="AA54" s="81"/>
      <c r="AB54" s="279"/>
      <c r="AC54" s="81"/>
      <c r="AD54" s="279"/>
      <c r="AE54" s="81"/>
      <c r="AF54" s="279"/>
      <c r="AG54" s="81"/>
      <c r="AH54" s="279"/>
      <c r="AI54" s="81"/>
      <c r="AJ54" s="279"/>
      <c r="AK54" s="81"/>
      <c r="AL54" s="279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24" t="s">
        <v>17</v>
      </c>
      <c r="C55" s="4"/>
      <c r="D55" s="4"/>
      <c r="E55" s="4"/>
      <c r="F55" s="4"/>
      <c r="G55" s="251">
        <f>SUM(J55,L55,N55,P55,R55,T55,V55,X55,Z55,AB55,AD54,AF55,AH55,AJ55,AL55,AN55,AP55,AR55,AT55,AV55)</f>
        <v>5</v>
      </c>
      <c r="H55" s="136">
        <f t="shared" si="1"/>
        <v>91.743119266055047</v>
      </c>
      <c r="I55" s="87" t="s">
        <v>1030</v>
      </c>
      <c r="J55" s="281">
        <v>2</v>
      </c>
      <c r="K55" s="264" t="s">
        <v>1031</v>
      </c>
      <c r="L55" s="288">
        <v>3</v>
      </c>
      <c r="M55" s="111"/>
      <c r="N55" s="292"/>
      <c r="O55" s="83"/>
      <c r="P55" s="284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96"/>
      <c r="C56" s="30" t="s">
        <v>18</v>
      </c>
      <c r="D56" s="30" t="s">
        <v>19</v>
      </c>
      <c r="E56" s="30" t="s">
        <v>1032</v>
      </c>
      <c r="F56" s="30" t="s">
        <v>906</v>
      </c>
      <c r="G56" s="251">
        <f t="shared" si="0"/>
        <v>41.030000000000008</v>
      </c>
      <c r="H56" s="136">
        <f t="shared" si="1"/>
        <v>752.84403669724782</v>
      </c>
      <c r="I56" s="81" t="s">
        <v>1033</v>
      </c>
      <c r="J56" s="279">
        <v>1.7</v>
      </c>
      <c r="K56" s="81" t="s">
        <v>1034</v>
      </c>
      <c r="L56" s="279">
        <v>1.2</v>
      </c>
      <c r="M56" s="81" t="s">
        <v>1035</v>
      </c>
      <c r="N56" s="279">
        <v>4.0999999999999996</v>
      </c>
      <c r="O56" s="81" t="s">
        <v>1036</v>
      </c>
      <c r="P56" s="279">
        <v>2</v>
      </c>
      <c r="Q56" s="81" t="s">
        <v>1037</v>
      </c>
      <c r="R56" s="279">
        <v>1.9</v>
      </c>
      <c r="S56" s="81" t="s">
        <v>1038</v>
      </c>
      <c r="T56" s="279">
        <v>11.7</v>
      </c>
      <c r="U56" s="89" t="s">
        <v>1039</v>
      </c>
      <c r="V56" s="282">
        <v>1.8</v>
      </c>
      <c r="W56" s="89"/>
      <c r="X56" s="282"/>
      <c r="Y56" s="89" t="s">
        <v>1040</v>
      </c>
      <c r="Z56" s="282">
        <v>1.1000000000000001</v>
      </c>
      <c r="AA56" s="87" t="s">
        <v>1041</v>
      </c>
      <c r="AB56" s="281">
        <v>0.5</v>
      </c>
      <c r="AC56" s="263" t="s">
        <v>1042</v>
      </c>
      <c r="AD56" s="283">
        <v>5.8</v>
      </c>
      <c r="AE56" s="260" t="s">
        <v>1043</v>
      </c>
      <c r="AF56" s="283">
        <v>1.7</v>
      </c>
      <c r="AG56" s="105" t="s">
        <v>1044</v>
      </c>
      <c r="AH56" s="293">
        <v>2.9</v>
      </c>
      <c r="AI56" s="105" t="s">
        <v>1045</v>
      </c>
      <c r="AJ56" s="293">
        <v>0.93</v>
      </c>
      <c r="AK56" s="89" t="s">
        <v>1046</v>
      </c>
      <c r="AL56" s="282">
        <v>1.6</v>
      </c>
      <c r="AM56" s="89" t="s">
        <v>1047</v>
      </c>
      <c r="AN56" s="282">
        <v>2.1</v>
      </c>
      <c r="AO56" s="83"/>
      <c r="AP56" s="284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5" t="s">
        <v>73</v>
      </c>
      <c r="B57" s="96"/>
      <c r="C57" s="30" t="s">
        <v>18</v>
      </c>
      <c r="D57" s="4"/>
      <c r="E57" s="4"/>
      <c r="F57" s="4"/>
      <c r="G57" s="251">
        <f t="shared" si="0"/>
        <v>6.9</v>
      </c>
      <c r="H57" s="136">
        <f t="shared" si="1"/>
        <v>126.60550458715596</v>
      </c>
      <c r="I57" s="81" t="s">
        <v>1048</v>
      </c>
      <c r="J57" s="279">
        <v>1.7</v>
      </c>
      <c r="K57" s="263" t="s">
        <v>1049</v>
      </c>
      <c r="L57" s="283">
        <v>1</v>
      </c>
      <c r="M57" s="83" t="s">
        <v>1050</v>
      </c>
      <c r="N57" s="284">
        <v>4.2</v>
      </c>
      <c r="O57" s="81"/>
      <c r="P57" s="279"/>
      <c r="Q57" s="81"/>
      <c r="R57" s="279"/>
      <c r="S57" s="81"/>
      <c r="T57" s="279"/>
      <c r="U57" s="81"/>
      <c r="V57" s="279"/>
      <c r="W57" s="81"/>
      <c r="X57" s="279"/>
      <c r="Y57" s="81"/>
      <c r="Z57" s="279"/>
      <c r="AA57" s="81"/>
      <c r="AB57" s="279"/>
      <c r="AC57" s="81"/>
      <c r="AD57" s="279"/>
      <c r="AE57" s="81"/>
      <c r="AF57" s="279"/>
      <c r="AG57" s="81"/>
      <c r="AH57" s="279"/>
      <c r="AI57" s="81"/>
      <c r="AJ57" s="279"/>
      <c r="AK57" s="81"/>
      <c r="AL57" s="279"/>
      <c r="AM57" s="81"/>
      <c r="AN57" s="279"/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4"/>
      <c r="D58" s="4"/>
      <c r="E58" s="4"/>
      <c r="F58" s="4"/>
      <c r="G58" s="251">
        <f t="shared" si="0"/>
        <v>0</v>
      </c>
      <c r="H58" s="136">
        <f t="shared" si="1"/>
        <v>0</v>
      </c>
      <c r="I58" s="81"/>
      <c r="J58" s="279"/>
      <c r="K58" s="81"/>
      <c r="L58" s="279"/>
      <c r="M58" s="81"/>
      <c r="N58" s="279"/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0.3</v>
      </c>
      <c r="H59" s="136">
        <f t="shared" si="1"/>
        <v>5.5045871559633026</v>
      </c>
      <c r="I59" s="83" t="s">
        <v>1051</v>
      </c>
      <c r="J59" s="284">
        <v>0.3</v>
      </c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1</v>
      </c>
      <c r="H61" s="136">
        <f t="shared" si="1"/>
        <v>18.348623853211009</v>
      </c>
      <c r="I61" s="260" t="s">
        <v>1052</v>
      </c>
      <c r="J61" s="283">
        <v>1</v>
      </c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0</v>
      </c>
      <c r="H62" s="136">
        <f t="shared" si="1"/>
        <v>0</v>
      </c>
      <c r="I62" s="83"/>
      <c r="J62" s="284"/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1</v>
      </c>
      <c r="H63" s="136">
        <f t="shared" si="1"/>
        <v>18.348623853211009</v>
      </c>
      <c r="I63" s="260" t="s">
        <v>1053</v>
      </c>
      <c r="J63" s="283">
        <v>1</v>
      </c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3</v>
      </c>
      <c r="H64" s="136">
        <f t="shared" si="1"/>
        <v>55.045871559633028</v>
      </c>
      <c r="I64" s="81" t="s">
        <v>1054</v>
      </c>
      <c r="J64" s="279">
        <v>0.5</v>
      </c>
      <c r="K64" s="81" t="s">
        <v>1055</v>
      </c>
      <c r="L64" s="279">
        <v>2.5</v>
      </c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0</v>
      </c>
      <c r="H65" s="136">
        <f t="shared" si="1"/>
        <v>0</v>
      </c>
      <c r="I65" s="81"/>
      <c r="J65" s="279"/>
      <c r="K65" s="81"/>
      <c r="L65" s="279"/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1.5</v>
      </c>
      <c r="H66" s="136">
        <f t="shared" si="1"/>
        <v>27.522935779816514</v>
      </c>
      <c r="I66" s="87" t="s">
        <v>1056</v>
      </c>
      <c r="J66" s="281">
        <v>0.5</v>
      </c>
      <c r="K66" s="87" t="s">
        <v>1057</v>
      </c>
      <c r="L66" s="281">
        <v>1</v>
      </c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0</v>
      </c>
      <c r="H67" s="136">
        <f t="shared" si="1"/>
        <v>0</v>
      </c>
      <c r="I67" s="81"/>
      <c r="J67" s="279"/>
      <c r="K67" s="81"/>
      <c r="L67" s="279"/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9" t="s">
        <v>85</v>
      </c>
      <c r="B69" s="24" t="s">
        <v>17</v>
      </c>
      <c r="C69" s="4"/>
      <c r="D69" s="4"/>
      <c r="E69" s="4"/>
      <c r="F69" s="4"/>
      <c r="G69" s="251">
        <f t="shared" si="0"/>
        <v>15.5</v>
      </c>
      <c r="H69" s="136">
        <f t="shared" si="1"/>
        <v>284.40366972477062</v>
      </c>
      <c r="I69" s="81" t="s">
        <v>1058</v>
      </c>
      <c r="J69" s="279">
        <v>1</v>
      </c>
      <c r="K69" s="81" t="s">
        <v>1059</v>
      </c>
      <c r="L69" s="279">
        <v>1</v>
      </c>
      <c r="M69" s="260" t="s">
        <v>1060</v>
      </c>
      <c r="N69" s="283">
        <v>2</v>
      </c>
      <c r="O69" s="263" t="s">
        <v>1061</v>
      </c>
      <c r="P69" s="283">
        <v>2</v>
      </c>
      <c r="Q69" s="260" t="s">
        <v>1062</v>
      </c>
      <c r="R69" s="283">
        <v>2</v>
      </c>
      <c r="S69" s="263" t="s">
        <v>1063</v>
      </c>
      <c r="T69" s="283">
        <v>2</v>
      </c>
      <c r="U69" s="92" t="s">
        <v>1064</v>
      </c>
      <c r="V69" s="80">
        <v>1.1000000000000001</v>
      </c>
      <c r="W69" s="302" t="s">
        <v>1065</v>
      </c>
      <c r="X69" s="330">
        <v>2.2000000000000002</v>
      </c>
      <c r="Y69" s="302" t="s">
        <v>1066</v>
      </c>
      <c r="Z69" s="330">
        <v>2.2000000000000002</v>
      </c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1.5</v>
      </c>
      <c r="H70" s="136">
        <f t="shared" si="1"/>
        <v>27.522935779816514</v>
      </c>
      <c r="I70" s="81" t="s">
        <v>1067</v>
      </c>
      <c r="J70" s="279">
        <v>1.5</v>
      </c>
      <c r="K70" s="81"/>
      <c r="L70" s="279"/>
      <c r="M70" s="81"/>
      <c r="N70" s="279"/>
      <c r="O70" s="81"/>
      <c r="P70" s="279"/>
      <c r="Q70" s="81"/>
      <c r="R70" s="279"/>
      <c r="S70" s="81"/>
      <c r="T70" s="279"/>
      <c r="U70" s="81"/>
      <c r="V70" s="279"/>
      <c r="W70" s="81"/>
      <c r="X70" s="279"/>
      <c r="Y70" s="81"/>
      <c r="Z70" s="279"/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8" t="s">
        <v>87</v>
      </c>
      <c r="B71" s="96"/>
      <c r="C71" s="30" t="s">
        <v>18</v>
      </c>
      <c r="D71" s="30" t="s">
        <v>19</v>
      </c>
      <c r="E71" s="4"/>
      <c r="F71" s="30" t="s">
        <v>906</v>
      </c>
      <c r="G71" s="251">
        <f t="shared" si="0"/>
        <v>7.35</v>
      </c>
      <c r="H71" s="136">
        <f t="shared" si="1"/>
        <v>134.86238532110093</v>
      </c>
      <c r="I71" s="87"/>
      <c r="J71" s="281"/>
      <c r="K71" s="81" t="s">
        <v>1068</v>
      </c>
      <c r="L71" s="279">
        <v>0.65</v>
      </c>
      <c r="M71" s="81" t="s">
        <v>1069</v>
      </c>
      <c r="N71" s="279">
        <v>0.85</v>
      </c>
      <c r="O71" s="81" t="s">
        <v>1070</v>
      </c>
      <c r="P71" s="279">
        <v>0.35</v>
      </c>
      <c r="Q71" s="81" t="s">
        <v>1071</v>
      </c>
      <c r="R71" s="279">
        <v>1.1000000000000001</v>
      </c>
      <c r="S71" s="89" t="s">
        <v>1072</v>
      </c>
      <c r="T71" s="282">
        <v>0.4</v>
      </c>
      <c r="U71" s="87" t="s">
        <v>1002</v>
      </c>
      <c r="V71" s="281">
        <v>4</v>
      </c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4"/>
      <c r="D72" s="4"/>
      <c r="E72" s="4"/>
      <c r="F72" s="4"/>
      <c r="G72" s="251">
        <f t="shared" ref="G72" si="4">SUM(J72,L72,N72,P72,R72,T72,V72,X72,Z72,AB72,AD72,AF72,AH72,AJ72,AL72,AN72,AP72,AR72,AT72,AV72)</f>
        <v>7.35</v>
      </c>
      <c r="H72" s="136">
        <f t="shared" ref="H72" si="5">SUM(G72*1000)/54.5</f>
        <v>134.86238532110093</v>
      </c>
      <c r="I72" s="87"/>
      <c r="J72" s="281"/>
      <c r="K72" s="81" t="s">
        <v>1068</v>
      </c>
      <c r="L72" s="279">
        <v>0.65</v>
      </c>
      <c r="M72" s="81" t="s">
        <v>1069</v>
      </c>
      <c r="N72" s="279">
        <v>0.85</v>
      </c>
      <c r="O72" s="81" t="s">
        <v>1070</v>
      </c>
      <c r="P72" s="279">
        <v>0.35</v>
      </c>
      <c r="Q72" s="81" t="s">
        <v>1071</v>
      </c>
      <c r="R72" s="279">
        <v>1.1000000000000001</v>
      </c>
      <c r="S72" s="89" t="s">
        <v>1072</v>
      </c>
      <c r="T72" s="282">
        <v>0.4</v>
      </c>
      <c r="U72" s="87" t="s">
        <v>1002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7" t="s">
        <v>89</v>
      </c>
      <c r="B73" s="96"/>
      <c r="C73" s="96"/>
      <c r="D73" s="4"/>
      <c r="E73" s="30" t="s">
        <v>1032</v>
      </c>
      <c r="F73" s="4"/>
      <c r="G73" s="251">
        <f t="shared" ref="G73:G140" si="6">SUM(J73,L73,N73,P73,R73,T73,V73,X73,Z73,AB73,AD73,AF73,AH73,AJ73,AL73,AN73,AP73,AR73,AT73,AV73)</f>
        <v>6.85</v>
      </c>
      <c r="H73" s="136">
        <f t="shared" si="1"/>
        <v>125.68807339449542</v>
      </c>
      <c r="I73" s="81" t="s">
        <v>1073</v>
      </c>
      <c r="J73" s="279">
        <v>5.85</v>
      </c>
      <c r="K73" s="253" t="s">
        <v>1074</v>
      </c>
      <c r="L73" s="298">
        <v>1</v>
      </c>
      <c r="M73" s="105"/>
      <c r="N73" s="298"/>
      <c r="O73" s="81"/>
      <c r="P73" s="279"/>
      <c r="Q73" s="81"/>
      <c r="R73" s="279"/>
      <c r="S73" s="81"/>
      <c r="T73" s="279"/>
      <c r="U73" s="81"/>
      <c r="V73" s="279"/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4"/>
      <c r="F74" s="4"/>
      <c r="G74" s="251">
        <f t="shared" si="6"/>
        <v>6.85</v>
      </c>
      <c r="H74" s="136">
        <f t="shared" ref="H74:H141" si="7">SUM(G74*1000)/54.5</f>
        <v>125.68807339449542</v>
      </c>
      <c r="I74" s="81" t="s">
        <v>1073</v>
      </c>
      <c r="J74" s="279">
        <v>5.85</v>
      </c>
      <c r="K74" s="253" t="s">
        <v>1074</v>
      </c>
      <c r="L74" s="298">
        <v>1</v>
      </c>
      <c r="M74" s="105"/>
      <c r="N74" s="298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8" t="s">
        <v>91</v>
      </c>
      <c r="B75" s="96"/>
      <c r="C75" s="96"/>
      <c r="D75" s="4"/>
      <c r="E75" s="4"/>
      <c r="F75" s="30" t="s">
        <v>906</v>
      </c>
      <c r="G75" s="251">
        <f t="shared" si="6"/>
        <v>10.35</v>
      </c>
      <c r="H75" s="136">
        <f t="shared" si="7"/>
        <v>189.90825688073394</v>
      </c>
      <c r="I75" s="81" t="s">
        <v>1075</v>
      </c>
      <c r="J75" s="279">
        <v>2.25</v>
      </c>
      <c r="K75" s="81" t="s">
        <v>1076</v>
      </c>
      <c r="L75" s="279">
        <v>2.25</v>
      </c>
      <c r="M75" s="81" t="s">
        <v>1077</v>
      </c>
      <c r="N75" s="279">
        <v>2.25</v>
      </c>
      <c r="O75" s="260" t="s">
        <v>1078</v>
      </c>
      <c r="P75" s="283">
        <v>1</v>
      </c>
      <c r="Q75" s="300" t="s">
        <v>1079</v>
      </c>
      <c r="R75" s="330">
        <v>1.5</v>
      </c>
      <c r="S75" s="83" t="s">
        <v>1080</v>
      </c>
      <c r="T75" s="284">
        <v>1.1000000000000001</v>
      </c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/>
      <c r="G76" s="251">
        <f t="shared" si="6"/>
        <v>10.35</v>
      </c>
      <c r="H76" s="136">
        <f t="shared" si="7"/>
        <v>189.90825688073394</v>
      </c>
      <c r="I76" s="81" t="s">
        <v>1075</v>
      </c>
      <c r="J76" s="279">
        <v>2.25</v>
      </c>
      <c r="K76" s="81" t="s">
        <v>1076</v>
      </c>
      <c r="L76" s="279">
        <v>2.25</v>
      </c>
      <c r="M76" s="81" t="s">
        <v>1077</v>
      </c>
      <c r="N76" s="279">
        <v>2.25</v>
      </c>
      <c r="O76" s="260" t="s">
        <v>1078</v>
      </c>
      <c r="P76" s="283">
        <v>1</v>
      </c>
      <c r="Q76" s="300" t="s">
        <v>1079</v>
      </c>
      <c r="R76" s="330">
        <v>1.5</v>
      </c>
      <c r="S76" s="83" t="s">
        <v>1080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5" t="s">
        <v>93</v>
      </c>
      <c r="B77" s="96"/>
      <c r="C77" s="4"/>
      <c r="D77" s="4"/>
      <c r="E77" s="4"/>
      <c r="F77" s="4"/>
      <c r="G77" s="251">
        <f t="shared" si="6"/>
        <v>0</v>
      </c>
      <c r="H77" s="136">
        <f t="shared" si="7"/>
        <v>0</v>
      </c>
      <c r="I77" s="81"/>
      <c r="J77" s="279"/>
      <c r="K77" s="81"/>
      <c r="L77" s="279"/>
      <c r="M77" s="81"/>
      <c r="N77" s="279"/>
      <c r="O77" s="81"/>
      <c r="P77" s="279"/>
      <c r="Q77" s="81"/>
      <c r="R77" s="279"/>
      <c r="S77" s="81"/>
      <c r="T77" s="279"/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1</v>
      </c>
      <c r="H78" s="136">
        <f t="shared" si="7"/>
        <v>18.348623853211009</v>
      </c>
      <c r="I78" s="87" t="s">
        <v>1081</v>
      </c>
      <c r="J78" s="281">
        <v>1</v>
      </c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7" t="s">
        <v>95</v>
      </c>
      <c r="B79" s="96"/>
      <c r="C79" s="4"/>
      <c r="D79" s="4"/>
      <c r="E79" s="30" t="s">
        <v>1032</v>
      </c>
      <c r="F79" s="4"/>
      <c r="G79" s="251">
        <f t="shared" si="6"/>
        <v>6.85</v>
      </c>
      <c r="H79" s="136">
        <f t="shared" si="7"/>
        <v>125.68807339449542</v>
      </c>
      <c r="I79" s="81" t="s">
        <v>1082</v>
      </c>
      <c r="J79" s="279">
        <v>5.85</v>
      </c>
      <c r="K79" s="253" t="s">
        <v>1083</v>
      </c>
      <c r="L79" s="299">
        <v>1</v>
      </c>
      <c r="M79" s="253"/>
      <c r="N79" s="29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4"/>
      <c r="F80" s="4"/>
      <c r="G80" s="251">
        <f t="shared" si="6"/>
        <v>6.85</v>
      </c>
      <c r="H80" s="136">
        <f t="shared" si="7"/>
        <v>125.68807339449542</v>
      </c>
      <c r="I80" s="81" t="s">
        <v>1082</v>
      </c>
      <c r="J80" s="279">
        <v>5.85</v>
      </c>
      <c r="K80" s="253" t="s">
        <v>1083</v>
      </c>
      <c r="L80" s="299">
        <v>1</v>
      </c>
      <c r="M80" s="253"/>
      <c r="N80" s="299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5" t="s">
        <v>97</v>
      </c>
      <c r="B81" s="96"/>
      <c r="C81" s="4"/>
      <c r="D81" s="4"/>
      <c r="E81" s="4"/>
      <c r="F81" s="4"/>
      <c r="G81" s="251">
        <f t="shared" si="6"/>
        <v>0</v>
      </c>
      <c r="H81" s="136">
        <f t="shared" si="7"/>
        <v>0</v>
      </c>
      <c r="I81" s="81"/>
      <c r="J81" s="279"/>
      <c r="K81" s="81"/>
      <c r="L81" s="279"/>
      <c r="M81" s="81"/>
      <c r="N81" s="279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30" t="s">
        <v>18</v>
      </c>
      <c r="D82" s="4"/>
      <c r="E82" s="4"/>
      <c r="F82" s="4"/>
      <c r="G82" s="251">
        <f t="shared" si="6"/>
        <v>4</v>
      </c>
      <c r="H82" s="136">
        <f t="shared" si="7"/>
        <v>73.394495412844037</v>
      </c>
      <c r="I82" s="81" t="s">
        <v>1084</v>
      </c>
      <c r="J82" s="279">
        <v>3</v>
      </c>
      <c r="K82" s="263" t="s">
        <v>1085</v>
      </c>
      <c r="L82" s="283">
        <v>1</v>
      </c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4"/>
      <c r="D83" s="4"/>
      <c r="E83" s="4"/>
      <c r="F83" s="4"/>
      <c r="G83" s="251">
        <f t="shared" si="6"/>
        <v>3</v>
      </c>
      <c r="H83" s="136">
        <f t="shared" si="7"/>
        <v>55.045871559633028</v>
      </c>
      <c r="I83" s="81" t="s">
        <v>1086</v>
      </c>
      <c r="J83" s="279">
        <v>2</v>
      </c>
      <c r="K83" s="260" t="s">
        <v>1087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1</v>
      </c>
      <c r="H84" s="136">
        <f t="shared" si="7"/>
        <v>18.348623853211009</v>
      </c>
      <c r="I84" s="81"/>
      <c r="J84" s="279"/>
      <c r="K84" s="260" t="s">
        <v>1088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4.9000000000000004</v>
      </c>
      <c r="H85" s="136">
        <f t="shared" si="7"/>
        <v>89.908256880733944</v>
      </c>
      <c r="I85" s="83"/>
      <c r="J85" s="284">
        <v>4.4000000000000004</v>
      </c>
      <c r="K85" s="83" t="s">
        <v>1089</v>
      </c>
      <c r="L85" s="284">
        <v>0.5</v>
      </c>
      <c r="M85" s="83"/>
      <c r="N85" s="284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9" t="s">
        <v>102</v>
      </c>
      <c r="B86" s="96"/>
      <c r="C86" s="4"/>
      <c r="D86" s="4"/>
      <c r="E86" s="4"/>
      <c r="F86" s="4"/>
      <c r="G86" s="251">
        <f t="shared" si="6"/>
        <v>1</v>
      </c>
      <c r="H86" s="136">
        <f t="shared" si="7"/>
        <v>18.348623853211009</v>
      </c>
      <c r="I86" s="87"/>
      <c r="J86" s="281"/>
      <c r="K86" s="87" t="s">
        <v>1090</v>
      </c>
      <c r="L86" s="281">
        <v>1</v>
      </c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0</v>
      </c>
      <c r="H87" s="136">
        <f t="shared" si="7"/>
        <v>0</v>
      </c>
      <c r="I87" s="87"/>
      <c r="J87" s="281"/>
      <c r="K87" s="81"/>
      <c r="L87" s="279"/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5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 t="s">
        <v>1091</v>
      </c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30" t="s">
        <v>18</v>
      </c>
      <c r="D90" s="4"/>
      <c r="E90" s="4"/>
      <c r="F90" s="4"/>
      <c r="G90" s="251">
        <f t="shared" si="6"/>
        <v>7.4</v>
      </c>
      <c r="H90" s="136">
        <f t="shared" si="7"/>
        <v>135.77981651376146</v>
      </c>
      <c r="I90" s="87" t="s">
        <v>1092</v>
      </c>
      <c r="J90" s="281">
        <v>2.4</v>
      </c>
      <c r="K90" s="263" t="s">
        <v>1093</v>
      </c>
      <c r="L90" s="283">
        <v>2</v>
      </c>
      <c r="M90" s="260" t="s">
        <v>1094</v>
      </c>
      <c r="N90" s="283">
        <v>2</v>
      </c>
      <c r="O90" s="101" t="s">
        <v>1095</v>
      </c>
      <c r="P90" s="289">
        <v>1</v>
      </c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4"/>
      <c r="D91" s="4"/>
      <c r="E91" s="4"/>
      <c r="F91" s="4"/>
      <c r="G91" s="251">
        <f t="shared" si="6"/>
        <v>0</v>
      </c>
      <c r="H91" s="136">
        <f t="shared" si="7"/>
        <v>0</v>
      </c>
      <c r="I91" s="87"/>
      <c r="J91" s="281"/>
      <c r="K91" s="81"/>
      <c r="L91" s="279"/>
      <c r="M91" s="81"/>
      <c r="N91" s="279"/>
      <c r="O91" s="81"/>
      <c r="P91" s="279"/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104"/>
      <c r="L92" s="286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30" t="s">
        <v>18</v>
      </c>
      <c r="D93" s="4"/>
      <c r="E93" s="4"/>
      <c r="F93" s="4"/>
      <c r="G93" s="251">
        <f t="shared" si="6"/>
        <v>2.7</v>
      </c>
      <c r="H93" s="136">
        <f t="shared" si="7"/>
        <v>49.541284403669728</v>
      </c>
      <c r="I93" s="81" t="s">
        <v>1096</v>
      </c>
      <c r="J93" s="279">
        <v>1.7</v>
      </c>
      <c r="K93" s="83" t="s">
        <v>1097</v>
      </c>
      <c r="L93" s="284">
        <v>1</v>
      </c>
      <c r="M93" s="83"/>
      <c r="N93" s="284"/>
      <c r="O93" s="87"/>
      <c r="P93" s="281"/>
      <c r="Q93" s="83"/>
      <c r="R93" s="284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4"/>
      <c r="D94" s="4"/>
      <c r="E94" s="4"/>
      <c r="F94" s="4"/>
      <c r="G94" s="251">
        <f t="shared" si="6"/>
        <v>0</v>
      </c>
      <c r="H94" s="136">
        <f t="shared" si="7"/>
        <v>0</v>
      </c>
      <c r="I94" s="81"/>
      <c r="J94" s="279"/>
      <c r="K94" s="81"/>
      <c r="L94" s="279"/>
      <c r="M94" s="81"/>
      <c r="N94" s="279"/>
      <c r="O94" s="81"/>
      <c r="P94" s="279"/>
      <c r="Q94" s="81"/>
      <c r="R94" s="279"/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0.5</v>
      </c>
      <c r="H95" s="136">
        <f t="shared" si="7"/>
        <v>9.1743119266055047</v>
      </c>
      <c r="I95" s="81" t="s">
        <v>1098</v>
      </c>
      <c r="J95" s="279">
        <v>0.5</v>
      </c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</v>
      </c>
      <c r="H96" s="136">
        <f t="shared" si="7"/>
        <v>0</v>
      </c>
      <c r="I96" s="81"/>
      <c r="J96" s="279"/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4</v>
      </c>
      <c r="H98" s="136">
        <f t="shared" si="7"/>
        <v>73.394495412844037</v>
      </c>
      <c r="I98" s="85" t="s">
        <v>1099</v>
      </c>
      <c r="J98" s="280">
        <v>4</v>
      </c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1</v>
      </c>
      <c r="H99" s="136">
        <f t="shared" si="7"/>
        <v>18.348623853211009</v>
      </c>
      <c r="I99" s="87" t="s">
        <v>1100</v>
      </c>
      <c r="J99" s="281">
        <v>1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0</v>
      </c>
      <c r="H100" s="136">
        <f t="shared" si="7"/>
        <v>0</v>
      </c>
      <c r="I100" s="87"/>
      <c r="J100" s="281"/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84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 ht="13.5" customHeight="1">
      <c r="A101" s="38" t="s">
        <v>117</v>
      </c>
      <c r="B101" s="96"/>
      <c r="C101" s="30" t="s">
        <v>18</v>
      </c>
      <c r="D101" s="30" t="s">
        <v>19</v>
      </c>
      <c r="E101" s="4"/>
      <c r="F101" s="30" t="s">
        <v>906</v>
      </c>
      <c r="G101" s="251">
        <f>SUM(J101,L101,N101,P101,R101,T101,V101,X101,Z101,AB101,AD101,AF101,AH101,AJ101,AL101,AN101,AP101,AR101,AT101,AV101)</f>
        <v>22.45</v>
      </c>
      <c r="H101" s="136">
        <f t="shared" si="7"/>
        <v>411.92660550458714</v>
      </c>
      <c r="I101" s="87" t="s">
        <v>1101</v>
      </c>
      <c r="J101" s="281">
        <v>1</v>
      </c>
      <c r="K101" s="81" t="s">
        <v>1102</v>
      </c>
      <c r="L101" s="279">
        <v>0.5</v>
      </c>
      <c r="M101" s="81" t="s">
        <v>1103</v>
      </c>
      <c r="N101" s="279">
        <v>1.25</v>
      </c>
      <c r="O101" s="81" t="s">
        <v>1104</v>
      </c>
      <c r="P101" s="279">
        <v>1.45</v>
      </c>
      <c r="Q101" s="260" t="s">
        <v>1087</v>
      </c>
      <c r="R101" s="283">
        <v>0.3</v>
      </c>
      <c r="S101" s="260" t="s">
        <v>1105</v>
      </c>
      <c r="T101" s="283">
        <v>1.8</v>
      </c>
      <c r="U101" s="260" t="s">
        <v>1106</v>
      </c>
      <c r="V101" s="279">
        <v>1.7</v>
      </c>
      <c r="W101" s="83" t="s">
        <v>1107</v>
      </c>
      <c r="X101" s="284"/>
      <c r="Y101" s="83" t="s">
        <v>1108</v>
      </c>
      <c r="Z101" s="284">
        <v>3.25</v>
      </c>
      <c r="AA101" s="85" t="s">
        <v>1109</v>
      </c>
      <c r="AB101" s="280">
        <v>2.75</v>
      </c>
      <c r="AC101" s="85" t="s">
        <v>1110</v>
      </c>
      <c r="AD101" s="280">
        <v>2.75</v>
      </c>
      <c r="AE101" s="85" t="s">
        <v>1111</v>
      </c>
      <c r="AF101" s="280">
        <v>0.7</v>
      </c>
      <c r="AG101" s="85" t="s">
        <v>1112</v>
      </c>
      <c r="AH101" s="280">
        <v>2</v>
      </c>
      <c r="AI101" s="85" t="s">
        <v>1113</v>
      </c>
      <c r="AJ101" s="280">
        <v>2</v>
      </c>
      <c r="AK101" s="85" t="s">
        <v>1114</v>
      </c>
      <c r="AL101" s="280">
        <v>1</v>
      </c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>
      <c r="A102" s="38" t="s">
        <v>118</v>
      </c>
      <c r="B102" s="96"/>
      <c r="C102" s="4"/>
      <c r="D102" s="4"/>
      <c r="E102" s="4"/>
      <c r="F102" s="4"/>
      <c r="G102" s="251">
        <f>SUM(J102,L102,N102,P102,R102,T102,V102,X102,Z102,AB102,AD102,AF102,AH102,AJ102,AL102,AN102,AP102,AR102,AT102,AV102)</f>
        <v>23.05</v>
      </c>
      <c r="H102" s="136">
        <f t="shared" si="7"/>
        <v>422.93577981651379</v>
      </c>
      <c r="I102" s="87" t="s">
        <v>1101</v>
      </c>
      <c r="J102" s="281">
        <v>1</v>
      </c>
      <c r="K102" s="81" t="s">
        <v>1102</v>
      </c>
      <c r="L102" s="279">
        <v>0.5</v>
      </c>
      <c r="M102" s="81" t="s">
        <v>1103</v>
      </c>
      <c r="N102" s="279">
        <v>1.25</v>
      </c>
      <c r="O102" s="81" t="s">
        <v>1104</v>
      </c>
      <c r="P102" s="279">
        <v>1.45</v>
      </c>
      <c r="Q102" s="260" t="s">
        <v>1087</v>
      </c>
      <c r="R102" s="283">
        <v>0.3</v>
      </c>
      <c r="S102" s="263" t="s">
        <v>1105</v>
      </c>
      <c r="T102" s="283">
        <v>1.8</v>
      </c>
      <c r="U102" s="260" t="s">
        <v>1106</v>
      </c>
      <c r="V102" s="279">
        <v>1.8</v>
      </c>
      <c r="W102" s="83" t="s">
        <v>1107</v>
      </c>
      <c r="X102" s="284"/>
      <c r="Y102" s="83" t="s">
        <v>1108</v>
      </c>
      <c r="Z102" s="284">
        <v>3.25</v>
      </c>
      <c r="AA102" s="85" t="s">
        <v>1109</v>
      </c>
      <c r="AB102" s="280">
        <v>2.75</v>
      </c>
      <c r="AC102" s="85" t="s">
        <v>1110</v>
      </c>
      <c r="AD102" s="280">
        <v>2.75</v>
      </c>
      <c r="AE102" s="85" t="s">
        <v>1111</v>
      </c>
      <c r="AF102" s="280">
        <v>1.2</v>
      </c>
      <c r="AG102" s="85" t="s">
        <v>1112</v>
      </c>
      <c r="AH102" s="280">
        <v>2</v>
      </c>
      <c r="AI102" s="85" t="s">
        <v>1113</v>
      </c>
      <c r="AJ102" s="280">
        <v>2</v>
      </c>
      <c r="AK102" s="85" t="s">
        <v>1114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7" t="s">
        <v>119</v>
      </c>
      <c r="B103" s="45" t="s">
        <v>17</v>
      </c>
      <c r="C103" s="4"/>
      <c r="D103" s="4"/>
      <c r="E103" s="4"/>
      <c r="F103" s="4"/>
      <c r="G103" s="251">
        <f t="shared" si="6"/>
        <v>7.7515000000000001</v>
      </c>
      <c r="H103" s="136">
        <f t="shared" si="7"/>
        <v>142.22935779816513</v>
      </c>
      <c r="I103" s="87" t="s">
        <v>1115</v>
      </c>
      <c r="J103" s="281">
        <v>1</v>
      </c>
      <c r="K103" s="81" t="s">
        <v>1116</v>
      </c>
      <c r="L103" s="279">
        <v>2.2999999999999998</v>
      </c>
      <c r="M103" s="87" t="s">
        <v>1008</v>
      </c>
      <c r="N103" s="281">
        <v>0.9</v>
      </c>
      <c r="O103" s="87" t="s">
        <v>1117</v>
      </c>
      <c r="P103" s="281">
        <v>1.5</v>
      </c>
      <c r="Q103" s="263" t="s">
        <v>1118</v>
      </c>
      <c r="R103" s="283">
        <v>1</v>
      </c>
      <c r="S103" s="87" t="s">
        <v>1119</v>
      </c>
      <c r="T103" s="281">
        <v>0.30149999999999999</v>
      </c>
      <c r="U103" s="87" t="s">
        <v>1041</v>
      </c>
      <c r="V103" s="281">
        <v>0.25</v>
      </c>
      <c r="W103" s="81" t="s">
        <v>1120</v>
      </c>
      <c r="X103" s="279">
        <v>0.5</v>
      </c>
      <c r="Y103" s="81"/>
      <c r="Z103" s="279"/>
      <c r="AA103" s="81"/>
      <c r="AB103" s="279"/>
      <c r="AC103" s="81"/>
      <c r="AD103" s="279"/>
      <c r="AE103" s="81"/>
      <c r="AF103" s="279"/>
      <c r="AG103" s="81"/>
      <c r="AH103" s="279"/>
      <c r="AI103" s="81"/>
      <c r="AJ103" s="279"/>
      <c r="AK103" s="81"/>
      <c r="AL103" s="279"/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"/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1121</v>
      </c>
      <c r="J104" s="281">
        <v>1</v>
      </c>
      <c r="K104" s="81" t="s">
        <v>1116</v>
      </c>
      <c r="L104" s="279">
        <v>2.2999999999999998</v>
      </c>
      <c r="M104" s="87" t="s">
        <v>1008</v>
      </c>
      <c r="N104" s="281">
        <v>0.9</v>
      </c>
      <c r="O104" s="87" t="s">
        <v>1117</v>
      </c>
      <c r="P104" s="281">
        <v>1.5</v>
      </c>
      <c r="Q104" s="263" t="s">
        <v>1118</v>
      </c>
      <c r="R104" s="283">
        <v>1</v>
      </c>
      <c r="S104" s="87" t="s">
        <v>1119</v>
      </c>
      <c r="T104" s="281">
        <v>0.30149999999999999</v>
      </c>
      <c r="U104" s="87" t="s">
        <v>1041</v>
      </c>
      <c r="V104" s="281">
        <v>0.25</v>
      </c>
      <c r="W104" s="81" t="s">
        <v>1120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5" t="s">
        <v>121</v>
      </c>
      <c r="B105" s="96"/>
      <c r="C105" s="4"/>
      <c r="D105" s="4"/>
      <c r="E105" s="4"/>
      <c r="F105" s="4"/>
      <c r="G105" s="251">
        <f t="shared" si="6"/>
        <v>1</v>
      </c>
      <c r="H105" s="136">
        <f t="shared" si="7"/>
        <v>18.348623853211009</v>
      </c>
      <c r="I105" s="87" t="s">
        <v>1122</v>
      </c>
      <c r="J105" s="281">
        <v>1</v>
      </c>
      <c r="K105" s="81"/>
      <c r="L105" s="279"/>
      <c r="M105" s="81"/>
      <c r="N105" s="279"/>
      <c r="O105" s="81"/>
      <c r="P105" s="279"/>
      <c r="Q105" s="81"/>
      <c r="R105" s="279"/>
      <c r="S105" s="81"/>
      <c r="T105" s="279"/>
      <c r="U105" s="81"/>
      <c r="V105" s="279"/>
      <c r="W105" s="81"/>
      <c r="X105" s="279"/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1123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3</v>
      </c>
      <c r="H107" s="136">
        <f t="shared" si="7"/>
        <v>55.045871559633028</v>
      </c>
      <c r="I107" s="85" t="s">
        <v>1124</v>
      </c>
      <c r="J107" s="280">
        <v>2</v>
      </c>
      <c r="K107" s="81" t="s">
        <v>1125</v>
      </c>
      <c r="L107" s="279">
        <v>1</v>
      </c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8" t="s">
        <v>124</v>
      </c>
      <c r="B108" s="96"/>
      <c r="C108" s="4"/>
      <c r="D108" s="4"/>
      <c r="E108" s="30" t="s">
        <v>1032</v>
      </c>
      <c r="F108" s="4"/>
      <c r="G108" s="251">
        <f t="shared" ref="G108:G109" si="8">SUM(J108,L108,N108,P108,R108,T108,V108,X108,Z108,AB108,AD108,AF108,AH108,AJ108,AL108,AN108,AP108,AR108,AT108,AV108)</f>
        <v>5.8</v>
      </c>
      <c r="H108" s="136">
        <f t="shared" ref="H108:H109" si="9">SUM(G108*1000)/54.5</f>
        <v>106.42201834862385</v>
      </c>
      <c r="I108" s="81" t="s">
        <v>1126</v>
      </c>
      <c r="J108" s="279">
        <v>5.8</v>
      </c>
      <c r="K108" s="81"/>
      <c r="L108" s="279"/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4"/>
      <c r="F109" s="4"/>
      <c r="G109" s="251">
        <f t="shared" si="8"/>
        <v>5.8</v>
      </c>
      <c r="H109" s="136">
        <f t="shared" si="9"/>
        <v>106.42201834862385</v>
      </c>
      <c r="I109" s="81" t="s">
        <v>1126</v>
      </c>
      <c r="J109" s="279">
        <v>5.8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5" t="s">
        <v>126</v>
      </c>
      <c r="B110" s="96"/>
      <c r="C110" s="4"/>
      <c r="D110" s="4"/>
      <c r="E110" s="4"/>
      <c r="F110" s="4"/>
      <c r="G110" s="251">
        <f t="shared" si="6"/>
        <v>0</v>
      </c>
      <c r="H110" s="136">
        <f t="shared" si="7"/>
        <v>0</v>
      </c>
      <c r="I110" s="81"/>
      <c r="J110" s="279"/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7" t="s">
        <v>129</v>
      </c>
      <c r="B113" s="96"/>
      <c r="C113" s="4"/>
      <c r="D113" s="4"/>
      <c r="E113" s="30" t="s">
        <v>1032</v>
      </c>
      <c r="F113" s="4"/>
      <c r="G113" s="251">
        <f t="shared" si="6"/>
        <v>6.3</v>
      </c>
      <c r="H113" s="136">
        <f t="shared" si="7"/>
        <v>115.59633027522936</v>
      </c>
      <c r="I113" s="81" t="s">
        <v>1127</v>
      </c>
      <c r="J113" s="279">
        <v>5.8</v>
      </c>
      <c r="K113" s="89" t="s">
        <v>1128</v>
      </c>
      <c r="L113" s="282">
        <v>0.5</v>
      </c>
      <c r="M113" s="81"/>
      <c r="N113" s="279"/>
      <c r="O113" s="81" t="s">
        <v>1091</v>
      </c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4"/>
      <c r="F114" s="4"/>
      <c r="G114" s="251">
        <f t="shared" si="6"/>
        <v>6.3</v>
      </c>
      <c r="H114" s="136">
        <f t="shared" si="7"/>
        <v>115.59633027522936</v>
      </c>
      <c r="I114" s="81" t="s">
        <v>1127</v>
      </c>
      <c r="J114" s="279">
        <v>5.8</v>
      </c>
      <c r="K114" s="89" t="s">
        <v>1128</v>
      </c>
      <c r="L114" s="282">
        <v>0.5</v>
      </c>
      <c r="M114" s="81"/>
      <c r="N114" s="279"/>
      <c r="O114" s="81"/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5" t="s">
        <v>131</v>
      </c>
      <c r="B115" s="96"/>
      <c r="C115" s="30" t="s">
        <v>18</v>
      </c>
      <c r="D115" s="4"/>
      <c r="E115" s="4"/>
      <c r="F115" s="4"/>
      <c r="G115" s="251">
        <f t="shared" si="6"/>
        <v>3.9</v>
      </c>
      <c r="H115" s="136">
        <f t="shared" si="7"/>
        <v>71.559633027522935</v>
      </c>
      <c r="I115" s="87" t="s">
        <v>1129</v>
      </c>
      <c r="J115" s="281">
        <v>2.4</v>
      </c>
      <c r="K115" s="87" t="s">
        <v>1130</v>
      </c>
      <c r="L115" s="281">
        <v>1</v>
      </c>
      <c r="M115" s="83" t="s">
        <v>1131</v>
      </c>
      <c r="N115" s="284">
        <v>0.5</v>
      </c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257" t="s">
        <v>132</v>
      </c>
      <c r="B116" s="96"/>
      <c r="C116" s="30" t="s">
        <v>18</v>
      </c>
      <c r="D116" s="4"/>
      <c r="E116" s="4"/>
      <c r="F116" s="4"/>
      <c r="G116" s="251">
        <f t="shared" si="6"/>
        <v>6.8999999999999995</v>
      </c>
      <c r="H116" s="136">
        <f t="shared" si="7"/>
        <v>126.60550458715595</v>
      </c>
      <c r="I116" s="81" t="s">
        <v>1132</v>
      </c>
      <c r="J116" s="279">
        <v>2.15</v>
      </c>
      <c r="K116" s="81" t="s">
        <v>1133</v>
      </c>
      <c r="L116" s="279">
        <v>2.35</v>
      </c>
      <c r="M116" s="81" t="s">
        <v>1134</v>
      </c>
      <c r="N116" s="279">
        <v>1.3</v>
      </c>
      <c r="O116" s="263" t="s">
        <v>1135</v>
      </c>
      <c r="P116" s="291">
        <v>0.8</v>
      </c>
      <c r="Q116" s="308" t="s">
        <v>1136</v>
      </c>
      <c r="R116" s="316">
        <v>0.3</v>
      </c>
      <c r="S116" s="83"/>
      <c r="T116" s="284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/>
      <c r="D117" s="4"/>
      <c r="E117" s="4"/>
      <c r="F117" s="4"/>
      <c r="G117" s="251">
        <f t="shared" ref="G117" si="10">SUM(J117,L117,N117,P117,R117,T117,V117,X117,Z117,AB117,AD117,AF117,AH117,AJ117,AL117,AN117,AP117,AR117,AT117,AV117)</f>
        <v>6.8999999999999995</v>
      </c>
      <c r="H117" s="136">
        <f t="shared" ref="H117" si="11">SUM(G117*1000)/54.5</f>
        <v>126.60550458715595</v>
      </c>
      <c r="I117" s="81" t="s">
        <v>1132</v>
      </c>
      <c r="J117" s="279">
        <v>2.15</v>
      </c>
      <c r="K117" s="81" t="s">
        <v>1133</v>
      </c>
      <c r="L117" s="279">
        <v>2.35</v>
      </c>
      <c r="M117" s="81" t="s">
        <v>1134</v>
      </c>
      <c r="N117" s="279">
        <v>1.3</v>
      </c>
      <c r="O117" s="263" t="s">
        <v>1135</v>
      </c>
      <c r="P117" s="291">
        <v>0.8</v>
      </c>
      <c r="Q117" s="308" t="s">
        <v>1136</v>
      </c>
      <c r="R117" s="316">
        <v>0.3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37" t="s">
        <v>134</v>
      </c>
      <c r="B118" s="24" t="s">
        <v>17</v>
      </c>
      <c r="C118" s="30" t="s">
        <v>18</v>
      </c>
      <c r="D118" s="30" t="s">
        <v>19</v>
      </c>
      <c r="E118" s="4"/>
      <c r="F118" s="30" t="s">
        <v>906</v>
      </c>
      <c r="G118" s="251">
        <f t="shared" si="6"/>
        <v>12.099999999999998</v>
      </c>
      <c r="H118" s="136">
        <f t="shared" si="7"/>
        <v>222.01834862385317</v>
      </c>
      <c r="I118" s="81" t="s">
        <v>1137</v>
      </c>
      <c r="J118" s="279">
        <v>0.75</v>
      </c>
      <c r="K118" s="89" t="s">
        <v>1138</v>
      </c>
      <c r="L118" s="282">
        <v>1.1000000000000001</v>
      </c>
      <c r="M118" s="81" t="s">
        <v>1139</v>
      </c>
      <c r="N118" s="282">
        <v>1.45</v>
      </c>
      <c r="O118" s="87" t="s">
        <v>1140</v>
      </c>
      <c r="P118" s="281">
        <v>1.05</v>
      </c>
      <c r="Q118" s="260" t="s">
        <v>1141</v>
      </c>
      <c r="R118" s="283">
        <v>0.9</v>
      </c>
      <c r="S118" s="260" t="s">
        <v>1142</v>
      </c>
      <c r="T118" s="283">
        <v>0.75</v>
      </c>
      <c r="U118" s="105" t="s">
        <v>1143</v>
      </c>
      <c r="V118" s="290">
        <v>1.25</v>
      </c>
      <c r="W118" s="92" t="s">
        <v>1144</v>
      </c>
      <c r="X118" s="290">
        <v>0.6</v>
      </c>
      <c r="Y118" s="89" t="s">
        <v>1145</v>
      </c>
      <c r="Z118" s="282">
        <v>2.0499999999999998</v>
      </c>
      <c r="AA118" s="89" t="s">
        <v>1146</v>
      </c>
      <c r="AB118" s="282">
        <v>2.2000000000000002</v>
      </c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4"/>
      <c r="C119" s="4"/>
      <c r="D119" s="4"/>
      <c r="E119" s="4"/>
      <c r="F119" s="4"/>
      <c r="G119" s="251">
        <f t="shared" si="6"/>
        <v>12.099999999999998</v>
      </c>
      <c r="H119" s="136">
        <f t="shared" si="7"/>
        <v>222.01834862385317</v>
      </c>
      <c r="I119" s="81" t="s">
        <v>1137</v>
      </c>
      <c r="J119" s="279">
        <v>0.75</v>
      </c>
      <c r="K119" s="89" t="s">
        <v>1138</v>
      </c>
      <c r="L119" s="282">
        <v>1.1000000000000001</v>
      </c>
      <c r="M119" s="81" t="s">
        <v>1139</v>
      </c>
      <c r="N119" s="282">
        <v>1.45</v>
      </c>
      <c r="O119" s="87" t="s">
        <v>1140</v>
      </c>
      <c r="P119" s="281">
        <v>1.05</v>
      </c>
      <c r="Q119" s="260" t="s">
        <v>1141</v>
      </c>
      <c r="R119" s="283">
        <v>0.9</v>
      </c>
      <c r="S119" s="260" t="s">
        <v>1147</v>
      </c>
      <c r="T119" s="283">
        <v>0.75</v>
      </c>
      <c r="U119" s="105" t="s">
        <v>1143</v>
      </c>
      <c r="V119" s="290">
        <v>1.25</v>
      </c>
      <c r="W119" s="92" t="s">
        <v>1144</v>
      </c>
      <c r="X119" s="290">
        <v>0.6</v>
      </c>
      <c r="Y119" s="89" t="s">
        <v>1145</v>
      </c>
      <c r="Z119" s="282">
        <v>2.0499999999999998</v>
      </c>
      <c r="AA119" s="89" t="s">
        <v>1146</v>
      </c>
      <c r="AB119" s="282">
        <v>2.2000000000000002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5" t="s">
        <v>136</v>
      </c>
      <c r="B120" s="96"/>
      <c r="C120" s="30" t="s">
        <v>18</v>
      </c>
      <c r="D120" s="4"/>
      <c r="E120" s="4"/>
      <c r="F120" s="4"/>
      <c r="G120" s="251">
        <f t="shared" si="6"/>
        <v>4.4000000000000004</v>
      </c>
      <c r="H120" s="136">
        <f t="shared" si="7"/>
        <v>80.733944954128447</v>
      </c>
      <c r="I120" s="81" t="s">
        <v>1148</v>
      </c>
      <c r="J120" s="279">
        <v>2.4</v>
      </c>
      <c r="K120" s="263" t="s">
        <v>1149</v>
      </c>
      <c r="L120" s="283">
        <v>2</v>
      </c>
      <c r="M120" s="87"/>
      <c r="N120" s="281"/>
      <c r="O120" s="81"/>
      <c r="P120" s="279"/>
      <c r="Q120" s="81"/>
      <c r="R120" s="279"/>
      <c r="S120" s="81"/>
      <c r="T120" s="279"/>
      <c r="U120" s="81"/>
      <c r="V120" s="279"/>
      <c r="W120" s="81"/>
      <c r="X120" s="279"/>
      <c r="Y120" s="81"/>
      <c r="Z120" s="279"/>
      <c r="AA120" s="81"/>
      <c r="AB120" s="279"/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4"/>
      <c r="D121" s="4"/>
      <c r="E121" s="4"/>
      <c r="F121" s="4"/>
      <c r="G121" s="251">
        <f t="shared" si="6"/>
        <v>3</v>
      </c>
      <c r="H121" s="136">
        <f t="shared" si="7"/>
        <v>55.045871559633028</v>
      </c>
      <c r="I121" s="260" t="s">
        <v>1150</v>
      </c>
      <c r="J121" s="283">
        <v>2</v>
      </c>
      <c r="K121" s="83" t="s">
        <v>1151</v>
      </c>
      <c r="L121" s="284">
        <v>1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2.7</v>
      </c>
      <c r="H122" s="136">
        <f t="shared" si="7"/>
        <v>49.541284403669728</v>
      </c>
      <c r="I122" s="87" t="s">
        <v>1152</v>
      </c>
      <c r="J122" s="281">
        <v>0.5</v>
      </c>
      <c r="K122" s="81" t="s">
        <v>1153</v>
      </c>
      <c r="L122" s="279">
        <v>2.2000000000000002</v>
      </c>
      <c r="M122" s="81"/>
      <c r="N122" s="279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0.5</v>
      </c>
      <c r="H123" s="136">
        <f t="shared" si="7"/>
        <v>9.1743119266055047</v>
      </c>
      <c r="I123" s="87" t="s">
        <v>1154</v>
      </c>
      <c r="J123" s="281">
        <v>0.5</v>
      </c>
      <c r="K123" s="81"/>
      <c r="L123" s="279"/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2</v>
      </c>
      <c r="H124" s="136">
        <f t="shared" si="7"/>
        <v>36.697247706422019</v>
      </c>
      <c r="I124" s="87" t="s">
        <v>1155</v>
      </c>
      <c r="J124" s="281">
        <v>1</v>
      </c>
      <c r="K124" s="83" t="s">
        <v>1156</v>
      </c>
      <c r="L124" s="284">
        <v>1</v>
      </c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0</v>
      </c>
      <c r="H125" s="136">
        <f t="shared" si="7"/>
        <v>0</v>
      </c>
      <c r="I125" s="87"/>
      <c r="J125" s="281"/>
      <c r="K125" s="81"/>
      <c r="L125" s="279"/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1</v>
      </c>
      <c r="H127" s="136">
        <f t="shared" si="7"/>
        <v>18.348623853211009</v>
      </c>
      <c r="I127" s="260" t="s">
        <v>1157</v>
      </c>
      <c r="J127" s="283">
        <v>1</v>
      </c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30" t="s">
        <v>18</v>
      </c>
      <c r="D128" s="4"/>
      <c r="E128" s="4"/>
      <c r="F128" s="4"/>
      <c r="G128" s="251">
        <f t="shared" si="6"/>
        <v>10.100000000000001</v>
      </c>
      <c r="H128" s="136">
        <f t="shared" si="7"/>
        <v>185.32110091743124</v>
      </c>
      <c r="I128" s="87" t="s">
        <v>1158</v>
      </c>
      <c r="J128" s="281">
        <v>2.4</v>
      </c>
      <c r="K128" s="81" t="s">
        <v>1159</v>
      </c>
      <c r="L128" s="279">
        <v>2</v>
      </c>
      <c r="M128" s="263" t="s">
        <v>1160</v>
      </c>
      <c r="N128" s="283">
        <v>1</v>
      </c>
      <c r="O128" s="99" t="s">
        <v>1161</v>
      </c>
      <c r="P128" s="289">
        <v>0.5</v>
      </c>
      <c r="Q128" s="85" t="s">
        <v>1162</v>
      </c>
      <c r="R128" s="280">
        <v>4.2</v>
      </c>
      <c r="S128" s="99" t="s">
        <v>1161</v>
      </c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4"/>
      <c r="D129" s="4"/>
      <c r="E129" s="4"/>
      <c r="F129" s="4"/>
      <c r="G129" s="251">
        <f t="shared" si="6"/>
        <v>1</v>
      </c>
      <c r="H129" s="136">
        <f t="shared" si="7"/>
        <v>18.348623853211009</v>
      </c>
      <c r="I129" s="87" t="s">
        <v>1163</v>
      </c>
      <c r="J129" s="281">
        <v>1</v>
      </c>
      <c r="K129" s="81"/>
      <c r="L129" s="279"/>
      <c r="M129" s="87"/>
      <c r="N129" s="281"/>
      <c r="O129" s="81"/>
      <c r="P129" s="279"/>
      <c r="Q129" s="81"/>
      <c r="R129" s="279"/>
      <c r="S129" s="81"/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30" t="s">
        <v>18</v>
      </c>
      <c r="D130" s="4"/>
      <c r="E130" s="4"/>
      <c r="F130" s="4"/>
      <c r="G130" s="251">
        <f t="shared" si="6"/>
        <v>4.4000000000000004</v>
      </c>
      <c r="H130" s="136">
        <f t="shared" si="7"/>
        <v>80.733944954128447</v>
      </c>
      <c r="I130" s="87" t="s">
        <v>1164</v>
      </c>
      <c r="J130" s="281">
        <v>2.4</v>
      </c>
      <c r="K130" s="81" t="s">
        <v>1165</v>
      </c>
      <c r="L130" s="279">
        <v>1</v>
      </c>
      <c r="M130" s="263" t="s">
        <v>1166</v>
      </c>
      <c r="N130" s="283">
        <v>1</v>
      </c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6.4</v>
      </c>
      <c r="H131" s="136">
        <f t="shared" si="7"/>
        <v>117.43119266055047</v>
      </c>
      <c r="I131" s="87" t="s">
        <v>1167</v>
      </c>
      <c r="J131" s="281">
        <v>2.4</v>
      </c>
      <c r="K131" s="85" t="s">
        <v>1168</v>
      </c>
      <c r="L131" s="280">
        <v>4</v>
      </c>
      <c r="M131" s="81"/>
      <c r="N131" s="279"/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4"/>
      <c r="D132" s="4"/>
      <c r="E132" s="4"/>
      <c r="F132" s="4"/>
      <c r="G132" s="251">
        <f t="shared" si="6"/>
        <v>4</v>
      </c>
      <c r="H132" s="136">
        <f t="shared" si="7"/>
        <v>73.394495412844037</v>
      </c>
      <c r="I132" s="83" t="s">
        <v>1169</v>
      </c>
      <c r="J132" s="284">
        <v>4</v>
      </c>
      <c r="K132" s="81"/>
      <c r="L132" s="279"/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30" t="s">
        <v>18</v>
      </c>
      <c r="D133" s="4"/>
      <c r="E133" s="4"/>
      <c r="F133" s="30" t="s">
        <v>906</v>
      </c>
      <c r="G133" s="251">
        <f t="shared" si="6"/>
        <v>10.4</v>
      </c>
      <c r="H133" s="136">
        <f t="shared" si="7"/>
        <v>190.8256880733945</v>
      </c>
      <c r="I133" s="87" t="s">
        <v>1170</v>
      </c>
      <c r="J133" s="281">
        <v>2.4</v>
      </c>
      <c r="K133" s="87" t="s">
        <v>1171</v>
      </c>
      <c r="L133" s="281">
        <v>2</v>
      </c>
      <c r="M133" s="87" t="s">
        <v>1172</v>
      </c>
      <c r="N133" s="281">
        <v>1</v>
      </c>
      <c r="O133" s="89" t="s">
        <v>1173</v>
      </c>
      <c r="P133" s="282">
        <v>5</v>
      </c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4"/>
      <c r="D134" s="4"/>
      <c r="E134" s="4"/>
      <c r="F134" s="30" t="s">
        <v>906</v>
      </c>
      <c r="G134" s="251">
        <f>SUM(J134,L134,N134,P134,R134,T134,V134,X134,Z134,AB134,AD134,AF134,AH134,AJ134,AL134,AN134,AP134,AR134,AT134,AV134)</f>
        <v>1</v>
      </c>
      <c r="H134" s="136">
        <f>SUM(G134*1000)/54.5</f>
        <v>18.348623853211009</v>
      </c>
      <c r="I134" s="89" t="s">
        <v>1174</v>
      </c>
      <c r="J134" s="282">
        <v>1</v>
      </c>
      <c r="K134" s="83"/>
      <c r="L134" s="284"/>
      <c r="M134" s="87"/>
      <c r="N134" s="281"/>
      <c r="O134" s="81"/>
      <c r="P134" s="279"/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30" t="s">
        <v>18</v>
      </c>
      <c r="D135" s="4"/>
      <c r="E135" s="4"/>
      <c r="F135" s="4"/>
      <c r="G135" s="251">
        <f t="shared" si="6"/>
        <v>6.7</v>
      </c>
      <c r="H135" s="136">
        <f t="shared" si="7"/>
        <v>122.93577981651376</v>
      </c>
      <c r="I135" s="87" t="s">
        <v>1175</v>
      </c>
      <c r="J135" s="281">
        <v>1.7</v>
      </c>
      <c r="K135" s="265" t="s">
        <v>1176</v>
      </c>
      <c r="L135" s="281">
        <v>1</v>
      </c>
      <c r="M135" s="87" t="s">
        <v>1177</v>
      </c>
      <c r="N135" s="281">
        <v>4</v>
      </c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4"/>
      <c r="D136" s="4"/>
      <c r="E136" s="4"/>
      <c r="F136" s="4"/>
      <c r="G136" s="251">
        <f t="shared" si="6"/>
        <v>0</v>
      </c>
      <c r="H136" s="136">
        <f t="shared" si="7"/>
        <v>0</v>
      </c>
      <c r="I136" s="87"/>
      <c r="J136" s="281"/>
      <c r="K136" s="81"/>
      <c r="L136" s="279"/>
      <c r="M136" s="81"/>
      <c r="N136" s="279"/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0.5</v>
      </c>
      <c r="H138" s="136">
        <f t="shared" si="7"/>
        <v>9.1743119266055047</v>
      </c>
      <c r="I138" s="327" t="s">
        <v>1178</v>
      </c>
      <c r="J138" s="284">
        <v>0.5</v>
      </c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 ht="14.45">
      <c r="A139" s="35" t="s">
        <v>155</v>
      </c>
      <c r="B139" s="96"/>
      <c r="C139" s="30" t="s">
        <v>18</v>
      </c>
      <c r="D139" s="4"/>
      <c r="E139" s="4"/>
      <c r="F139" s="4"/>
      <c r="G139" s="251">
        <f t="shared" si="6"/>
        <v>19.8</v>
      </c>
      <c r="H139" s="136">
        <f t="shared" si="7"/>
        <v>363.30275229357801</v>
      </c>
      <c r="I139" s="81" t="s">
        <v>1101</v>
      </c>
      <c r="J139" s="279">
        <v>1.1000000000000001</v>
      </c>
      <c r="K139" s="81" t="s">
        <v>1179</v>
      </c>
      <c r="L139" s="279">
        <v>4.9000000000000004</v>
      </c>
      <c r="M139" s="260" t="s">
        <v>1180</v>
      </c>
      <c r="N139" s="283">
        <v>1</v>
      </c>
      <c r="O139" s="300" t="s">
        <v>1181</v>
      </c>
      <c r="P139" s="330">
        <v>3</v>
      </c>
      <c r="Q139" s="105" t="s">
        <v>1182</v>
      </c>
      <c r="R139" s="290">
        <v>2.8</v>
      </c>
      <c r="S139" s="328" t="s">
        <v>1183</v>
      </c>
      <c r="T139" s="279">
        <v>2.8</v>
      </c>
      <c r="U139" s="83" t="s">
        <v>1184</v>
      </c>
      <c r="V139" s="284">
        <v>4.2</v>
      </c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>
      <c r="A140" s="37" t="s">
        <v>156</v>
      </c>
      <c r="B140" s="96"/>
      <c r="C140" s="4"/>
      <c r="D140" s="4"/>
      <c r="E140" s="4"/>
      <c r="F140" s="4"/>
      <c r="G140" s="251">
        <f t="shared" si="6"/>
        <v>0</v>
      </c>
      <c r="H140" s="136">
        <f t="shared" si="7"/>
        <v>0</v>
      </c>
      <c r="I140" s="81"/>
      <c r="J140" s="279"/>
      <c r="K140" s="81"/>
      <c r="L140" s="279"/>
      <c r="M140" s="81"/>
      <c r="N140" s="279"/>
      <c r="O140" s="81"/>
      <c r="P140" s="279"/>
      <c r="Q140" s="81"/>
      <c r="R140" s="279"/>
      <c r="S140" s="81"/>
      <c r="T140" s="279"/>
      <c r="U140" s="81"/>
      <c r="V140" s="279"/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ref="G141:G206" si="12">SUM(J141,L141,N141,P141,R141,T141,V141,X141,Z141,AB141,AD141,AF141,AH141,AJ141,AL141,AN141,AP141,AR141,AT141,AV141)</f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8" t="s">
        <v>158</v>
      </c>
      <c r="B142" s="24" t="s">
        <v>17</v>
      </c>
      <c r="C142" s="30" t="s">
        <v>18</v>
      </c>
      <c r="D142" s="30" t="s">
        <v>19</v>
      </c>
      <c r="E142" s="4"/>
      <c r="F142" s="30" t="s">
        <v>906</v>
      </c>
      <c r="G142" s="251">
        <f t="shared" si="12"/>
        <v>21.650000000000002</v>
      </c>
      <c r="H142" s="136">
        <f t="shared" ref="H142:H207" si="13">SUM(G142*1000)/54.5</f>
        <v>397.24770642201844</v>
      </c>
      <c r="I142" s="81" t="s">
        <v>1185</v>
      </c>
      <c r="J142" s="279">
        <v>1</v>
      </c>
      <c r="K142" s="81" t="s">
        <v>1186</v>
      </c>
      <c r="L142" s="279">
        <v>0.25</v>
      </c>
      <c r="M142" s="81" t="s">
        <v>1187</v>
      </c>
      <c r="N142" s="279">
        <v>5.05</v>
      </c>
      <c r="O142" s="89" t="s">
        <v>1188</v>
      </c>
      <c r="P142" s="279">
        <v>1.45</v>
      </c>
      <c r="Q142" s="81" t="s">
        <v>1189</v>
      </c>
      <c r="R142" s="279">
        <v>0.9</v>
      </c>
      <c r="S142" s="81" t="s">
        <v>1190</v>
      </c>
      <c r="T142" s="279">
        <v>1.5</v>
      </c>
      <c r="U142" s="85" t="s">
        <v>1191</v>
      </c>
      <c r="V142" s="280">
        <v>1.8</v>
      </c>
      <c r="W142" s="260" t="s">
        <v>1192</v>
      </c>
      <c r="X142" s="285">
        <v>0.3</v>
      </c>
      <c r="Y142" s="263" t="s">
        <v>1193</v>
      </c>
      <c r="Z142" s="285">
        <v>0.2</v>
      </c>
      <c r="AA142" s="85" t="s">
        <v>1194</v>
      </c>
      <c r="AB142" s="280">
        <v>1.7</v>
      </c>
      <c r="AC142" s="87" t="s">
        <v>1041</v>
      </c>
      <c r="AD142" s="281">
        <v>0.25</v>
      </c>
      <c r="AE142" s="260" t="s">
        <v>1195</v>
      </c>
      <c r="AF142" s="291">
        <v>0.5</v>
      </c>
      <c r="AG142" s="313" t="s">
        <v>1196</v>
      </c>
      <c r="AH142" s="315"/>
      <c r="AI142" s="101" t="s">
        <v>1197</v>
      </c>
      <c r="AJ142" s="284">
        <v>1.6</v>
      </c>
      <c r="AK142" s="260" t="s">
        <v>1198</v>
      </c>
      <c r="AL142" s="291">
        <v>2.8</v>
      </c>
      <c r="AM142" s="260" t="s">
        <v>1199</v>
      </c>
      <c r="AN142" s="281">
        <v>0.6</v>
      </c>
      <c r="AO142" s="101" t="s">
        <v>1200</v>
      </c>
      <c r="AP142" s="326">
        <v>1.75</v>
      </c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4"/>
      <c r="C143" s="4"/>
      <c r="D143" s="4"/>
      <c r="E143" s="4"/>
      <c r="F143" s="4"/>
      <c r="G143" s="251">
        <f t="shared" si="12"/>
        <v>21.650000000000002</v>
      </c>
      <c r="H143" s="136">
        <f t="shared" si="13"/>
        <v>397.24770642201844</v>
      </c>
      <c r="I143" s="81" t="s">
        <v>1185</v>
      </c>
      <c r="J143" s="279">
        <v>1</v>
      </c>
      <c r="K143" s="81" t="s">
        <v>1186</v>
      </c>
      <c r="L143" s="279">
        <v>0.25</v>
      </c>
      <c r="M143" s="81" t="s">
        <v>1187</v>
      </c>
      <c r="N143" s="279">
        <v>5.05</v>
      </c>
      <c r="O143" s="89" t="s">
        <v>1188</v>
      </c>
      <c r="P143" s="279">
        <v>1.45</v>
      </c>
      <c r="Q143" s="81" t="s">
        <v>1189</v>
      </c>
      <c r="R143" s="279">
        <v>0.9</v>
      </c>
      <c r="S143" s="81" t="s">
        <v>1190</v>
      </c>
      <c r="T143" s="279">
        <v>1.5</v>
      </c>
      <c r="U143" s="85" t="s">
        <v>1191</v>
      </c>
      <c r="V143" s="280">
        <v>1.8</v>
      </c>
      <c r="W143" s="260" t="s">
        <v>1192</v>
      </c>
      <c r="X143" s="281">
        <v>0.3</v>
      </c>
      <c r="Y143" s="263" t="s">
        <v>1193</v>
      </c>
      <c r="Z143" s="281">
        <v>0.2</v>
      </c>
      <c r="AA143" s="85" t="s">
        <v>1194</v>
      </c>
      <c r="AB143" s="280">
        <v>1.7</v>
      </c>
      <c r="AC143" s="87" t="s">
        <v>1041</v>
      </c>
      <c r="AD143" s="281">
        <v>0.25</v>
      </c>
      <c r="AE143" s="260" t="s">
        <v>1195</v>
      </c>
      <c r="AF143" s="281">
        <v>0.5</v>
      </c>
      <c r="AG143" s="313" t="s">
        <v>1196</v>
      </c>
      <c r="AH143" s="315"/>
      <c r="AI143" s="101" t="s">
        <v>1197</v>
      </c>
      <c r="AJ143" s="284">
        <v>1.6</v>
      </c>
      <c r="AK143" s="260" t="s">
        <v>1198</v>
      </c>
      <c r="AL143" s="281">
        <v>2.8</v>
      </c>
      <c r="AM143" s="260" t="s">
        <v>1199</v>
      </c>
      <c r="AN143" s="281">
        <v>0.6</v>
      </c>
      <c r="AO143" s="101" t="s">
        <v>1200</v>
      </c>
      <c r="AP143" s="326">
        <v>1.75</v>
      </c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5" t="s">
        <v>160</v>
      </c>
      <c r="B144" s="96"/>
      <c r="C144" s="4"/>
      <c r="D144" s="4"/>
      <c r="E144" s="4"/>
      <c r="F144" s="4"/>
      <c r="G144" s="251">
        <f t="shared" si="12"/>
        <v>0.1</v>
      </c>
      <c r="H144" s="136">
        <f t="shared" si="13"/>
        <v>1.834862385321101</v>
      </c>
      <c r="I144" s="83" t="s">
        <v>1201</v>
      </c>
      <c r="J144" s="284">
        <v>0.1</v>
      </c>
      <c r="K144" s="83"/>
      <c r="L144" s="284"/>
      <c r="M144" s="81"/>
      <c r="N144" s="279"/>
      <c r="O144" s="81"/>
      <c r="P144" s="279"/>
      <c r="Q144" s="81"/>
      <c r="R144" s="279"/>
      <c r="S144" s="81"/>
      <c r="T144" s="279"/>
      <c r="U144" s="81"/>
      <c r="V144" s="279"/>
      <c r="W144" s="81"/>
      <c r="X144" s="279"/>
      <c r="Y144" s="81"/>
      <c r="Z144" s="279"/>
      <c r="AA144" s="81"/>
      <c r="AB144" s="279"/>
      <c r="AC144" s="81"/>
      <c r="AD144" s="279"/>
      <c r="AE144" s="81"/>
      <c r="AF144" s="279"/>
      <c r="AG144" s="81"/>
      <c r="AH144" s="279"/>
      <c r="AI144" s="81"/>
      <c r="AJ144" s="279"/>
      <c r="AK144" s="81"/>
      <c r="AL144" s="279"/>
      <c r="AM144" s="81"/>
      <c r="AN144" s="279"/>
      <c r="AO144" s="81"/>
      <c r="AP144" s="279"/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30" t="s">
        <v>18</v>
      </c>
      <c r="D145" s="4"/>
      <c r="E145" s="4"/>
      <c r="F145" s="4"/>
      <c r="G145" s="251">
        <f t="shared" si="12"/>
        <v>12.3</v>
      </c>
      <c r="H145" s="136">
        <f t="shared" si="13"/>
        <v>225.6880733944954</v>
      </c>
      <c r="I145" s="81" t="s">
        <v>1202</v>
      </c>
      <c r="J145" s="279">
        <v>2.4</v>
      </c>
      <c r="K145" s="81" t="s">
        <v>1203</v>
      </c>
      <c r="L145" s="279">
        <v>1.5</v>
      </c>
      <c r="M145" s="83" t="s">
        <v>1204</v>
      </c>
      <c r="N145" s="284">
        <v>3.2</v>
      </c>
      <c r="O145" s="263" t="s">
        <v>1205</v>
      </c>
      <c r="P145" s="283">
        <v>1</v>
      </c>
      <c r="Q145" s="83" t="s">
        <v>1206</v>
      </c>
      <c r="R145" s="284">
        <v>4.2</v>
      </c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4"/>
      <c r="D146" s="4"/>
      <c r="E146" s="4"/>
      <c r="F146" s="4"/>
      <c r="G146" s="251">
        <f t="shared" si="12"/>
        <v>2</v>
      </c>
      <c r="H146" s="136">
        <f t="shared" si="13"/>
        <v>36.697247706422019</v>
      </c>
      <c r="I146" s="260" t="s">
        <v>1207</v>
      </c>
      <c r="J146" s="283">
        <v>2</v>
      </c>
      <c r="K146" s="101"/>
      <c r="L146" s="289"/>
      <c r="M146" s="81"/>
      <c r="N146" s="279"/>
      <c r="O146" s="81"/>
      <c r="P146" s="279"/>
      <c r="Q146" s="81"/>
      <c r="R146" s="279"/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30" t="s">
        <v>18</v>
      </c>
      <c r="D147" s="4"/>
      <c r="E147" s="4"/>
      <c r="F147" s="4"/>
      <c r="G147" s="251">
        <f t="shared" si="12"/>
        <v>5.9</v>
      </c>
      <c r="H147" s="136">
        <f t="shared" si="13"/>
        <v>108.25688073394495</v>
      </c>
      <c r="I147" s="81" t="s">
        <v>1208</v>
      </c>
      <c r="J147" s="279">
        <v>2.4</v>
      </c>
      <c r="K147" s="81" t="s">
        <v>1209</v>
      </c>
      <c r="L147" s="279">
        <v>3.5</v>
      </c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4"/>
      <c r="D148" s="4"/>
      <c r="E148" s="4"/>
      <c r="F148" s="4"/>
      <c r="G148" s="251">
        <f t="shared" si="12"/>
        <v>0</v>
      </c>
      <c r="H148" s="136">
        <f t="shared" si="13"/>
        <v>0</v>
      </c>
      <c r="I148" s="81"/>
      <c r="J148" s="279"/>
      <c r="K148" s="81"/>
      <c r="L148" s="279"/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30" t="s">
        <v>18</v>
      </c>
      <c r="D150" s="4"/>
      <c r="E150" s="4"/>
      <c r="F150" s="4"/>
      <c r="G150" s="251">
        <f>SUM(J150,L150,N150,P150,R150,T150,V150,X150,Z150,AB150,AD150,AF150,AH150,AJ150,AL150,AN150,AP150,AR150,AT150,AV150)</f>
        <v>1.7</v>
      </c>
      <c r="H150" s="136">
        <f t="shared" si="13"/>
        <v>31.192660550458715</v>
      </c>
      <c r="I150" s="81" t="s">
        <v>1210</v>
      </c>
      <c r="J150" s="279">
        <v>1.7</v>
      </c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4"/>
      <c r="D151" s="4"/>
      <c r="E151" s="4"/>
      <c r="F151" s="4"/>
      <c r="G151" s="251">
        <f>SUM(J151,L151,N151,P151,R151,T151,V151,X151,Z151,AB151,AD151,AF151,AH151,AJ151,AL151,AN151,AP151,AR151,AT151,AV151)</f>
        <v>11.5</v>
      </c>
      <c r="H151" s="136">
        <f t="shared" si="13"/>
        <v>211.00917431192661</v>
      </c>
      <c r="I151" s="83" t="s">
        <v>1211</v>
      </c>
      <c r="J151" s="284">
        <v>2</v>
      </c>
      <c r="K151" s="83" t="s">
        <v>1212</v>
      </c>
      <c r="L151" s="284">
        <v>2</v>
      </c>
      <c r="M151" s="87" t="s">
        <v>1213</v>
      </c>
      <c r="N151" s="281">
        <v>1</v>
      </c>
      <c r="O151" s="260" t="s">
        <v>1214</v>
      </c>
      <c r="P151" s="283">
        <v>1</v>
      </c>
      <c r="Q151" s="105" t="s">
        <v>1215</v>
      </c>
      <c r="R151" s="290"/>
      <c r="S151" s="89" t="s">
        <v>1216</v>
      </c>
      <c r="T151" s="282">
        <v>5.5</v>
      </c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 t="shared" si="12"/>
        <v>1</v>
      </c>
      <c r="H152" s="136">
        <f t="shared" si="13"/>
        <v>18.348623853211009</v>
      </c>
      <c r="I152" s="263" t="s">
        <v>1217</v>
      </c>
      <c r="J152" s="283">
        <v>1</v>
      </c>
      <c r="K152" s="81"/>
      <c r="L152" s="279"/>
      <c r="M152" s="81"/>
      <c r="N152" s="279"/>
      <c r="O152" s="81"/>
      <c r="P152" s="279"/>
      <c r="Q152" s="81"/>
      <c r="R152" s="279"/>
      <c r="S152" s="83"/>
      <c r="T152" s="284"/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2</v>
      </c>
      <c r="H153" s="136">
        <f t="shared" si="13"/>
        <v>36.697247706422019</v>
      </c>
      <c r="I153" s="87" t="s">
        <v>1218</v>
      </c>
      <c r="J153" s="281">
        <v>2</v>
      </c>
      <c r="K153" s="81"/>
      <c r="L153" s="279"/>
      <c r="M153" s="81"/>
      <c r="N153" s="279"/>
      <c r="O153" s="81"/>
      <c r="P153" s="279"/>
      <c r="Q153" s="81"/>
      <c r="R153" s="279"/>
      <c r="S153" s="104"/>
      <c r="T153" s="286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30" t="s">
        <v>18</v>
      </c>
      <c r="D154" s="30" t="s">
        <v>19</v>
      </c>
      <c r="E154" s="4"/>
      <c r="F154" s="30" t="s">
        <v>906</v>
      </c>
      <c r="G154" s="251">
        <f t="shared" si="12"/>
        <v>17.399999999999999</v>
      </c>
      <c r="H154" s="136">
        <f t="shared" si="13"/>
        <v>319.26605504587155</v>
      </c>
      <c r="I154" s="85" t="s">
        <v>1219</v>
      </c>
      <c r="J154" s="280">
        <v>3.6</v>
      </c>
      <c r="K154" s="81" t="s">
        <v>1220</v>
      </c>
      <c r="L154" s="279">
        <v>1.3</v>
      </c>
      <c r="M154" s="81"/>
      <c r="N154" s="279"/>
      <c r="O154" s="81" t="s">
        <v>1221</v>
      </c>
      <c r="P154" s="279">
        <v>1.3</v>
      </c>
      <c r="Q154" s="81" t="s">
        <v>1222</v>
      </c>
      <c r="R154" s="279">
        <v>1</v>
      </c>
      <c r="S154" s="81" t="s">
        <v>1223</v>
      </c>
      <c r="T154" s="279">
        <v>2.2000000000000002</v>
      </c>
      <c r="U154" s="81" t="s">
        <v>1224</v>
      </c>
      <c r="V154" s="279">
        <v>3.2</v>
      </c>
      <c r="W154" s="81" t="s">
        <v>1225</v>
      </c>
      <c r="X154" s="279">
        <v>0.7</v>
      </c>
      <c r="Y154" s="89" t="s">
        <v>1226</v>
      </c>
      <c r="Z154" s="282">
        <v>4.0999999999999996</v>
      </c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4"/>
      <c r="D155" s="4"/>
      <c r="E155" s="4"/>
      <c r="F155" s="4"/>
      <c r="G155" s="251">
        <f t="shared" si="12"/>
        <v>0</v>
      </c>
      <c r="H155" s="136">
        <f t="shared" si="13"/>
        <v>0</v>
      </c>
      <c r="I155" s="81"/>
      <c r="J155" s="279"/>
      <c r="K155" s="81"/>
      <c r="L155" s="279"/>
      <c r="M155" s="81"/>
      <c r="N155" s="279"/>
      <c r="O155" s="81"/>
      <c r="P155" s="279"/>
      <c r="Q155" s="81"/>
      <c r="R155" s="279"/>
      <c r="S155" s="81"/>
      <c r="T155" s="279"/>
      <c r="U155" s="81"/>
      <c r="V155" s="279"/>
      <c r="W155" s="81"/>
      <c r="X155" s="279"/>
      <c r="Y155" s="81"/>
      <c r="Z155" s="279"/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8" t="s">
        <v>172</v>
      </c>
      <c r="B156" s="24" t="s">
        <v>17</v>
      </c>
      <c r="C156" s="4"/>
      <c r="D156" s="4"/>
      <c r="E156" s="4"/>
      <c r="F156" s="4"/>
      <c r="G156" s="251">
        <f t="shared" si="12"/>
        <v>2</v>
      </c>
      <c r="H156" s="136">
        <f t="shared" si="13"/>
        <v>36.697247706422019</v>
      </c>
      <c r="I156" s="260" t="s">
        <v>1227</v>
      </c>
      <c r="J156" s="283">
        <v>1</v>
      </c>
      <c r="K156" s="260" t="s">
        <v>1228</v>
      </c>
      <c r="L156" s="283">
        <v>1</v>
      </c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4"/>
      <c r="C157" s="4"/>
      <c r="D157" s="4"/>
      <c r="E157" s="4"/>
      <c r="F157" s="4"/>
      <c r="G157" s="251">
        <f>SUM(J157,L157,N157,P157,R157,T157,V157,X157,Z157,AB157,AD157,AF157,AH157,AJ157,AL157,AN157,AP157,AR157,AT157,AV157)</f>
        <v>2</v>
      </c>
      <c r="H157" s="136">
        <f t="shared" si="13"/>
        <v>36.697247706422019</v>
      </c>
      <c r="I157" s="260" t="s">
        <v>1227</v>
      </c>
      <c r="J157" s="283">
        <v>1</v>
      </c>
      <c r="K157" s="260" t="s">
        <v>1228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7" t="s">
        <v>174</v>
      </c>
      <c r="B158" s="24" t="s">
        <v>17</v>
      </c>
      <c r="C158" s="30" t="s">
        <v>18</v>
      </c>
      <c r="D158" s="30" t="s">
        <v>19</v>
      </c>
      <c r="E158" s="4"/>
      <c r="F158" s="30" t="s">
        <v>906</v>
      </c>
      <c r="G158" s="251">
        <f>SUM(J158,L158,N158,P158,R158,T158,V158,X158,Z158,AB158,AD158,AF158,AH158,AJ158,AL158,AN158,AP158,AR158,AT158,AV158)</f>
        <v>19.625</v>
      </c>
      <c r="H158" s="136">
        <f t="shared" si="13"/>
        <v>360.09174311926603</v>
      </c>
      <c r="I158" s="85" t="s">
        <v>1229</v>
      </c>
      <c r="J158" s="280">
        <v>2.4</v>
      </c>
      <c r="K158" s="81" t="s">
        <v>1230</v>
      </c>
      <c r="L158" s="279">
        <v>0.7</v>
      </c>
      <c r="M158" s="83" t="s">
        <v>1231</v>
      </c>
      <c r="N158" s="284">
        <v>1.75</v>
      </c>
      <c r="O158" s="81" t="s">
        <v>1232</v>
      </c>
      <c r="P158" s="279">
        <v>0.125</v>
      </c>
      <c r="Q158" s="89" t="s">
        <v>1233</v>
      </c>
      <c r="R158" s="282">
        <v>0.15</v>
      </c>
      <c r="S158" s="89" t="s">
        <v>1234</v>
      </c>
      <c r="T158" s="282">
        <v>0.75</v>
      </c>
      <c r="U158" s="89" t="s">
        <v>1235</v>
      </c>
      <c r="V158" s="282">
        <v>0.95</v>
      </c>
      <c r="W158" s="89" t="s">
        <v>1236</v>
      </c>
      <c r="X158" s="282">
        <v>0.75</v>
      </c>
      <c r="Y158" s="89" t="s">
        <v>1237</v>
      </c>
      <c r="Z158" s="282">
        <v>0.5</v>
      </c>
      <c r="AA158" s="89" t="s">
        <v>1238</v>
      </c>
      <c r="AB158" s="282">
        <v>0.35</v>
      </c>
      <c r="AC158" s="89" t="s">
        <v>1239</v>
      </c>
      <c r="AD158" s="282">
        <v>1.5</v>
      </c>
      <c r="AE158" s="89" t="s">
        <v>1240</v>
      </c>
      <c r="AF158" s="282">
        <v>1.8</v>
      </c>
      <c r="AG158" s="87" t="s">
        <v>1241</v>
      </c>
      <c r="AH158" s="281">
        <v>2.0499999999999998</v>
      </c>
      <c r="AI158" s="87" t="s">
        <v>1242</v>
      </c>
      <c r="AJ158" s="281">
        <v>1.1000000000000001</v>
      </c>
      <c r="AK158" s="81" t="s">
        <v>1243</v>
      </c>
      <c r="AL158" s="279">
        <v>0.8</v>
      </c>
      <c r="AM158" s="81" t="s">
        <v>1244</v>
      </c>
      <c r="AN158" s="279">
        <v>0.8</v>
      </c>
      <c r="AO158" s="81" t="s">
        <v>1245</v>
      </c>
      <c r="AP158" s="279">
        <v>0.8</v>
      </c>
      <c r="AQ158" s="81" t="s">
        <v>1246</v>
      </c>
      <c r="AR158" s="279">
        <v>1.5</v>
      </c>
      <c r="AS158" s="89" t="s">
        <v>1247</v>
      </c>
      <c r="AT158" s="279">
        <v>0.85</v>
      </c>
      <c r="AU158" s="81"/>
      <c r="AV158" s="50">
        <f>IFERROR(VLOOKUP(A158,'Site check'!A:Q,14,0),0)</f>
        <v>0</v>
      </c>
    </row>
    <row r="159" spans="1:48">
      <c r="A159" s="37" t="s">
        <v>175</v>
      </c>
      <c r="B159" s="4"/>
      <c r="C159" s="4"/>
      <c r="D159" s="4"/>
      <c r="E159" s="4"/>
      <c r="F159" s="4"/>
      <c r="G159" s="251">
        <f t="shared" si="12"/>
        <v>19.825000000000003</v>
      </c>
      <c r="H159" s="136">
        <f t="shared" si="13"/>
        <v>363.76146788990832</v>
      </c>
      <c r="I159" s="85" t="s">
        <v>1229</v>
      </c>
      <c r="J159" s="280">
        <v>2.4</v>
      </c>
      <c r="K159" s="81" t="s">
        <v>1230</v>
      </c>
      <c r="L159" s="279">
        <v>0.7</v>
      </c>
      <c r="M159" s="83" t="s">
        <v>1231</v>
      </c>
      <c r="N159" s="284">
        <v>1.75</v>
      </c>
      <c r="O159" s="81" t="s">
        <v>1232</v>
      </c>
      <c r="P159" s="279">
        <v>0.125</v>
      </c>
      <c r="Q159" s="89" t="s">
        <v>1233</v>
      </c>
      <c r="R159" s="282">
        <v>0.15</v>
      </c>
      <c r="S159" s="89" t="s">
        <v>1234</v>
      </c>
      <c r="T159" s="282">
        <v>0.85</v>
      </c>
      <c r="U159" s="89" t="s">
        <v>1235</v>
      </c>
      <c r="V159" s="282">
        <v>0.95</v>
      </c>
      <c r="W159" s="89" t="s">
        <v>1236</v>
      </c>
      <c r="X159" s="282">
        <v>0.85</v>
      </c>
      <c r="Y159" s="89" t="s">
        <v>1237</v>
      </c>
      <c r="Z159" s="282">
        <v>0.4</v>
      </c>
      <c r="AA159" s="89" t="s">
        <v>1238</v>
      </c>
      <c r="AB159" s="282">
        <v>0.45</v>
      </c>
      <c r="AC159" s="89" t="s">
        <v>1239</v>
      </c>
      <c r="AD159" s="282">
        <v>1.4</v>
      </c>
      <c r="AE159" s="89" t="s">
        <v>1240</v>
      </c>
      <c r="AF159" s="282">
        <v>1.8</v>
      </c>
      <c r="AG159" s="87" t="s">
        <v>1241</v>
      </c>
      <c r="AH159" s="281">
        <v>2.0499999999999998</v>
      </c>
      <c r="AI159" s="87" t="s">
        <v>1248</v>
      </c>
      <c r="AJ159" s="281">
        <v>1.2</v>
      </c>
      <c r="AK159" s="81" t="s">
        <v>1243</v>
      </c>
      <c r="AL159" s="279">
        <v>0.8</v>
      </c>
      <c r="AM159" s="81" t="s">
        <v>1244</v>
      </c>
      <c r="AN159" s="279">
        <v>0.8</v>
      </c>
      <c r="AO159" s="81" t="s">
        <v>1245</v>
      </c>
      <c r="AP159" s="279">
        <v>0.8</v>
      </c>
      <c r="AQ159" s="81" t="s">
        <v>1246</v>
      </c>
      <c r="AR159" s="279">
        <v>1.5</v>
      </c>
      <c r="AS159" s="89" t="s">
        <v>1247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5" t="s">
        <v>176</v>
      </c>
      <c r="B160" s="96"/>
      <c r="C160" s="4"/>
      <c r="D160" s="4"/>
      <c r="E160" s="4"/>
      <c r="F160" s="4"/>
      <c r="G160" s="251">
        <f t="shared" si="12"/>
        <v>0</v>
      </c>
      <c r="H160" s="136">
        <f t="shared" si="13"/>
        <v>0</v>
      </c>
      <c r="I160" s="81"/>
      <c r="J160" s="279"/>
      <c r="K160" s="81"/>
      <c r="L160" s="279"/>
      <c r="M160" s="81"/>
      <c r="N160" s="279"/>
      <c r="O160" s="81"/>
      <c r="P160" s="279"/>
      <c r="Q160" s="81"/>
      <c r="R160" s="279"/>
      <c r="S160" s="89"/>
      <c r="T160" s="279"/>
      <c r="U160" s="81"/>
      <c r="V160" s="279"/>
      <c r="W160" s="81"/>
      <c r="X160" s="279"/>
      <c r="Y160" s="81"/>
      <c r="Z160" s="279"/>
      <c r="AA160" s="81"/>
      <c r="AB160" s="279"/>
      <c r="AC160" s="81"/>
      <c r="AD160" s="279"/>
      <c r="AE160" s="81"/>
      <c r="AF160" s="279"/>
      <c r="AG160" s="81"/>
      <c r="AH160" s="279"/>
      <c r="AI160" s="81"/>
      <c r="AJ160" s="279"/>
      <c r="AK160" s="81"/>
      <c r="AL160" s="279"/>
      <c r="AM160" s="81"/>
      <c r="AN160" s="279"/>
      <c r="AO160" s="81"/>
      <c r="AP160" s="279"/>
      <c r="AQ160" s="81"/>
      <c r="AR160" s="279"/>
      <c r="AS160" s="81"/>
      <c r="AT160" s="279"/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4.8</v>
      </c>
      <c r="H161" s="136">
        <f t="shared" si="13"/>
        <v>88.073394495412842</v>
      </c>
      <c r="I161" s="83" t="s">
        <v>1249</v>
      </c>
      <c r="J161" s="284">
        <v>0.3</v>
      </c>
      <c r="K161" s="83" t="s">
        <v>1250</v>
      </c>
      <c r="L161" s="284">
        <v>0.3</v>
      </c>
      <c r="M161" s="85" t="s">
        <v>1251</v>
      </c>
      <c r="N161" s="280">
        <v>4.2</v>
      </c>
      <c r="O161" s="81"/>
      <c r="P161" s="279"/>
      <c r="Q161" s="81"/>
      <c r="R161" s="279"/>
      <c r="S161" s="81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4</v>
      </c>
      <c r="H162" s="136">
        <f t="shared" si="13"/>
        <v>73.394495412844037</v>
      </c>
      <c r="I162" s="89" t="s">
        <v>1252</v>
      </c>
      <c r="J162" s="282">
        <v>4</v>
      </c>
      <c r="K162" s="81"/>
      <c r="L162" s="279"/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1</v>
      </c>
      <c r="H163" s="136">
        <f t="shared" si="13"/>
        <v>18.348623853211009</v>
      </c>
      <c r="I163" s="260" t="s">
        <v>1253</v>
      </c>
      <c r="J163" s="283">
        <v>1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0.5</v>
      </c>
      <c r="H164" s="136">
        <f t="shared" si="13"/>
        <v>9.1743119266055047</v>
      </c>
      <c r="I164" s="87" t="s">
        <v>1254</v>
      </c>
      <c r="J164" s="281">
        <v>0.5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</v>
      </c>
      <c r="H165" s="136">
        <f t="shared" si="13"/>
        <v>0</v>
      </c>
      <c r="I165" s="87"/>
      <c r="J165" s="281"/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1</v>
      </c>
      <c r="H166" s="136">
        <f t="shared" si="13"/>
        <v>18.348623853211009</v>
      </c>
      <c r="I166" s="260" t="s">
        <v>1255</v>
      </c>
      <c r="J166" s="283">
        <v>1</v>
      </c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0</v>
      </c>
      <c r="H167" s="136">
        <f t="shared" si="13"/>
        <v>0</v>
      </c>
      <c r="I167" s="81"/>
      <c r="J167" s="279"/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30" t="s">
        <v>18</v>
      </c>
      <c r="D168" s="4"/>
      <c r="E168" s="4"/>
      <c r="F168" s="4"/>
      <c r="G168" s="251">
        <f t="shared" si="12"/>
        <v>2.4</v>
      </c>
      <c r="H168" s="136">
        <f t="shared" si="13"/>
        <v>44.036697247706421</v>
      </c>
      <c r="I168" s="81" t="s">
        <v>1256</v>
      </c>
      <c r="J168" s="279">
        <v>2.4</v>
      </c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4"/>
      <c r="D169" s="4"/>
      <c r="E169" s="4"/>
      <c r="F169" s="4"/>
      <c r="G169" s="251">
        <f t="shared" si="12"/>
        <v>1</v>
      </c>
      <c r="H169" s="136">
        <f t="shared" si="13"/>
        <v>18.348623853211009</v>
      </c>
      <c r="I169" s="105" t="s">
        <v>1257</v>
      </c>
      <c r="J169" s="280">
        <v>1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30" t="s">
        <v>18</v>
      </c>
      <c r="D170" s="4"/>
      <c r="E170" s="4"/>
      <c r="F170" s="4"/>
      <c r="G170" s="251">
        <f t="shared" si="12"/>
        <v>1.7</v>
      </c>
      <c r="H170" s="136">
        <f t="shared" si="13"/>
        <v>31.192660550458715</v>
      </c>
      <c r="I170" s="81" t="s">
        <v>1258</v>
      </c>
      <c r="J170" s="279">
        <v>1.7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8" t="s">
        <v>187</v>
      </c>
      <c r="B171" s="96"/>
      <c r="C171" s="30" t="s">
        <v>18</v>
      </c>
      <c r="D171" s="4"/>
      <c r="E171" s="4"/>
      <c r="F171" s="30" t="s">
        <v>906</v>
      </c>
      <c r="G171" s="251">
        <f t="shared" si="12"/>
        <v>10.1</v>
      </c>
      <c r="H171" s="136">
        <f t="shared" si="13"/>
        <v>185.32110091743118</v>
      </c>
      <c r="I171" s="81" t="s">
        <v>1259</v>
      </c>
      <c r="J171" s="279">
        <v>0.4</v>
      </c>
      <c r="K171" s="81" t="s">
        <v>1260</v>
      </c>
      <c r="L171" s="279">
        <v>5.0999999999999996</v>
      </c>
      <c r="M171" s="260" t="s">
        <v>1261</v>
      </c>
      <c r="N171" s="291">
        <v>0.8</v>
      </c>
      <c r="O171" s="85" t="s">
        <v>1262</v>
      </c>
      <c r="P171" s="280">
        <v>1.4</v>
      </c>
      <c r="Q171" s="105" t="s">
        <v>1263</v>
      </c>
      <c r="R171" s="290">
        <v>0.5</v>
      </c>
      <c r="S171" s="81" t="s">
        <v>1264</v>
      </c>
      <c r="T171" s="279">
        <v>0.5</v>
      </c>
      <c r="U171" s="81" t="s">
        <v>1265</v>
      </c>
      <c r="V171" s="279">
        <v>1.4</v>
      </c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/>
      <c r="D172" s="4"/>
      <c r="E172" s="4"/>
      <c r="F172" s="30"/>
      <c r="G172" s="251">
        <f t="shared" ref="G172" si="14">SUM(J172,L172,N172,P172,R172,T172,V172,X172,Z172,AB172,AD172,AF172,AH172,AJ172,AL172,AN172,AP172,AR172,AT172,AV172)</f>
        <v>11.200000000000001</v>
      </c>
      <c r="H172" s="136">
        <f t="shared" ref="H172" si="15">SUM(G172*1000)/54.5</f>
        <v>205.50458715596335</v>
      </c>
      <c r="I172" s="81" t="s">
        <v>1259</v>
      </c>
      <c r="J172" s="279">
        <v>1.3</v>
      </c>
      <c r="K172" s="81" t="s">
        <v>1260</v>
      </c>
      <c r="L172" s="279">
        <v>5.2</v>
      </c>
      <c r="M172" s="260" t="s">
        <v>1261</v>
      </c>
      <c r="N172" s="291">
        <v>0.9</v>
      </c>
      <c r="O172" s="85" t="s">
        <v>1262</v>
      </c>
      <c r="P172" s="280">
        <v>1.4</v>
      </c>
      <c r="Q172" s="105" t="s">
        <v>1263</v>
      </c>
      <c r="R172" s="290">
        <v>0.5</v>
      </c>
      <c r="S172" s="81" t="s">
        <v>1264</v>
      </c>
      <c r="T172" s="279">
        <v>0.5</v>
      </c>
      <c r="U172" s="81" t="s">
        <v>1265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5" t="s">
        <v>189</v>
      </c>
      <c r="B173" s="96"/>
      <c r="C173" s="4"/>
      <c r="D173" s="4"/>
      <c r="E173" s="4"/>
      <c r="F173" s="4"/>
      <c r="G173" s="251">
        <f t="shared" si="12"/>
        <v>0</v>
      </c>
      <c r="H173" s="136">
        <f t="shared" si="13"/>
        <v>0</v>
      </c>
      <c r="I173" s="81"/>
      <c r="J173" s="279"/>
      <c r="K173" s="81"/>
      <c r="L173" s="279"/>
      <c r="M173" s="81"/>
      <c r="N173" s="279"/>
      <c r="O173" s="81"/>
      <c r="P173" s="279"/>
      <c r="Q173" s="81"/>
      <c r="R173" s="279"/>
      <c r="S173" s="81"/>
      <c r="T173" s="279"/>
      <c r="U173" s="81"/>
      <c r="V173" s="279"/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40" t="s">
        <v>191</v>
      </c>
      <c r="B175" s="96"/>
      <c r="C175" s="4"/>
      <c r="D175" s="4"/>
      <c r="E175" s="4"/>
      <c r="F175" s="4"/>
      <c r="G175" s="251">
        <f t="shared" si="12"/>
        <v>2</v>
      </c>
      <c r="H175" s="136">
        <f t="shared" si="13"/>
        <v>36.697247706422019</v>
      </c>
      <c r="I175" s="81" t="s">
        <v>1266</v>
      </c>
      <c r="J175" s="279">
        <v>2</v>
      </c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0</v>
      </c>
      <c r="H176" s="136">
        <f t="shared" si="13"/>
        <v>0</v>
      </c>
      <c r="I176" s="81"/>
      <c r="J176" s="279"/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79" t="s">
        <v>193</v>
      </c>
      <c r="B177" s="96"/>
      <c r="C177" s="30" t="s">
        <v>18</v>
      </c>
      <c r="D177" s="4"/>
      <c r="E177" s="30" t="s">
        <v>1032</v>
      </c>
      <c r="F177" s="4"/>
      <c r="G177" s="251">
        <f t="shared" si="12"/>
        <v>6.8000000000000007</v>
      </c>
      <c r="H177" s="136">
        <f t="shared" si="13"/>
        <v>124.77064220183487</v>
      </c>
      <c r="I177" s="81" t="s">
        <v>1267</v>
      </c>
      <c r="J177" s="279">
        <v>0.9</v>
      </c>
      <c r="K177" s="81" t="s">
        <v>1126</v>
      </c>
      <c r="L177" s="279">
        <v>5.9</v>
      </c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/>
      <c r="D178" s="4"/>
      <c r="E178" s="4"/>
      <c r="F178" s="4"/>
      <c r="G178" s="251">
        <f t="shared" si="12"/>
        <v>7.5</v>
      </c>
      <c r="H178" s="136">
        <f t="shared" si="13"/>
        <v>137.61467889908258</v>
      </c>
      <c r="I178" s="81" t="s">
        <v>1267</v>
      </c>
      <c r="J178" s="279">
        <v>1.6</v>
      </c>
      <c r="K178" s="81" t="s">
        <v>1126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37" t="s">
        <v>195</v>
      </c>
      <c r="B179" s="96"/>
      <c r="C179" s="4"/>
      <c r="D179" s="4"/>
      <c r="E179" s="4"/>
      <c r="F179" s="4"/>
      <c r="G179" s="251">
        <f t="shared" si="12"/>
        <v>1</v>
      </c>
      <c r="H179" s="136">
        <f t="shared" si="13"/>
        <v>18.348623853211009</v>
      </c>
      <c r="I179" s="81" t="s">
        <v>1268</v>
      </c>
      <c r="J179" s="279">
        <v>1</v>
      </c>
      <c r="K179" s="81"/>
      <c r="L179" s="279"/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1</v>
      </c>
      <c r="H180" s="136">
        <f t="shared" si="13"/>
        <v>18.348623853211009</v>
      </c>
      <c r="I180" s="87" t="s">
        <v>1269</v>
      </c>
      <c r="J180" s="281">
        <v>1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8" t="s">
        <v>197</v>
      </c>
      <c r="B181" s="96"/>
      <c r="C181" s="4"/>
      <c r="D181" s="4"/>
      <c r="E181" s="4"/>
      <c r="F181" s="4"/>
      <c r="G181" s="251">
        <f t="shared" si="12"/>
        <v>1</v>
      </c>
      <c r="H181" s="136">
        <f t="shared" si="13"/>
        <v>18.348623853211009</v>
      </c>
      <c r="I181" s="81" t="s">
        <v>1268</v>
      </c>
      <c r="J181" s="279">
        <v>1</v>
      </c>
      <c r="K181" s="81" t="s">
        <v>749</v>
      </c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1</v>
      </c>
      <c r="H182" s="136">
        <f t="shared" si="13"/>
        <v>18.348623853211009</v>
      </c>
      <c r="I182" s="87" t="s">
        <v>1269</v>
      </c>
      <c r="J182" s="281">
        <v>1</v>
      </c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7" t="s">
        <v>199</v>
      </c>
      <c r="B183" s="96"/>
      <c r="C183" s="30" t="s">
        <v>18</v>
      </c>
      <c r="D183" s="4"/>
      <c r="E183" s="30" t="s">
        <v>1032</v>
      </c>
      <c r="F183" s="4"/>
      <c r="G183" s="251">
        <f t="shared" si="12"/>
        <v>7.5</v>
      </c>
      <c r="H183" s="136">
        <f t="shared" si="13"/>
        <v>137.61467889908258</v>
      </c>
      <c r="I183" s="81" t="s">
        <v>1270</v>
      </c>
      <c r="J183" s="279">
        <v>1.6</v>
      </c>
      <c r="K183" s="81" t="s">
        <v>1271</v>
      </c>
      <c r="L183" s="279">
        <v>2.1</v>
      </c>
      <c r="M183" s="85" t="s">
        <v>1272</v>
      </c>
      <c r="N183" s="280">
        <v>1.8</v>
      </c>
      <c r="O183" s="87" t="s">
        <v>1273</v>
      </c>
      <c r="P183" s="281">
        <v>1</v>
      </c>
      <c r="Q183" s="85" t="s">
        <v>1274</v>
      </c>
      <c r="R183" s="280">
        <v>1</v>
      </c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96"/>
      <c r="D184" s="4"/>
      <c r="E184" s="4"/>
      <c r="F184" s="4"/>
      <c r="G184" s="251">
        <f t="shared" si="12"/>
        <v>12.5</v>
      </c>
      <c r="H184" s="136">
        <f t="shared" si="13"/>
        <v>229.35779816513761</v>
      </c>
      <c r="I184" s="81" t="s">
        <v>1270</v>
      </c>
      <c r="J184" s="279">
        <v>2.5</v>
      </c>
      <c r="K184" s="81" t="s">
        <v>1271</v>
      </c>
      <c r="L184" s="279">
        <v>6</v>
      </c>
      <c r="M184" s="85" t="s">
        <v>1272</v>
      </c>
      <c r="N184" s="280">
        <v>2</v>
      </c>
      <c r="O184" s="87" t="s">
        <v>1273</v>
      </c>
      <c r="P184" s="281">
        <v>1</v>
      </c>
      <c r="Q184" s="85" t="s">
        <v>1274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t="s">
        <v>201</v>
      </c>
      <c r="B185" s="96"/>
      <c r="C185" s="96"/>
      <c r="D185" s="4"/>
      <c r="E185" s="4"/>
      <c r="F185" s="4"/>
      <c r="G185" s="251">
        <f t="shared" si="12"/>
        <v>0</v>
      </c>
      <c r="H185" s="136">
        <f t="shared" si="13"/>
        <v>0</v>
      </c>
      <c r="I185" s="81"/>
      <c r="J185" s="279"/>
      <c r="K185" s="81"/>
      <c r="L185" s="279"/>
      <c r="M185" s="81"/>
      <c r="N185" s="279"/>
      <c r="O185" s="81"/>
      <c r="P185" s="279"/>
      <c r="Q185" s="81"/>
      <c r="R185" s="279"/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s="37" t="s">
        <v>202</v>
      </c>
      <c r="B186" s="96"/>
      <c r="C186" s="30" t="s">
        <v>18</v>
      </c>
      <c r="D186" s="4"/>
      <c r="E186" s="30" t="s">
        <v>1032</v>
      </c>
      <c r="F186" s="4"/>
      <c r="G186" s="251">
        <f t="shared" si="12"/>
        <v>7.25</v>
      </c>
      <c r="H186" s="136">
        <f t="shared" si="13"/>
        <v>133.02752293577981</v>
      </c>
      <c r="I186" s="81" t="s">
        <v>1275</v>
      </c>
      <c r="J186" s="279">
        <v>1.25</v>
      </c>
      <c r="K186" s="81" t="s">
        <v>1126</v>
      </c>
      <c r="L186" s="279">
        <v>2.8</v>
      </c>
      <c r="M186" s="85" t="s">
        <v>1276</v>
      </c>
      <c r="N186" s="280">
        <v>1</v>
      </c>
      <c r="O186" s="85" t="s">
        <v>1277</v>
      </c>
      <c r="P186" s="280">
        <v>1.3</v>
      </c>
      <c r="Q186" s="87" t="s">
        <v>1278</v>
      </c>
      <c r="R186" s="281">
        <v>0.9</v>
      </c>
      <c r="S186" s="85"/>
      <c r="T186" s="280"/>
      <c r="U186" s="85"/>
      <c r="V186" s="280"/>
      <c r="W186" s="85"/>
      <c r="X186" s="280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/>
      <c r="D187" s="4"/>
      <c r="E187" s="4"/>
      <c r="F187" s="4"/>
      <c r="G187" s="251">
        <f t="shared" si="12"/>
        <v>7.25</v>
      </c>
      <c r="H187" s="136">
        <f t="shared" si="13"/>
        <v>133.02752293577981</v>
      </c>
      <c r="I187" s="81" t="s">
        <v>1275</v>
      </c>
      <c r="J187" s="281">
        <v>1.25</v>
      </c>
      <c r="K187" s="81" t="s">
        <v>1126</v>
      </c>
      <c r="L187" s="279">
        <v>2.8</v>
      </c>
      <c r="M187" s="85" t="s">
        <v>1276</v>
      </c>
      <c r="N187" s="280">
        <v>1</v>
      </c>
      <c r="O187" s="85" t="s">
        <v>1277</v>
      </c>
      <c r="P187" s="280">
        <v>1.3</v>
      </c>
      <c r="Q187" s="87" t="s">
        <v>1278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5" t="s">
        <v>204</v>
      </c>
      <c r="B188" s="96"/>
      <c r="C188" s="4"/>
      <c r="D188" s="4"/>
      <c r="E188" s="4"/>
      <c r="F188" s="4"/>
      <c r="G188" s="251">
        <f t="shared" si="12"/>
        <v>1</v>
      </c>
      <c r="H188" s="136">
        <f t="shared" si="13"/>
        <v>18.348623853211009</v>
      </c>
      <c r="I188" s="81" t="s">
        <v>1279</v>
      </c>
      <c r="J188" s="281">
        <v>1</v>
      </c>
      <c r="K188" s="81"/>
      <c r="L188" s="279"/>
      <c r="M188" s="81"/>
      <c r="N188" s="279"/>
      <c r="O188" s="81"/>
      <c r="P188" s="279"/>
      <c r="Q188" s="81"/>
      <c r="R188" s="279"/>
      <c r="S188" s="81"/>
      <c r="T188" s="279"/>
      <c r="U188" s="81"/>
      <c r="V188" s="279"/>
      <c r="W188" s="81"/>
      <c r="X188" s="279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7.6000000000000005</v>
      </c>
      <c r="H189" s="136">
        <f t="shared" si="13"/>
        <v>139.44954128440369</v>
      </c>
      <c r="I189" s="87" t="s">
        <v>1280</v>
      </c>
      <c r="J189" s="281">
        <v>4</v>
      </c>
      <c r="K189" s="83" t="s">
        <v>1281</v>
      </c>
      <c r="L189" s="284">
        <v>1.4</v>
      </c>
      <c r="M189" s="83" t="s">
        <v>1282</v>
      </c>
      <c r="N189" s="284">
        <v>2.2000000000000002</v>
      </c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3</v>
      </c>
      <c r="H190" s="136">
        <f t="shared" si="13"/>
        <v>55.045871559633028</v>
      </c>
      <c r="I190" s="260" t="s">
        <v>1283</v>
      </c>
      <c r="J190" s="285">
        <v>2</v>
      </c>
      <c r="K190" s="263" t="s">
        <v>1284</v>
      </c>
      <c r="L190" s="283">
        <v>1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4</v>
      </c>
      <c r="H191" s="136">
        <f t="shared" si="13"/>
        <v>73.394495412844037</v>
      </c>
      <c r="I191" s="87" t="s">
        <v>1285</v>
      </c>
      <c r="J191" s="281">
        <v>4</v>
      </c>
      <c r="K191" s="87"/>
      <c r="L191" s="281"/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0</v>
      </c>
      <c r="H192" s="136">
        <f t="shared" si="13"/>
        <v>0</v>
      </c>
      <c r="I192" s="87"/>
      <c r="J192" s="281"/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30" t="s">
        <v>18</v>
      </c>
      <c r="D193" s="4"/>
      <c r="E193" s="4"/>
      <c r="F193" s="4"/>
      <c r="G193" s="251">
        <f t="shared" si="12"/>
        <v>6.9</v>
      </c>
      <c r="H193" s="136">
        <f t="shared" si="13"/>
        <v>126.60550458715596</v>
      </c>
      <c r="I193" s="87" t="s">
        <v>1286</v>
      </c>
      <c r="J193" s="281">
        <v>1.7</v>
      </c>
      <c r="K193" s="263" t="s">
        <v>1287</v>
      </c>
      <c r="L193" s="283">
        <v>1</v>
      </c>
      <c r="M193" s="83" t="s">
        <v>1288</v>
      </c>
      <c r="N193" s="284">
        <v>4.2</v>
      </c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7" t="s">
        <v>210</v>
      </c>
      <c r="B194" s="96"/>
      <c r="C194" s="4"/>
      <c r="D194" s="4"/>
      <c r="E194" s="4"/>
      <c r="F194" s="4"/>
      <c r="G194" s="251">
        <f t="shared" si="12"/>
        <v>0</v>
      </c>
      <c r="H194" s="136">
        <f t="shared" si="13"/>
        <v>0</v>
      </c>
      <c r="I194" s="81"/>
      <c r="J194" s="279"/>
      <c r="K194" s="81"/>
      <c r="L194" s="279"/>
      <c r="M194" s="81"/>
      <c r="N194" s="279"/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5" t="s">
        <v>212</v>
      </c>
      <c r="B196" s="96"/>
      <c r="C196" s="30" t="s">
        <v>18</v>
      </c>
      <c r="D196" s="4"/>
      <c r="E196" s="4"/>
      <c r="F196" s="4"/>
      <c r="G196" s="251">
        <f t="shared" si="12"/>
        <v>2.7</v>
      </c>
      <c r="H196" s="136">
        <f t="shared" si="13"/>
        <v>49.541284403669728</v>
      </c>
      <c r="I196" s="81" t="s">
        <v>1289</v>
      </c>
      <c r="J196" s="279">
        <v>1.7</v>
      </c>
      <c r="K196" s="256" t="s">
        <v>1290</v>
      </c>
      <c r="L196" s="290">
        <v>1</v>
      </c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96"/>
      <c r="D197" s="4"/>
      <c r="E197" s="30" t="s">
        <v>1032</v>
      </c>
      <c r="F197" s="4"/>
      <c r="G197" s="251">
        <f t="shared" ref="G197" si="16">SUM(J197,L197,N197,P197,R197,T197,V197,X197,Z197,AB197,AD197,AF197,AH197,AJ197,AL197,AN197,AP197,AR197,AT197,AV197)</f>
        <v>16.2</v>
      </c>
      <c r="H197" s="136">
        <f t="shared" ref="H197" si="17">SUM(G197*1000)/54.5</f>
        <v>297.24770642201833</v>
      </c>
      <c r="I197" s="81" t="s">
        <v>1291</v>
      </c>
      <c r="J197" s="279">
        <v>12</v>
      </c>
      <c r="K197" s="83" t="s">
        <v>1292</v>
      </c>
      <c r="L197" s="284">
        <v>4.2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4"/>
      <c r="D198" s="4"/>
      <c r="E198" s="4"/>
      <c r="F198" s="4"/>
      <c r="G198" s="251">
        <f t="shared" si="12"/>
        <v>0</v>
      </c>
      <c r="H198" s="136">
        <f t="shared" si="13"/>
        <v>0</v>
      </c>
      <c r="I198" s="81"/>
      <c r="J198" s="279"/>
      <c r="K198" s="81"/>
      <c r="L198" s="27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40" t="s">
        <v>218</v>
      </c>
      <c r="B202" s="4"/>
      <c r="C202" s="4"/>
      <c r="D202" s="4"/>
      <c r="E202" s="4"/>
      <c r="F202" s="4"/>
      <c r="G202" s="251">
        <f t="shared" si="12"/>
        <v>36.5</v>
      </c>
      <c r="H202" s="136">
        <f t="shared" si="13"/>
        <v>669.72477064220186</v>
      </c>
      <c r="I202" s="81" t="s">
        <v>1293</v>
      </c>
      <c r="J202" s="279">
        <v>12</v>
      </c>
      <c r="K202" s="81" t="s">
        <v>1294</v>
      </c>
      <c r="L202" s="279">
        <v>3</v>
      </c>
      <c r="M202" s="81" t="s">
        <v>1295</v>
      </c>
      <c r="N202" s="279">
        <v>0.5</v>
      </c>
      <c r="O202" s="81" t="s">
        <v>1296</v>
      </c>
      <c r="P202" s="279">
        <v>4</v>
      </c>
      <c r="Q202" s="260" t="s">
        <v>1297</v>
      </c>
      <c r="R202" s="283">
        <v>2</v>
      </c>
      <c r="S202" s="256" t="s">
        <v>1298</v>
      </c>
      <c r="T202" s="290">
        <v>6</v>
      </c>
      <c r="U202" s="105" t="s">
        <v>1299</v>
      </c>
      <c r="V202" s="290">
        <v>3</v>
      </c>
      <c r="W202" s="85" t="s">
        <v>1300</v>
      </c>
      <c r="X202" s="280">
        <v>3</v>
      </c>
      <c r="Y202" s="85" t="s">
        <v>1301</v>
      </c>
      <c r="Z202" s="280">
        <v>3</v>
      </c>
      <c r="AA202" s="85"/>
      <c r="AB202" s="280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24" t="s">
        <v>17</v>
      </c>
      <c r="C203" s="30" t="s">
        <v>18</v>
      </c>
      <c r="D203" s="30" t="s">
        <v>19</v>
      </c>
      <c r="E203" s="4"/>
      <c r="F203" s="30" t="s">
        <v>906</v>
      </c>
      <c r="G203" s="251">
        <f t="shared" si="12"/>
        <v>10.600000000000001</v>
      </c>
      <c r="H203" s="136">
        <f t="shared" si="13"/>
        <v>194.49541284403674</v>
      </c>
      <c r="I203" s="81" t="s">
        <v>1302</v>
      </c>
      <c r="J203" s="279">
        <v>1.3</v>
      </c>
      <c r="K203" s="81" t="s">
        <v>1303</v>
      </c>
      <c r="L203" s="279">
        <v>0.5</v>
      </c>
      <c r="M203" s="81" t="s">
        <v>1304</v>
      </c>
      <c r="N203" s="279">
        <v>1.9</v>
      </c>
      <c r="O203" s="81" t="s">
        <v>1305</v>
      </c>
      <c r="P203" s="279">
        <v>2.6</v>
      </c>
      <c r="Q203" s="81" t="s">
        <v>1306</v>
      </c>
      <c r="R203" s="279">
        <v>1.2</v>
      </c>
      <c r="S203" s="81" t="s">
        <v>1307</v>
      </c>
      <c r="T203" s="279">
        <v>3.1</v>
      </c>
      <c r="U203" s="81"/>
      <c r="V203" s="279"/>
      <c r="W203" s="81"/>
      <c r="X203" s="279"/>
      <c r="Y203" s="81"/>
      <c r="Z203" s="279"/>
      <c r="AA203" s="81"/>
      <c r="AB203" s="279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35" t="s">
        <v>220</v>
      </c>
      <c r="B204" s="96"/>
      <c r="C204" s="4"/>
      <c r="D204" s="4"/>
      <c r="E204" s="4"/>
      <c r="F204" s="4"/>
      <c r="G204" s="251">
        <f t="shared" si="12"/>
        <v>0</v>
      </c>
      <c r="H204" s="136">
        <f t="shared" si="13"/>
        <v>0</v>
      </c>
      <c r="I204" s="81"/>
      <c r="J204" s="279"/>
      <c r="K204" s="81"/>
      <c r="L204" s="279"/>
      <c r="M204" s="81"/>
      <c r="N204" s="279"/>
      <c r="O204" s="81"/>
      <c r="P204" s="279"/>
      <c r="Q204" s="81"/>
      <c r="R204" s="279"/>
      <c r="S204" s="81"/>
      <c r="T204" s="279"/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10.199999999999999</v>
      </c>
      <c r="H205" s="136">
        <f t="shared" si="13"/>
        <v>187.1559633027523</v>
      </c>
      <c r="I205" s="89" t="s">
        <v>1008</v>
      </c>
      <c r="J205" s="282">
        <v>1.8</v>
      </c>
      <c r="K205" s="89" t="s">
        <v>1117</v>
      </c>
      <c r="L205" s="282">
        <v>2.9</v>
      </c>
      <c r="M205" s="87" t="s">
        <v>1041</v>
      </c>
      <c r="N205" s="281">
        <v>0.5</v>
      </c>
      <c r="O205" s="89" t="s">
        <v>1308</v>
      </c>
      <c r="P205" s="282">
        <v>5</v>
      </c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0.25</v>
      </c>
      <c r="H206" s="136">
        <f t="shared" si="13"/>
        <v>4.5871559633027523</v>
      </c>
      <c r="I206" s="260" t="s">
        <v>1309</v>
      </c>
      <c r="J206" s="283">
        <v>0.25</v>
      </c>
      <c r="K206" s="81"/>
      <c r="L206" s="279"/>
      <c r="M206" s="81"/>
      <c r="N206" s="279"/>
      <c r="O206" s="81"/>
      <c r="P206" s="279"/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30" t="s">
        <v>18</v>
      </c>
      <c r="D207" s="4"/>
      <c r="E207" s="4"/>
      <c r="F207" s="4"/>
      <c r="G207" s="251">
        <f t="shared" ref="G207:G253" si="18">SUM(J207,L207,N207,P207,R207,T207,V207,X207,Z207,AB207,AD207,AF207,AH207,AJ207,AL207,AN207,AP207,AR207,AT207,AV207)</f>
        <v>7.2</v>
      </c>
      <c r="H207" s="136">
        <f t="shared" si="13"/>
        <v>132.11009174311926</v>
      </c>
      <c r="I207" s="89" t="s">
        <v>1310</v>
      </c>
      <c r="J207" s="282">
        <v>1.7</v>
      </c>
      <c r="K207" s="85" t="s">
        <v>1311</v>
      </c>
      <c r="L207" s="280">
        <v>2.75</v>
      </c>
      <c r="M207" s="81" t="s">
        <v>1312</v>
      </c>
      <c r="N207" s="279">
        <v>2.75</v>
      </c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si="18"/>
        <v>7.9</v>
      </c>
      <c r="H208" s="136">
        <f t="shared" ref="H208:H269" si="19">SUM(G208*1000)/54.5</f>
        <v>144.95412844036699</v>
      </c>
      <c r="I208" s="81" t="s">
        <v>1313</v>
      </c>
      <c r="J208" s="279">
        <v>1.7</v>
      </c>
      <c r="K208" s="81" t="s">
        <v>1314</v>
      </c>
      <c r="L208" s="279">
        <v>1</v>
      </c>
      <c r="M208" s="260" t="s">
        <v>1315</v>
      </c>
      <c r="N208" s="283">
        <v>1</v>
      </c>
      <c r="O208" s="85" t="s">
        <v>1316</v>
      </c>
      <c r="P208" s="280">
        <v>4.2</v>
      </c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48"/>
      <c r="C209" s="4"/>
      <c r="D209" s="4"/>
      <c r="E209" s="4"/>
      <c r="F209" s="4"/>
      <c r="G209" s="251">
        <f t="shared" si="18"/>
        <v>8.1999999999999993</v>
      </c>
      <c r="H209" s="136">
        <f t="shared" si="19"/>
        <v>150.45871559633028</v>
      </c>
      <c r="I209" s="81" t="s">
        <v>1317</v>
      </c>
      <c r="J209" s="279">
        <v>0.5</v>
      </c>
      <c r="K209" s="266" t="s">
        <v>1157</v>
      </c>
      <c r="L209" s="291">
        <v>2</v>
      </c>
      <c r="M209" s="99" t="s">
        <v>1314</v>
      </c>
      <c r="N209" s="289">
        <v>1</v>
      </c>
      <c r="O209" s="101" t="s">
        <v>1318</v>
      </c>
      <c r="P209" s="100">
        <v>4.2</v>
      </c>
      <c r="Q209" s="83" t="s">
        <v>1319</v>
      </c>
      <c r="R209" s="284">
        <v>0.5</v>
      </c>
      <c r="S209" s="83"/>
      <c r="T209" s="284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96"/>
      <c r="C210" s="4"/>
      <c r="D210" s="4"/>
      <c r="E210" s="4"/>
      <c r="F210" s="4"/>
      <c r="G210" s="251">
        <f t="shared" si="18"/>
        <v>0</v>
      </c>
      <c r="H210" s="136">
        <f t="shared" si="19"/>
        <v>0</v>
      </c>
      <c r="I210" s="81"/>
      <c r="J210" s="279"/>
      <c r="K210" s="81"/>
      <c r="L210" s="279"/>
      <c r="M210" s="81"/>
      <c r="N210" s="279"/>
      <c r="O210" s="81"/>
      <c r="P210" s="279"/>
      <c r="Q210" s="81"/>
      <c r="R210" s="279"/>
      <c r="S210" s="81"/>
      <c r="T210" s="279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>SUM(J212,L212,N212,P212,R212,T212,V212,X212,Z212,AB212,AD212,AF212,AH212,AJ212,AL212,AN212,AP212,AR212,AT212,AV212)</f>
        <v>2</v>
      </c>
      <c r="H212" s="136">
        <f t="shared" si="19"/>
        <v>36.697247706422019</v>
      </c>
      <c r="I212" s="81" t="s">
        <v>1320</v>
      </c>
      <c r="J212" s="279">
        <v>1</v>
      </c>
      <c r="K212" s="263" t="s">
        <v>1321</v>
      </c>
      <c r="L212" s="283">
        <v>1</v>
      </c>
      <c r="M212" s="101"/>
      <c r="N212" s="100"/>
      <c r="O212" s="99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1</v>
      </c>
      <c r="H213" s="136">
        <f t="shared" si="19"/>
        <v>18.348623853211009</v>
      </c>
      <c r="I213" s="260" t="s">
        <v>1322</v>
      </c>
      <c r="J213" s="283">
        <v>1</v>
      </c>
      <c r="K213" s="87"/>
      <c r="L213" s="281"/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1</v>
      </c>
      <c r="H214" s="136">
        <f t="shared" si="19"/>
        <v>18.348623853211009</v>
      </c>
      <c r="I214" s="260" t="s">
        <v>1323</v>
      </c>
      <c r="J214" s="283">
        <v>1</v>
      </c>
      <c r="K214" s="87"/>
      <c r="L214" s="281"/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40" t="s">
        <v>231</v>
      </c>
      <c r="B215" s="96"/>
      <c r="C215" s="4"/>
      <c r="D215" s="4"/>
      <c r="E215" s="4"/>
      <c r="F215" s="4"/>
      <c r="G215" s="251">
        <f t="shared" si="18"/>
        <v>4</v>
      </c>
      <c r="H215" s="136">
        <f t="shared" si="19"/>
        <v>73.394495412844037</v>
      </c>
      <c r="I215" s="260" t="s">
        <v>1324</v>
      </c>
      <c r="J215" s="281">
        <v>2</v>
      </c>
      <c r="K215" s="260" t="s">
        <v>1325</v>
      </c>
      <c r="L215" s="281">
        <v>2</v>
      </c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0</v>
      </c>
      <c r="H216" s="136">
        <f t="shared" si="19"/>
        <v>0</v>
      </c>
      <c r="I216" s="81"/>
      <c r="J216" s="279"/>
      <c r="K216" s="81"/>
      <c r="L216" s="279"/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>SUM(J217,L217,N217,P217,R217,T217,V217,X217,Z217,AB217,AD217,AF217,AH217,AJ217,AL217,AN217,AP217,AR217,AT217,AV217)</f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37" t="s">
        <v>234</v>
      </c>
      <c r="B218" s="24" t="s">
        <v>17</v>
      </c>
      <c r="C218" s="4"/>
      <c r="D218" s="4"/>
      <c r="E218" s="4"/>
      <c r="F218" s="4"/>
      <c r="G218" s="251">
        <f>SUM(J218,L218,N218,P218,R218,T218,V218,X218,Z218,AB218,AD218,AF218,AH218,AJ218,AL218,AN218,AP218,AR218,AT218,AV218)</f>
        <v>15.85</v>
      </c>
      <c r="H218" s="136">
        <f t="shared" si="19"/>
        <v>290.82568807339447</v>
      </c>
      <c r="I218" s="81" t="s">
        <v>1326</v>
      </c>
      <c r="J218" s="279">
        <v>1.1000000000000001</v>
      </c>
      <c r="K218" s="81" t="s">
        <v>1327</v>
      </c>
      <c r="L218" s="279">
        <v>0.4</v>
      </c>
      <c r="M218" s="81" t="s">
        <v>1328</v>
      </c>
      <c r="N218" s="279">
        <v>1.2</v>
      </c>
      <c r="O218" s="81" t="s">
        <v>1329</v>
      </c>
      <c r="P218" s="279">
        <v>1</v>
      </c>
      <c r="Q218" s="81" t="s">
        <v>1330</v>
      </c>
      <c r="R218" s="279">
        <v>1</v>
      </c>
      <c r="S218" s="81" t="s">
        <v>1331</v>
      </c>
      <c r="T218" s="279">
        <v>0.9</v>
      </c>
      <c r="U218" s="89" t="s">
        <v>1332</v>
      </c>
      <c r="V218" s="282">
        <v>0.4</v>
      </c>
      <c r="W218" s="263" t="s">
        <v>1333</v>
      </c>
      <c r="X218" s="291">
        <v>2</v>
      </c>
      <c r="Y218" s="87" t="s">
        <v>1334</v>
      </c>
      <c r="Z218" s="281">
        <v>3.25</v>
      </c>
      <c r="AA218" s="87" t="s">
        <v>1335</v>
      </c>
      <c r="AB218" s="281">
        <v>1.5</v>
      </c>
      <c r="AC218" s="256" t="s">
        <v>1336</v>
      </c>
      <c r="AD218" s="293">
        <v>2</v>
      </c>
      <c r="AE218" s="83" t="s">
        <v>1337</v>
      </c>
      <c r="AF218" s="284">
        <v>1.1000000000000001</v>
      </c>
      <c r="AG218" s="83"/>
      <c r="AH218" s="284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30" t="s">
        <v>18</v>
      </c>
      <c r="D219" s="30" t="s">
        <v>19</v>
      </c>
      <c r="E219" s="4"/>
      <c r="F219" s="30" t="s">
        <v>906</v>
      </c>
      <c r="G219" s="251">
        <f t="shared" si="18"/>
        <v>15.85</v>
      </c>
      <c r="H219" s="136">
        <f t="shared" si="19"/>
        <v>290.82568807339447</v>
      </c>
      <c r="I219" s="81" t="s">
        <v>1326</v>
      </c>
      <c r="J219" s="279">
        <v>1.1000000000000001</v>
      </c>
      <c r="K219" s="81" t="s">
        <v>1327</v>
      </c>
      <c r="L219" s="279">
        <v>0.4</v>
      </c>
      <c r="M219" s="81" t="s">
        <v>1328</v>
      </c>
      <c r="N219" s="279">
        <v>1.2</v>
      </c>
      <c r="O219" s="81" t="s">
        <v>1329</v>
      </c>
      <c r="P219" s="279">
        <v>1</v>
      </c>
      <c r="Q219" s="81" t="s">
        <v>1330</v>
      </c>
      <c r="R219" s="279">
        <v>1</v>
      </c>
      <c r="S219" s="81" t="s">
        <v>1331</v>
      </c>
      <c r="T219" s="279">
        <v>0.9</v>
      </c>
      <c r="U219" s="89" t="s">
        <v>1332</v>
      </c>
      <c r="V219" s="282">
        <v>0.4</v>
      </c>
      <c r="W219" s="263" t="s">
        <v>1333</v>
      </c>
      <c r="X219" s="291">
        <v>2</v>
      </c>
      <c r="Y219" s="87" t="s">
        <v>1334</v>
      </c>
      <c r="Z219" s="281">
        <v>3.25</v>
      </c>
      <c r="AA219" s="87" t="s">
        <v>1335</v>
      </c>
      <c r="AB219" s="281">
        <v>1.5</v>
      </c>
      <c r="AC219" s="256" t="s">
        <v>1336</v>
      </c>
      <c r="AD219" s="293">
        <v>2</v>
      </c>
      <c r="AE219" s="83" t="s">
        <v>1337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8" t="s">
        <v>236</v>
      </c>
      <c r="B220" s="24" t="s">
        <v>17</v>
      </c>
      <c r="C220" s="4"/>
      <c r="D220" s="4"/>
      <c r="E220" s="4"/>
      <c r="F220" s="4"/>
      <c r="G220" s="251">
        <f t="shared" si="18"/>
        <v>5.75</v>
      </c>
      <c r="H220" s="136">
        <f t="shared" si="19"/>
        <v>105.50458715596331</v>
      </c>
      <c r="I220" s="260" t="s">
        <v>1338</v>
      </c>
      <c r="J220" s="283">
        <v>0.5</v>
      </c>
      <c r="K220" s="87" t="s">
        <v>1339</v>
      </c>
      <c r="L220" s="281">
        <v>1.25</v>
      </c>
      <c r="M220" s="87" t="s">
        <v>1340</v>
      </c>
      <c r="N220" s="281">
        <v>1.25</v>
      </c>
      <c r="O220" s="83" t="s">
        <v>1341</v>
      </c>
      <c r="P220" s="284">
        <v>2.75</v>
      </c>
      <c r="Q220" s="81"/>
      <c r="R220" s="319"/>
      <c r="S220" s="81"/>
      <c r="T220" s="279"/>
      <c r="U220" s="81"/>
      <c r="V220" s="279"/>
      <c r="W220" s="81"/>
      <c r="X220" s="279"/>
      <c r="Y220" s="81"/>
      <c r="Z220" s="279"/>
      <c r="AA220" s="81"/>
      <c r="AB220" s="279"/>
      <c r="AC220" s="81"/>
      <c r="AD220" s="279"/>
      <c r="AE220" s="81"/>
      <c r="AF220" s="279"/>
      <c r="AG220" s="81"/>
      <c r="AH220" s="279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1338</v>
      </c>
      <c r="J221" s="283">
        <v>0.5</v>
      </c>
      <c r="K221" s="87" t="s">
        <v>1339</v>
      </c>
      <c r="L221" s="281">
        <v>1.25</v>
      </c>
      <c r="M221" s="87" t="s">
        <v>1340</v>
      </c>
      <c r="N221" s="281">
        <v>1.25</v>
      </c>
      <c r="O221" s="83" t="s">
        <v>1341</v>
      </c>
      <c r="P221" s="284">
        <v>2.75</v>
      </c>
      <c r="Q221" s="81"/>
      <c r="R221" s="319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5" t="s">
        <v>238</v>
      </c>
      <c r="B222" s="96"/>
      <c r="C222" s="4"/>
      <c r="D222" s="4"/>
      <c r="E222" s="4"/>
      <c r="F222" s="4"/>
      <c r="G222" s="251">
        <f t="shared" si="18"/>
        <v>0</v>
      </c>
      <c r="H222" s="136">
        <f t="shared" si="19"/>
        <v>0</v>
      </c>
      <c r="I222" s="81"/>
      <c r="J222" s="279"/>
      <c r="K222" s="81"/>
      <c r="L222" s="279"/>
      <c r="M222" s="81"/>
      <c r="N222" s="279"/>
      <c r="O222" s="81"/>
      <c r="P222" s="279"/>
      <c r="Q222" s="81"/>
      <c r="R222" s="279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30" t="s">
        <v>18</v>
      </c>
      <c r="D224" s="4"/>
      <c r="E224" s="4"/>
      <c r="F224" s="4"/>
      <c r="G224" s="251">
        <f t="shared" si="18"/>
        <v>3.4</v>
      </c>
      <c r="H224" s="136">
        <f t="shared" si="19"/>
        <v>62.38532110091743</v>
      </c>
      <c r="I224" s="81" t="s">
        <v>1342</v>
      </c>
      <c r="J224" s="279">
        <v>2.4</v>
      </c>
      <c r="K224" s="83" t="s">
        <v>1343</v>
      </c>
      <c r="L224" s="284">
        <v>1</v>
      </c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4"/>
      <c r="D225" s="4"/>
      <c r="E225" s="4"/>
      <c r="F225" s="4"/>
      <c r="G225" s="251">
        <f t="shared" si="18"/>
        <v>3</v>
      </c>
      <c r="H225" s="136">
        <f t="shared" si="19"/>
        <v>55.045871559633028</v>
      </c>
      <c r="I225" s="87" t="s">
        <v>1344</v>
      </c>
      <c r="J225" s="281">
        <v>1</v>
      </c>
      <c r="K225" s="85" t="s">
        <v>1345</v>
      </c>
      <c r="L225" s="280">
        <v>2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40" t="s">
        <v>242</v>
      </c>
      <c r="B226" s="96"/>
      <c r="C226" s="4"/>
      <c r="D226" s="4"/>
      <c r="E226" s="4"/>
      <c r="F226" s="4"/>
      <c r="G226" s="251">
        <f t="shared" si="18"/>
        <v>1.1000000000000001</v>
      </c>
      <c r="H226" s="136">
        <f t="shared" si="19"/>
        <v>20.183486238532112</v>
      </c>
      <c r="I226" s="83" t="s">
        <v>1346</v>
      </c>
      <c r="J226" s="284">
        <v>1.1000000000000001</v>
      </c>
      <c r="K226" s="81"/>
      <c r="L226" s="279"/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0</v>
      </c>
      <c r="H227" s="136">
        <f t="shared" si="19"/>
        <v>0</v>
      </c>
      <c r="I227" s="83"/>
      <c r="J227" s="284"/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1"/>
      <c r="J228" s="279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35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7" t="s">
        <v>247</v>
      </c>
      <c r="B231" s="24" t="s">
        <v>17</v>
      </c>
      <c r="C231" s="4"/>
      <c r="D231" s="30" t="s">
        <v>19</v>
      </c>
      <c r="E231" s="4"/>
      <c r="F231" s="30" t="s">
        <v>906</v>
      </c>
      <c r="G231" s="251">
        <f t="shared" si="18"/>
        <v>8.2050000000000001</v>
      </c>
      <c r="H231" s="136">
        <f t="shared" si="19"/>
        <v>150.55045871559633</v>
      </c>
      <c r="I231" s="81" t="s">
        <v>1347</v>
      </c>
      <c r="J231" s="279">
        <v>0.9</v>
      </c>
      <c r="K231" s="81" t="s">
        <v>1348</v>
      </c>
      <c r="L231" s="279">
        <v>1.855</v>
      </c>
      <c r="M231" s="81" t="s">
        <v>1349</v>
      </c>
      <c r="N231" s="279">
        <v>1.45</v>
      </c>
      <c r="O231" s="81" t="s">
        <v>1350</v>
      </c>
      <c r="P231" s="279">
        <v>1.9</v>
      </c>
      <c r="Q231" s="87" t="s">
        <v>1351</v>
      </c>
      <c r="R231" s="281">
        <v>2.1</v>
      </c>
      <c r="S231" s="83"/>
      <c r="T231" s="284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4"/>
      <c r="C232" s="4"/>
      <c r="D232" s="4"/>
      <c r="E232" s="4"/>
      <c r="F232" s="4"/>
      <c r="G232" s="251">
        <f t="shared" si="18"/>
        <v>8.2050000000000001</v>
      </c>
      <c r="H232" s="136">
        <f t="shared" si="19"/>
        <v>150.55045871559633</v>
      </c>
      <c r="I232" s="81" t="s">
        <v>1347</v>
      </c>
      <c r="J232" s="279">
        <v>0.9</v>
      </c>
      <c r="K232" s="81" t="s">
        <v>1348</v>
      </c>
      <c r="L232" s="279">
        <v>1.855</v>
      </c>
      <c r="M232" s="81" t="s">
        <v>1349</v>
      </c>
      <c r="N232" s="279">
        <v>1.45</v>
      </c>
      <c r="O232" s="81" t="s">
        <v>1350</v>
      </c>
      <c r="P232" s="279">
        <v>1.9</v>
      </c>
      <c r="Q232" s="87" t="s">
        <v>1351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5" t="s">
        <v>249</v>
      </c>
      <c r="B233" s="96"/>
      <c r="C233" s="4"/>
      <c r="D233" s="4"/>
      <c r="E233" s="4"/>
      <c r="F233" s="4"/>
      <c r="G233" s="251">
        <f t="shared" si="18"/>
        <v>0</v>
      </c>
      <c r="H233" s="136">
        <f t="shared" si="19"/>
        <v>0</v>
      </c>
      <c r="I233" s="81"/>
      <c r="J233" s="279"/>
      <c r="K233" s="81"/>
      <c r="L233" s="279"/>
      <c r="M233" s="81"/>
      <c r="N233" s="279"/>
      <c r="O233" s="81"/>
      <c r="P233" s="279"/>
      <c r="Q233" s="81"/>
      <c r="R233" s="279"/>
      <c r="S233" s="81"/>
      <c r="T233" s="279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98" t="s">
        <v>250</v>
      </c>
      <c r="B234" s="96"/>
      <c r="C234" s="4"/>
      <c r="D234" s="4"/>
      <c r="E234" s="4"/>
      <c r="F234" s="4"/>
      <c r="G234" s="251">
        <f t="shared" si="18"/>
        <v>7.5</v>
      </c>
      <c r="H234" s="136">
        <f t="shared" si="19"/>
        <v>137.61467889908258</v>
      </c>
      <c r="I234" s="81" t="s">
        <v>1352</v>
      </c>
      <c r="J234" s="279">
        <v>5.8</v>
      </c>
      <c r="K234" s="85" t="s">
        <v>1353</v>
      </c>
      <c r="L234" s="280">
        <v>1.7</v>
      </c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7.6000000000000005</v>
      </c>
      <c r="H235" s="136">
        <f t="shared" si="19"/>
        <v>139.44954128440369</v>
      </c>
      <c r="I235" s="81" t="s">
        <v>1352</v>
      </c>
      <c r="J235" s="279">
        <v>5.9</v>
      </c>
      <c r="K235" s="85" t="s">
        <v>1353</v>
      </c>
      <c r="L235" s="280">
        <v>1.7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35" t="s">
        <v>252</v>
      </c>
      <c r="B236" s="96"/>
      <c r="C236" s="4"/>
      <c r="D236" s="4"/>
      <c r="E236" s="4"/>
      <c r="F236" s="4"/>
      <c r="G236" s="251">
        <f t="shared" si="18"/>
        <v>0</v>
      </c>
      <c r="H236" s="136">
        <f t="shared" si="19"/>
        <v>0</v>
      </c>
      <c r="I236" s="81"/>
      <c r="J236" s="279"/>
      <c r="K236" s="81"/>
      <c r="L236" s="279"/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30" t="s">
        <v>18</v>
      </c>
      <c r="D237" s="4"/>
      <c r="E237" s="4"/>
      <c r="F237" s="4"/>
      <c r="G237" s="251">
        <f t="shared" si="18"/>
        <v>7.4</v>
      </c>
      <c r="H237" s="136">
        <f t="shared" si="19"/>
        <v>135.77981651376146</v>
      </c>
      <c r="I237" s="81" t="s">
        <v>1354</v>
      </c>
      <c r="J237" s="279">
        <v>2.4</v>
      </c>
      <c r="K237" s="87" t="s">
        <v>1355</v>
      </c>
      <c r="L237" s="281">
        <v>2</v>
      </c>
      <c r="M237" s="263" t="s">
        <v>1356</v>
      </c>
      <c r="N237" s="283">
        <v>2</v>
      </c>
      <c r="O237" s="87" t="s">
        <v>1357</v>
      </c>
      <c r="P237" s="281">
        <v>1</v>
      </c>
      <c r="Q237" s="83"/>
      <c r="R237" s="284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6"/>
      <c r="D238" s="4"/>
      <c r="E238" s="4"/>
      <c r="F238" s="4"/>
      <c r="G238" s="251">
        <f t="shared" si="18"/>
        <v>0</v>
      </c>
      <c r="H238" s="136">
        <f t="shared" si="19"/>
        <v>0</v>
      </c>
      <c r="I238" s="81"/>
      <c r="J238" s="279"/>
      <c r="K238" s="81"/>
      <c r="L238" s="279"/>
      <c r="M238" s="81"/>
      <c r="N238" s="279"/>
      <c r="O238" s="81"/>
      <c r="P238" s="279"/>
      <c r="Q238" s="81"/>
      <c r="R238" s="279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7" t="s">
        <v>255</v>
      </c>
      <c r="B239" s="24" t="s">
        <v>17</v>
      </c>
      <c r="C239" s="30" t="s">
        <v>18</v>
      </c>
      <c r="D239" s="30" t="s">
        <v>19</v>
      </c>
      <c r="E239" s="4"/>
      <c r="F239" s="30" t="s">
        <v>906</v>
      </c>
      <c r="G239" s="251">
        <f t="shared" si="18"/>
        <v>10.024999999999999</v>
      </c>
      <c r="H239" s="136">
        <f t="shared" si="19"/>
        <v>183.94495412844034</v>
      </c>
      <c r="I239" s="81" t="s">
        <v>1358</v>
      </c>
      <c r="J239" s="279">
        <v>1.2</v>
      </c>
      <c r="K239" s="85" t="s">
        <v>1359</v>
      </c>
      <c r="L239" s="279">
        <v>1.25</v>
      </c>
      <c r="M239" s="81" t="s">
        <v>1360</v>
      </c>
      <c r="N239" s="279">
        <v>1.25</v>
      </c>
      <c r="O239" s="81" t="s">
        <v>1361</v>
      </c>
      <c r="P239" s="279">
        <v>0.85</v>
      </c>
      <c r="Q239" s="81" t="s">
        <v>1362</v>
      </c>
      <c r="R239" s="279">
        <v>0.4</v>
      </c>
      <c r="S239" s="89" t="s">
        <v>1363</v>
      </c>
      <c r="T239" s="282">
        <v>0.67500000000000004</v>
      </c>
      <c r="U239" s="85" t="s">
        <v>1364</v>
      </c>
      <c r="V239" s="280">
        <v>1.5</v>
      </c>
      <c r="W239" s="85" t="s">
        <v>1365</v>
      </c>
      <c r="X239" s="280">
        <v>0.95</v>
      </c>
      <c r="Y239" s="85" t="s">
        <v>1366</v>
      </c>
      <c r="Z239" s="279">
        <v>0.95</v>
      </c>
      <c r="AA239" s="85" t="s">
        <v>1367</v>
      </c>
      <c r="AB239" s="279">
        <v>1</v>
      </c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4"/>
      <c r="C240" s="4"/>
      <c r="D240" s="4"/>
      <c r="E240" s="4"/>
      <c r="F240" s="4"/>
      <c r="G240" s="251">
        <f t="shared" si="18"/>
        <v>10.024999999999999</v>
      </c>
      <c r="H240" s="136">
        <f t="shared" si="19"/>
        <v>183.94495412844034</v>
      </c>
      <c r="I240" s="89" t="s">
        <v>1358</v>
      </c>
      <c r="J240" s="282">
        <v>1.2</v>
      </c>
      <c r="K240" s="85" t="s">
        <v>1359</v>
      </c>
      <c r="L240" s="279">
        <v>1.25</v>
      </c>
      <c r="M240" s="81" t="s">
        <v>1360</v>
      </c>
      <c r="N240" s="279">
        <v>1.25</v>
      </c>
      <c r="O240" s="81" t="s">
        <v>1361</v>
      </c>
      <c r="P240" s="279">
        <v>0.85</v>
      </c>
      <c r="Q240" s="81" t="s">
        <v>1362</v>
      </c>
      <c r="R240" s="279">
        <v>0.4</v>
      </c>
      <c r="S240" s="89" t="s">
        <v>1363</v>
      </c>
      <c r="T240" s="282">
        <v>0.67500000000000004</v>
      </c>
      <c r="U240" s="85" t="s">
        <v>1364</v>
      </c>
      <c r="V240" s="280">
        <v>1.5</v>
      </c>
      <c r="W240" s="85" t="s">
        <v>1365</v>
      </c>
      <c r="X240" s="280">
        <v>0.95</v>
      </c>
      <c r="Y240" s="85" t="s">
        <v>1366</v>
      </c>
      <c r="Z240" s="279">
        <v>0.95</v>
      </c>
      <c r="AA240" s="85" t="s">
        <v>1367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8" t="s">
        <v>257</v>
      </c>
      <c r="B241" s="96"/>
      <c r="C241" s="4"/>
      <c r="D241" s="4"/>
      <c r="E241" s="4"/>
      <c r="F241" s="4"/>
      <c r="G241" s="251">
        <f t="shared" si="18"/>
        <v>11.83</v>
      </c>
      <c r="H241" s="136">
        <f t="shared" si="19"/>
        <v>217.06422018348624</v>
      </c>
      <c r="I241" s="87" t="s">
        <v>1368</v>
      </c>
      <c r="J241" s="281">
        <v>2</v>
      </c>
      <c r="K241" s="87" t="s">
        <v>1369</v>
      </c>
      <c r="L241" s="281">
        <v>2</v>
      </c>
      <c r="M241" s="260" t="s">
        <v>1370</v>
      </c>
      <c r="N241" s="283">
        <v>2.73</v>
      </c>
      <c r="O241" s="300" t="s">
        <v>1371</v>
      </c>
      <c r="P241" s="325">
        <v>3</v>
      </c>
      <c r="Q241" s="300" t="s">
        <v>1372</v>
      </c>
      <c r="R241" s="325">
        <v>2.1</v>
      </c>
      <c r="S241" s="89"/>
      <c r="T241" s="282"/>
      <c r="U241" s="81"/>
      <c r="V241" s="279"/>
      <c r="W241" s="81"/>
      <c r="X241" s="279"/>
      <c r="Y241" s="81"/>
      <c r="Z241" s="279"/>
      <c r="AA241" s="81"/>
      <c r="AB241" s="279"/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1368</v>
      </c>
      <c r="J242" s="281">
        <v>2</v>
      </c>
      <c r="K242" s="87" t="s">
        <v>1369</v>
      </c>
      <c r="L242" s="281">
        <v>2</v>
      </c>
      <c r="M242" s="260" t="s">
        <v>1370</v>
      </c>
      <c r="N242" s="283">
        <v>2.73</v>
      </c>
      <c r="O242" s="300" t="s">
        <v>1371</v>
      </c>
      <c r="P242" s="325">
        <v>3</v>
      </c>
      <c r="Q242" s="300" t="s">
        <v>1372</v>
      </c>
      <c r="R242" s="325">
        <v>2.1</v>
      </c>
      <c r="S242" s="81"/>
      <c r="T242" s="279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5" t="s">
        <v>259</v>
      </c>
      <c r="B243" s="96"/>
      <c r="C243" s="4"/>
      <c r="D243" s="4"/>
      <c r="E243" s="4"/>
      <c r="F243" s="4"/>
      <c r="G243" s="251">
        <f t="shared" si="18"/>
        <v>0</v>
      </c>
      <c r="H243" s="136">
        <f t="shared" si="19"/>
        <v>0</v>
      </c>
      <c r="I243" s="81"/>
      <c r="J243" s="279"/>
      <c r="K243" s="81"/>
      <c r="L243" s="279"/>
      <c r="M243" s="81"/>
      <c r="N243" s="279"/>
      <c r="O243" s="81"/>
      <c r="P243" s="279"/>
      <c r="Q243" s="81"/>
      <c r="R243" s="279"/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1.5</v>
      </c>
      <c r="H244" s="136">
        <f t="shared" si="19"/>
        <v>27.522935779816514</v>
      </c>
      <c r="I244" s="85" t="s">
        <v>1373</v>
      </c>
      <c r="J244" s="280">
        <v>1.5</v>
      </c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0</v>
      </c>
      <c r="H245" s="136">
        <f t="shared" si="19"/>
        <v>0</v>
      </c>
      <c r="I245" s="81"/>
      <c r="J245" s="279"/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1</v>
      </c>
      <c r="H246" s="136">
        <f t="shared" si="19"/>
        <v>18.348623853211009</v>
      </c>
      <c r="I246" s="260" t="s">
        <v>1374</v>
      </c>
      <c r="J246" s="283">
        <v>1</v>
      </c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30" t="s">
        <v>18</v>
      </c>
      <c r="D247" s="4"/>
      <c r="E247" s="4"/>
      <c r="F247" s="4"/>
      <c r="G247" s="251">
        <f t="shared" si="18"/>
        <v>2.4</v>
      </c>
      <c r="H247" s="136">
        <f t="shared" si="19"/>
        <v>44.036697247706421</v>
      </c>
      <c r="I247" s="81" t="s">
        <v>1375</v>
      </c>
      <c r="J247" s="279">
        <v>2.4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4"/>
      <c r="D248" s="4"/>
      <c r="E248" s="4"/>
      <c r="F248" s="4"/>
      <c r="G248" s="251">
        <f t="shared" si="18"/>
        <v>0.9</v>
      </c>
      <c r="H248" s="136">
        <f t="shared" si="19"/>
        <v>16.513761467889907</v>
      </c>
      <c r="I248" s="87" t="s">
        <v>1376</v>
      </c>
      <c r="J248" s="281">
        <v>0.5</v>
      </c>
      <c r="K248" s="83" t="s">
        <v>1377</v>
      </c>
      <c r="L248" s="284">
        <v>0.4</v>
      </c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30" t="s">
        <v>18</v>
      </c>
      <c r="D249" s="4"/>
      <c r="E249" s="4"/>
      <c r="F249" s="4"/>
      <c r="G249" s="251">
        <f t="shared" si="18"/>
        <v>6.9</v>
      </c>
      <c r="H249" s="136">
        <f t="shared" si="19"/>
        <v>126.60550458715596</v>
      </c>
      <c r="I249" s="87" t="s">
        <v>1378</v>
      </c>
      <c r="J249" s="281">
        <v>1.7</v>
      </c>
      <c r="K249" s="263" t="s">
        <v>1379</v>
      </c>
      <c r="L249" s="283">
        <v>1</v>
      </c>
      <c r="M249" s="101" t="s">
        <v>1380</v>
      </c>
      <c r="N249" s="100">
        <v>4.2</v>
      </c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4"/>
      <c r="D250" s="4"/>
      <c r="E250" s="4"/>
      <c r="F250" s="4"/>
      <c r="G250" s="251">
        <f t="shared" si="18"/>
        <v>1</v>
      </c>
      <c r="H250" s="136">
        <f t="shared" si="19"/>
        <v>18.348623853211009</v>
      </c>
      <c r="I250" s="260" t="s">
        <v>1381</v>
      </c>
      <c r="J250" s="283">
        <v>1</v>
      </c>
      <c r="K250" s="87"/>
      <c r="L250" s="281"/>
      <c r="M250" s="81"/>
      <c r="N250" s="279"/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30" t="s">
        <v>18</v>
      </c>
      <c r="D251" s="4"/>
      <c r="E251" s="4"/>
      <c r="F251" s="4"/>
      <c r="G251" s="251">
        <f t="shared" si="18"/>
        <v>2.4</v>
      </c>
      <c r="H251" s="136">
        <f t="shared" si="19"/>
        <v>44.036697247706421</v>
      </c>
      <c r="I251" s="87" t="s">
        <v>1382</v>
      </c>
      <c r="J251" s="281">
        <v>2.4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4"/>
      <c r="D252" s="4"/>
      <c r="E252" s="4"/>
      <c r="F252" s="4"/>
      <c r="G252" s="251">
        <f t="shared" si="18"/>
        <v>1</v>
      </c>
      <c r="H252" s="136">
        <f t="shared" si="19"/>
        <v>18.348623853211009</v>
      </c>
      <c r="I252" s="260" t="s">
        <v>1383</v>
      </c>
      <c r="J252" s="283">
        <v>1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0</v>
      </c>
      <c r="H253" s="136">
        <f t="shared" si="19"/>
        <v>0</v>
      </c>
      <c r="I253" s="91"/>
      <c r="J253" s="287"/>
      <c r="K253" s="91"/>
      <c r="L253" s="287"/>
      <c r="M253" s="91"/>
      <c r="N253" s="279"/>
      <c r="O253" s="91"/>
      <c r="P253" s="279"/>
      <c r="Q253" s="91"/>
      <c r="R253" s="279"/>
      <c r="S253" s="91"/>
      <c r="T253" s="279"/>
      <c r="U253" s="91"/>
      <c r="V253" s="279"/>
      <c r="W253" s="91"/>
      <c r="X253" s="279"/>
      <c r="Y253" s="91"/>
      <c r="Z253" s="279"/>
      <c r="AA253" s="91"/>
      <c r="AB253" s="279"/>
      <c r="AC253" s="91"/>
      <c r="AD253" s="279"/>
      <c r="AE253" s="91"/>
      <c r="AF253" s="279"/>
      <c r="AG253" s="91"/>
      <c r="AH253" s="279"/>
      <c r="AI253" s="91"/>
      <c r="AJ253" s="279"/>
      <c r="AK253" s="91"/>
      <c r="AL253" s="279"/>
      <c r="AM253" s="91"/>
      <c r="AN253" s="279"/>
      <c r="AO253" s="91"/>
      <c r="AP253" s="279"/>
      <c r="AQ253" s="91"/>
      <c r="AR253" s="279"/>
      <c r="AS253" s="91"/>
      <c r="AT253" s="279"/>
      <c r="AU253" s="91"/>
      <c r="AV253" s="50">
        <f>IFERROR(VLOOKUP(A253,'Site check'!A:Q,14,0),0)</f>
        <v>0</v>
      </c>
    </row>
    <row r="254" spans="1:48">
      <c r="A254" s="35"/>
      <c r="B254" s="25"/>
      <c r="C254" s="25"/>
      <c r="D254" s="25"/>
      <c r="E254" s="25"/>
      <c r="F254" s="25"/>
      <c r="H254" s="136">
        <f t="shared" si="19"/>
        <v>0</v>
      </c>
      <c r="I254" s="81"/>
      <c r="J254" s="279"/>
      <c r="K254" s="81"/>
      <c r="L254" s="279"/>
      <c r="M254" s="81"/>
      <c r="N254" s="279"/>
      <c r="O254" s="81"/>
      <c r="P254" s="279"/>
      <c r="Q254" s="81"/>
      <c r="R254" s="279"/>
      <c r="S254" s="81"/>
      <c r="T254" s="279"/>
      <c r="U254" s="81"/>
      <c r="V254" s="279"/>
      <c r="W254" s="81"/>
      <c r="X254" s="279"/>
      <c r="Y254" s="81"/>
      <c r="Z254" s="279"/>
      <c r="AA254" s="81"/>
      <c r="AB254" s="279"/>
      <c r="AC254" s="81"/>
      <c r="AD254" s="279"/>
      <c r="AE254" s="81"/>
      <c r="AF254" s="279"/>
      <c r="AG254" s="81"/>
      <c r="AH254" s="279"/>
      <c r="AI254" s="81"/>
      <c r="AJ254" s="279"/>
      <c r="AK254" s="81"/>
      <c r="AL254" s="279"/>
      <c r="AM254" s="81"/>
      <c r="AN254" s="279"/>
      <c r="AO254" s="81"/>
      <c r="AP254" s="279"/>
      <c r="AQ254" s="81"/>
      <c r="AR254" s="279"/>
      <c r="AS254" s="81"/>
      <c r="AT254" s="279"/>
      <c r="AU254" s="81"/>
      <c r="AV254" s="50">
        <f>IFERROR(VLOOKUP(A254,'Site check'!A:Q,14,0),0)</f>
        <v>0</v>
      </c>
    </row>
    <row r="255" spans="1:48">
      <c r="A255" s="3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H269" s="136">
        <f t="shared" si="19"/>
        <v>0</v>
      </c>
    </row>
    <row r="270" spans="1:48">
      <c r="A270" s="25"/>
      <c r="B270" s="25"/>
      <c r="C270" s="25"/>
      <c r="D270" s="25"/>
      <c r="E270" s="25"/>
      <c r="F270" s="25"/>
    </row>
  </sheetData>
  <sheetProtection algorithmName="SHA-512" hashValue="qMfGtG9PSF3OmtfUXdJTM5XiN2PJzfsqPEqjCMXrtu/KE4nsTlEImh24WGEpi4dbAkEaXd3ID4JbLm+rjqa4nQ==" saltValue="ukh591a38klfeVMGERRMfg==" spinCount="100000" sheet="1" formatCells="0" autoFilter="0"/>
  <mergeCells count="2">
    <mergeCell ref="J2:L2"/>
    <mergeCell ref="D1:H1"/>
  </mergeCells>
  <phoneticPr fontId="17" type="noConversion"/>
  <conditionalFormatting sqref="I127">
    <cfRule type="expression" dxfId="119" priority="1">
      <formula>$X127="Not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tabSelected="1" zoomScale="80" zoomScaleNormal="80" workbookViewId="0">
      <pane xSplit="1" ySplit="1" topLeftCell="B2" activePane="bottomRight" state="frozen"/>
      <selection pane="bottomRight" activeCell="I12" sqref="I12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23" max="23" width="17.28515625" customWidth="1"/>
    <col min="45" max="45" width="9.28515625" bestFit="1" customWidth="1"/>
    <col min="54" max="55" width="9.42578125" bestFit="1" customWidth="1"/>
  </cols>
  <sheetData>
    <row r="1" spans="1:55" ht="61.15">
      <c r="A1" t="s">
        <v>1384</v>
      </c>
      <c r="B1" t="s">
        <v>872</v>
      </c>
      <c r="C1" t="s">
        <v>859</v>
      </c>
      <c r="D1" s="52" t="s">
        <v>1385</v>
      </c>
      <c r="E1" t="s">
        <v>881</v>
      </c>
      <c r="F1" t="s">
        <v>882</v>
      </c>
      <c r="G1" s="52" t="s">
        <v>286</v>
      </c>
      <c r="H1" s="52" t="s">
        <v>875</v>
      </c>
      <c r="I1" s="52" t="s">
        <v>876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1386</v>
      </c>
      <c r="P1" s="11" t="s">
        <v>894</v>
      </c>
      <c r="Q1" s="65" t="s">
        <v>1387</v>
      </c>
      <c r="R1" s="9" t="s">
        <v>896</v>
      </c>
      <c r="S1" s="13" t="s">
        <v>1387</v>
      </c>
      <c r="T1" s="9" t="s">
        <v>896</v>
      </c>
      <c r="U1" s="13" t="s">
        <v>1387</v>
      </c>
      <c r="V1" s="9" t="s">
        <v>896</v>
      </c>
      <c r="W1" s="13" t="s">
        <v>1387</v>
      </c>
      <c r="X1" s="9" t="s">
        <v>896</v>
      </c>
      <c r="Y1" s="13" t="s">
        <v>1387</v>
      </c>
      <c r="Z1" s="9" t="s">
        <v>896</v>
      </c>
      <c r="AA1" s="13" t="s">
        <v>1387</v>
      </c>
      <c r="AB1" s="9" t="s">
        <v>896</v>
      </c>
      <c r="AC1" s="13" t="s">
        <v>1387</v>
      </c>
      <c r="AD1" s="9" t="s">
        <v>896</v>
      </c>
      <c r="AE1" s="13" t="s">
        <v>1387</v>
      </c>
      <c r="AF1" s="9" t="s">
        <v>896</v>
      </c>
      <c r="AG1" s="13" t="s">
        <v>1387</v>
      </c>
      <c r="AH1" s="9" t="s">
        <v>896</v>
      </c>
      <c r="AI1" s="13" t="s">
        <v>1387</v>
      </c>
      <c r="AJ1" s="9" t="s">
        <v>896</v>
      </c>
      <c r="AK1" s="13" t="s">
        <v>1387</v>
      </c>
      <c r="AL1" s="9" t="s">
        <v>896</v>
      </c>
      <c r="AM1" s="13" t="s">
        <v>1387</v>
      </c>
      <c r="AN1" s="9" t="s">
        <v>896</v>
      </c>
      <c r="AO1" s="13" t="s">
        <v>1387</v>
      </c>
      <c r="AP1" s="9" t="s">
        <v>896</v>
      </c>
      <c r="AQ1" s="13" t="s">
        <v>1387</v>
      </c>
      <c r="AR1" s="9" t="s">
        <v>896</v>
      </c>
      <c r="AS1" s="13" t="s">
        <v>1387</v>
      </c>
      <c r="AT1" s="9"/>
      <c r="AU1" s="13" t="s">
        <v>1387</v>
      </c>
      <c r="AV1" s="9"/>
      <c r="AW1" s="13" t="s">
        <v>1387</v>
      </c>
      <c r="AX1" s="13" t="s">
        <v>1388</v>
      </c>
      <c r="AY1" s="13" t="s">
        <v>1389</v>
      </c>
      <c r="AZ1" s="49" t="s">
        <v>1390</v>
      </c>
      <c r="BA1" s="49" t="s">
        <v>1391</v>
      </c>
      <c r="BB1" s="52" t="s">
        <v>1392</v>
      </c>
      <c r="BC1" s="52" t="s">
        <v>1393</v>
      </c>
    </row>
    <row r="2" spans="1:55" ht="13.15">
      <c r="A2" t="s">
        <v>1394</v>
      </c>
      <c r="B2" t="s">
        <v>77</v>
      </c>
      <c r="C2" s="52" t="s">
        <v>482</v>
      </c>
      <c r="D2" s="52" t="s">
        <v>482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7"/>
      <c r="AU2" s="93"/>
      <c r="AV2" s="297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">
        <v>1395</v>
      </c>
      <c r="B3" t="s">
        <v>77</v>
      </c>
      <c r="C3" s="52" t="s">
        <v>482</v>
      </c>
      <c r="D3" s="52" t="s">
        <v>482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1" t="s">
        <v>1052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7"/>
      <c r="AU3" s="93"/>
      <c r="AV3" s="297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">
        <v>1396</v>
      </c>
      <c r="B4" t="s">
        <v>77</v>
      </c>
      <c r="C4" s="52" t="s">
        <v>482</v>
      </c>
      <c r="D4" s="52" t="s">
        <v>482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7"/>
      <c r="AU4" s="93"/>
      <c r="AV4" s="297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">
        <v>1397</v>
      </c>
      <c r="B5" t="s">
        <v>78</v>
      </c>
      <c r="C5" s="52" t="s">
        <v>483</v>
      </c>
      <c r="D5" s="52" t="s">
        <v>483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7"/>
      <c r="AU5" s="93"/>
      <c r="AV5" s="297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">
        <v>1398</v>
      </c>
      <c r="B6" t="s">
        <v>82</v>
      </c>
      <c r="C6" s="52" t="s">
        <v>494</v>
      </c>
      <c r="D6" s="52" t="s">
        <v>494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7"/>
      <c r="AU6" s="93"/>
      <c r="AV6" s="297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">
        <v>1399</v>
      </c>
      <c r="B7" t="s">
        <v>82</v>
      </c>
      <c r="C7" s="52" t="s">
        <v>494</v>
      </c>
      <c r="D7" s="52" t="s">
        <v>494</v>
      </c>
      <c r="E7">
        <v>0</v>
      </c>
      <c r="F7">
        <v>0</v>
      </c>
      <c r="G7" s="64">
        <v>45055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7"/>
      <c r="AU7" s="93"/>
      <c r="AV7" s="297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">
        <v>1400</v>
      </c>
      <c r="B8" t="s">
        <v>82</v>
      </c>
      <c r="C8" s="52" t="s">
        <v>494</v>
      </c>
      <c r="D8" s="52" t="s">
        <v>494</v>
      </c>
      <c r="E8">
        <v>0</v>
      </c>
      <c r="F8">
        <v>0</v>
      </c>
      <c r="G8" s="64">
        <v>45055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7"/>
      <c r="AU8" s="93"/>
      <c r="AV8" s="297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">
        <v>1401</v>
      </c>
      <c r="B9" t="s">
        <v>82</v>
      </c>
      <c r="C9" s="52" t="s">
        <v>494</v>
      </c>
      <c r="D9" s="52" t="s">
        <v>494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7"/>
      <c r="AU9" s="93"/>
      <c r="AV9" s="297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">
        <v>1402</v>
      </c>
      <c r="B10" t="s">
        <v>82</v>
      </c>
      <c r="C10" s="52" t="s">
        <v>494</v>
      </c>
      <c r="D10" s="52" t="s">
        <v>494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7"/>
      <c r="AU10" s="93"/>
      <c r="AV10" s="297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">
        <v>1403</v>
      </c>
      <c r="B11" t="s">
        <v>153</v>
      </c>
      <c r="C11" s="52" t="s">
        <v>633</v>
      </c>
      <c r="D11" s="52" t="s">
        <v>633</v>
      </c>
      <c r="E11" t="s">
        <v>1404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7"/>
      <c r="AU11" s="93"/>
      <c r="AV11" s="297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">
        <v>1405</v>
      </c>
      <c r="B12" t="s">
        <v>184</v>
      </c>
      <c r="C12" s="52" t="s">
        <v>693</v>
      </c>
      <c r="D12" s="52" t="s">
        <v>693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1" t="s">
        <v>1256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7"/>
      <c r="AU12" s="93"/>
      <c r="AV12" s="297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">
        <v>1406</v>
      </c>
      <c r="B13" t="s">
        <v>185</v>
      </c>
      <c r="C13" s="52" t="s">
        <v>694</v>
      </c>
      <c r="D13" s="52" t="s">
        <v>694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7"/>
      <c r="AU13" s="93"/>
      <c r="AV13" s="297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">
        <v>1407</v>
      </c>
      <c r="B14" t="s">
        <v>185</v>
      </c>
      <c r="C14" s="52" t="s">
        <v>694</v>
      </c>
      <c r="D14" s="52" t="s">
        <v>694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7"/>
      <c r="AU14" s="93"/>
      <c r="AV14" s="297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">
        <v>1408</v>
      </c>
      <c r="B15" t="s">
        <v>185</v>
      </c>
      <c r="C15" s="52" t="s">
        <v>694</v>
      </c>
      <c r="D15" s="52" t="s">
        <v>694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7"/>
      <c r="AU15" s="93"/>
      <c r="AV15" s="297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">
        <v>1409</v>
      </c>
      <c r="B16" t="s">
        <v>185</v>
      </c>
      <c r="C16" s="52" t="s">
        <v>694</v>
      </c>
      <c r="D16" s="52" t="s">
        <v>694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7"/>
      <c r="AU16" s="93"/>
      <c r="AV16" s="297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">
        <v>1410</v>
      </c>
      <c r="B17" t="s">
        <v>206</v>
      </c>
      <c r="C17" s="52" t="s">
        <v>726</v>
      </c>
      <c r="D17" s="52" t="s">
        <v>726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5" t="s">
        <v>1283</v>
      </c>
      <c r="R17" s="255">
        <v>2</v>
      </c>
      <c r="S17" s="256" t="s">
        <v>1284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7"/>
      <c r="AU17" s="93"/>
      <c r="AV17" s="297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">
        <v>1411</v>
      </c>
      <c r="B18" t="s">
        <v>206</v>
      </c>
      <c r="C18" s="52" t="s">
        <v>726</v>
      </c>
      <c r="D18" s="52" t="s">
        <v>726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83"/>
      <c r="R18" s="284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7"/>
      <c r="AU18" s="93"/>
      <c r="AV18" s="297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">
        <v>1412</v>
      </c>
      <c r="B19" t="s">
        <v>266</v>
      </c>
      <c r="C19" s="52" t="s">
        <v>829</v>
      </c>
      <c r="D19" s="52" t="s">
        <v>829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7"/>
      <c r="AU19" s="93"/>
      <c r="AV19" s="297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">
        <v>1413</v>
      </c>
      <c r="B20" t="s">
        <v>266</v>
      </c>
      <c r="C20" s="52" t="s">
        <v>829</v>
      </c>
      <c r="D20" s="52" t="s">
        <v>829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5" t="s">
        <v>1381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7"/>
      <c r="AU20" s="93"/>
      <c r="AV20" s="297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">
        <v>1414</v>
      </c>
      <c r="B21" t="s">
        <v>266</v>
      </c>
      <c r="C21" s="52" t="s">
        <v>829</v>
      </c>
      <c r="D21" s="52" t="s">
        <v>829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7"/>
      <c r="AU21" s="93"/>
      <c r="AV21" s="297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">
        <v>1415</v>
      </c>
      <c r="B22" t="s">
        <v>42</v>
      </c>
      <c r="C22" s="52" t="s">
        <v>407</v>
      </c>
      <c r="D22" s="52" t="s">
        <v>407</v>
      </c>
      <c r="E22" t="s">
        <v>1416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2" t="s">
        <v>1417</v>
      </c>
      <c r="R22" s="80">
        <v>4</v>
      </c>
      <c r="S22" s="83"/>
      <c r="T22" s="284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7"/>
      <c r="AU22" s="93"/>
      <c r="AV22" s="297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">
        <v>1418</v>
      </c>
      <c r="B23" t="s">
        <v>1419</v>
      </c>
      <c r="C23" s="52" t="s">
        <v>345</v>
      </c>
      <c r="D23" s="52" t="s">
        <v>345</v>
      </c>
      <c r="E23">
        <v>190.94</v>
      </c>
      <c r="F23">
        <v>79.89</v>
      </c>
      <c r="G23" s="64">
        <v>45601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217.70833333333337</v>
      </c>
      <c r="Q23" s="81" t="s">
        <v>907</v>
      </c>
      <c r="R23" s="82">
        <v>1.9</v>
      </c>
      <c r="S23" s="81" t="s">
        <v>908</v>
      </c>
      <c r="T23" s="82">
        <v>5.15</v>
      </c>
      <c r="U23" s="253" t="s">
        <v>909</v>
      </c>
      <c r="V23" s="281">
        <v>1.6</v>
      </c>
      <c r="W23" s="87" t="s">
        <v>910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7"/>
      <c r="AU23" s="93"/>
      <c r="AV23" s="297"/>
      <c r="AW23" s="93"/>
      <c r="AX23" s="66">
        <f t="shared" si="3"/>
        <v>10.450000000000001</v>
      </c>
      <c r="AY23" s="78">
        <f t="shared" si="4"/>
        <v>217.70833333333337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299.79416666666668</v>
      </c>
      <c r="BC23" s="53">
        <f t="shared" si="1"/>
        <v>188.74416666666667</v>
      </c>
    </row>
    <row r="24" spans="1:55" ht="13.15">
      <c r="A24" t="s">
        <v>1420</v>
      </c>
      <c r="B24" t="s">
        <v>1419</v>
      </c>
      <c r="C24" s="52" t="s">
        <v>345</v>
      </c>
      <c r="D24" s="52" t="s">
        <v>345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7"/>
      <c r="AU24" s="93"/>
      <c r="AV24" s="297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">
        <v>1421</v>
      </c>
      <c r="B25" t="s">
        <v>1419</v>
      </c>
      <c r="C25" s="52" t="s">
        <v>345</v>
      </c>
      <c r="D25" s="52" t="s">
        <v>345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7"/>
      <c r="AU25" s="93"/>
      <c r="AV25" s="297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">
        <v>1422</v>
      </c>
      <c r="B26" t="s">
        <v>1419</v>
      </c>
      <c r="C26" s="52" t="s">
        <v>345</v>
      </c>
      <c r="D26" s="52" t="s">
        <v>345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2</v>
      </c>
      <c r="N26">
        <v>12</v>
      </c>
      <c r="O26">
        <v>0</v>
      </c>
      <c r="P26" s="69">
        <f t="shared" si="2"/>
        <v>83.333333333333329</v>
      </c>
      <c r="Q26" s="300" t="s">
        <v>911</v>
      </c>
      <c r="R26" s="301">
        <v>3</v>
      </c>
      <c r="S26" s="83" t="s">
        <v>912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7"/>
      <c r="AU26" s="93"/>
      <c r="AV26" s="297"/>
      <c r="AW26" s="93"/>
      <c r="AX26" s="66">
        <f t="shared" si="3"/>
        <v>4</v>
      </c>
      <c r="AY26" s="78">
        <f t="shared" si="4"/>
        <v>83.333333333333329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181.66666666666666</v>
      </c>
      <c r="BC26" s="53">
        <f t="shared" si="1"/>
        <v>231.66666666666666</v>
      </c>
    </row>
    <row r="27" spans="1:55" ht="13.15">
      <c r="A27" t="s">
        <v>1423</v>
      </c>
      <c r="B27" t="s">
        <v>1419</v>
      </c>
      <c r="C27" s="52" t="s">
        <v>345</v>
      </c>
      <c r="D27" s="52" t="s">
        <v>345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7"/>
      <c r="AU27" s="93"/>
      <c r="AV27" s="297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">
        <v>1424</v>
      </c>
      <c r="B28" t="s">
        <v>1419</v>
      </c>
      <c r="C28" s="52" t="s">
        <v>345</v>
      </c>
      <c r="D28" s="52" t="s">
        <v>345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7"/>
      <c r="AU28" s="93"/>
      <c r="AV28" s="297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">
        <v>1425</v>
      </c>
      <c r="B29" t="s">
        <v>50</v>
      </c>
      <c r="C29" s="52" t="s">
        <v>420</v>
      </c>
      <c r="D29" s="52" t="s">
        <v>420</v>
      </c>
      <c r="E29" t="s">
        <v>1426</v>
      </c>
      <c r="F29" t="s">
        <v>1426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3" t="s">
        <v>957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7"/>
      <c r="AU29" s="93"/>
      <c r="AV29" s="297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">
        <v>1427</v>
      </c>
      <c r="B30" t="s">
        <v>69</v>
      </c>
      <c r="C30" s="52" t="s">
        <v>461</v>
      </c>
      <c r="D30" s="52" t="s">
        <v>461</v>
      </c>
      <c r="E30">
        <v>317.25</v>
      </c>
      <c r="F30">
        <v>289.58999999999997</v>
      </c>
      <c r="G30" s="64">
        <v>45601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660.41666666666663</v>
      </c>
      <c r="Q30" s="81" t="s">
        <v>1016</v>
      </c>
      <c r="R30" s="279">
        <v>0.8</v>
      </c>
      <c r="S30" s="81" t="s">
        <v>1017</v>
      </c>
      <c r="T30" s="279">
        <v>2</v>
      </c>
      <c r="U30" s="81" t="s">
        <v>1018</v>
      </c>
      <c r="V30" s="279">
        <v>1.4</v>
      </c>
      <c r="W30" s="81" t="s">
        <v>1019</v>
      </c>
      <c r="X30" s="279">
        <v>10.199999999999999</v>
      </c>
      <c r="Y30" s="89" t="s">
        <v>1021</v>
      </c>
      <c r="Z30" s="90">
        <v>1.8</v>
      </c>
      <c r="AA30" s="89"/>
      <c r="AB30" s="282"/>
      <c r="AC30" s="87" t="s">
        <v>1025</v>
      </c>
      <c r="AD30" s="281">
        <v>1.8</v>
      </c>
      <c r="AE30" s="112" t="s">
        <v>1023</v>
      </c>
      <c r="AF30" s="113">
        <v>2</v>
      </c>
      <c r="AG30" s="85" t="s">
        <v>1428</v>
      </c>
      <c r="AH30" s="86">
        <v>2.4</v>
      </c>
      <c r="AI30" s="85" t="s">
        <v>1027</v>
      </c>
      <c r="AJ30" s="86">
        <v>2.9</v>
      </c>
      <c r="AK30" s="81" t="s">
        <v>1015</v>
      </c>
      <c r="AL30" s="279">
        <v>2.5</v>
      </c>
      <c r="AM30" s="87" t="s">
        <v>1429</v>
      </c>
      <c r="AN30" s="281">
        <v>3.9</v>
      </c>
      <c r="AO30" s="92"/>
      <c r="AP30" s="80"/>
      <c r="AQ30" s="93"/>
      <c r="AR30" s="80"/>
      <c r="AS30" s="93"/>
      <c r="AT30" s="297"/>
      <c r="AU30" s="93"/>
      <c r="AV30" s="297"/>
      <c r="AW30" s="93"/>
      <c r="AX30" s="66">
        <f t="shared" si="3"/>
        <v>31.699999999999996</v>
      </c>
      <c r="AY30" s="78">
        <f t="shared" si="4"/>
        <v>660.41666666666663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647.45833333333326</v>
      </c>
      <c r="BC30" s="53">
        <f t="shared" si="1"/>
        <v>619.79833333333329</v>
      </c>
    </row>
    <row r="31" spans="1:55" ht="13.15">
      <c r="A31" t="s">
        <v>1430</v>
      </c>
      <c r="B31" t="s">
        <v>68</v>
      </c>
      <c r="C31" s="52" t="s">
        <v>461</v>
      </c>
      <c r="D31" s="52" t="s">
        <v>461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7"/>
      <c r="AU31" s="93"/>
      <c r="AV31" s="297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">
        <v>1431</v>
      </c>
      <c r="B32" t="s">
        <v>68</v>
      </c>
      <c r="C32" s="52" t="s">
        <v>461</v>
      </c>
      <c r="D32" s="52" t="s">
        <v>461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7"/>
      <c r="AU32" s="93"/>
      <c r="AV32" s="297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">
        <v>1432</v>
      </c>
      <c r="B33" t="s">
        <v>85</v>
      </c>
      <c r="C33" s="52" t="s">
        <v>500</v>
      </c>
      <c r="D33" s="52" t="s">
        <v>500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14</v>
      </c>
      <c r="N33">
        <v>12</v>
      </c>
      <c r="O33">
        <v>0</v>
      </c>
      <c r="P33" s="69">
        <f t="shared" si="2"/>
        <v>52.083333333333336</v>
      </c>
      <c r="Q33" s="81" t="s">
        <v>1058</v>
      </c>
      <c r="R33" s="82">
        <v>1</v>
      </c>
      <c r="S33" s="81" t="s">
        <v>1067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7"/>
      <c r="AU33" s="93"/>
      <c r="AV33" s="297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">
        <v>1433</v>
      </c>
      <c r="B34" t="s">
        <v>85</v>
      </c>
      <c r="C34" s="52" t="s">
        <v>500</v>
      </c>
      <c r="D34" s="52" t="s">
        <v>500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1" t="s">
        <v>1060</v>
      </c>
      <c r="R34" s="261">
        <v>2</v>
      </c>
      <c r="S34" s="263" t="s">
        <v>1061</v>
      </c>
      <c r="T34" s="261">
        <v>2</v>
      </c>
      <c r="U34" s="263" t="s">
        <v>1063</v>
      </c>
      <c r="V34" s="261">
        <v>2</v>
      </c>
      <c r="W34" s="99" t="s">
        <v>1061</v>
      </c>
      <c r="X34" s="100">
        <v>2</v>
      </c>
      <c r="Y34" s="263" t="s">
        <v>1062</v>
      </c>
      <c r="Z34" s="80">
        <v>2</v>
      </c>
      <c r="AA34" s="263" t="s">
        <v>1434</v>
      </c>
      <c r="AB34" s="80">
        <v>2</v>
      </c>
      <c r="AC34" s="263" t="s">
        <v>1062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7"/>
      <c r="AU34" s="93"/>
      <c r="AV34" s="297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">
        <v>1435</v>
      </c>
      <c r="B35" t="s">
        <v>85</v>
      </c>
      <c r="C35" s="52" t="s">
        <v>500</v>
      </c>
      <c r="D35" s="52" t="s">
        <v>500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7"/>
      <c r="AU35" s="93"/>
      <c r="AV35" s="297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">
        <v>1436</v>
      </c>
      <c r="B36" t="s">
        <v>85</v>
      </c>
      <c r="C36" s="52" t="s">
        <v>500</v>
      </c>
      <c r="D36" s="52" t="s">
        <v>500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7"/>
      <c r="AU36" s="93"/>
      <c r="AV36" s="297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">
        <v>1437</v>
      </c>
      <c r="B37" t="s">
        <v>85</v>
      </c>
      <c r="C37" s="52" t="s">
        <v>500</v>
      </c>
      <c r="D37" s="52" t="s">
        <v>500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7"/>
      <c r="AU37" s="93"/>
      <c r="AV37" s="297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">
        <v>1438</v>
      </c>
      <c r="B38" t="s">
        <v>85</v>
      </c>
      <c r="C38" s="52" t="s">
        <v>500</v>
      </c>
      <c r="D38" s="52" t="s">
        <v>500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2" t="s">
        <v>1064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7"/>
      <c r="AU38" s="93"/>
      <c r="AV38" s="297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">
        <v>1439</v>
      </c>
      <c r="B39" t="s">
        <v>85</v>
      </c>
      <c r="C39" s="52" t="s">
        <v>500</v>
      </c>
      <c r="D39" s="52" t="s">
        <v>500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7"/>
      <c r="AU39" s="93"/>
      <c r="AV39" s="297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">
        <v>1440</v>
      </c>
      <c r="B40" t="s">
        <v>85</v>
      </c>
      <c r="C40" s="52" t="s">
        <v>500</v>
      </c>
      <c r="D40" s="52" t="s">
        <v>500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7"/>
      <c r="AU40" s="93"/>
      <c r="AV40" s="297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">
        <v>1441</v>
      </c>
      <c r="B41" t="s">
        <v>85</v>
      </c>
      <c r="C41" s="52" t="s">
        <v>500</v>
      </c>
      <c r="D41" s="52" t="s">
        <v>500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1" t="s">
        <v>1059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7"/>
      <c r="AU41" s="93"/>
      <c r="AV41" s="297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">
        <v>1442</v>
      </c>
      <c r="B42" t="s">
        <v>85</v>
      </c>
      <c r="C42" s="52" t="s">
        <v>500</v>
      </c>
      <c r="D42" s="52" t="s">
        <v>500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7"/>
      <c r="AU42" s="93"/>
      <c r="AV42" s="297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">
        <v>1443</v>
      </c>
      <c r="B43" t="s">
        <v>85</v>
      </c>
      <c r="C43" s="52" t="s">
        <v>500</v>
      </c>
      <c r="D43" s="52" t="s">
        <v>500</v>
      </c>
      <c r="E43" t="s">
        <v>1444</v>
      </c>
      <c r="F43" t="s">
        <v>1444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7"/>
      <c r="AU43" s="93"/>
      <c r="AV43" s="297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">
        <v>1445</v>
      </c>
      <c r="B44" t="s">
        <v>87</v>
      </c>
      <c r="C44" s="52" t="s">
        <v>502</v>
      </c>
      <c r="D44" s="52" t="s">
        <v>502</v>
      </c>
      <c r="E44">
        <v>251.19999999999996</v>
      </c>
      <c r="F44">
        <v>239.14000000000001</v>
      </c>
      <c r="G44" s="64">
        <v>45601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156.25000000000003</v>
      </c>
      <c r="Q44" s="87"/>
      <c r="R44" s="88"/>
      <c r="S44" s="81" t="s">
        <v>1068</v>
      </c>
      <c r="T44" s="82">
        <v>1.3</v>
      </c>
      <c r="U44" s="81" t="s">
        <v>1069</v>
      </c>
      <c r="V44" s="82">
        <v>2.4</v>
      </c>
      <c r="W44" s="81" t="s">
        <v>1070</v>
      </c>
      <c r="X44" s="82">
        <v>0.7</v>
      </c>
      <c r="Y44" s="81" t="s">
        <v>1071</v>
      </c>
      <c r="Z44" s="82">
        <v>2.2000000000000002</v>
      </c>
      <c r="AA44" s="89" t="s">
        <v>1072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7"/>
      <c r="AU44" s="93"/>
      <c r="AV44" s="297"/>
      <c r="AW44" s="93"/>
      <c r="AX44" s="66">
        <f t="shared" si="3"/>
        <v>7.5000000000000009</v>
      </c>
      <c r="AY44" s="78">
        <f t="shared" si="4"/>
        <v>156.25000000000003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329.32499999999999</v>
      </c>
      <c r="BC44" s="53">
        <f t="shared" si="1"/>
        <v>317.26500000000004</v>
      </c>
    </row>
    <row r="45" spans="1:55" ht="13.15">
      <c r="A45" t="s">
        <v>1446</v>
      </c>
      <c r="B45" t="s">
        <v>87</v>
      </c>
      <c r="C45" s="52" t="s">
        <v>502</v>
      </c>
      <c r="D45" s="52" t="s">
        <v>502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7"/>
      <c r="AU45" s="93"/>
      <c r="AV45" s="297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">
        <v>1447</v>
      </c>
      <c r="B46" t="s">
        <v>87</v>
      </c>
      <c r="C46" s="52" t="s">
        <v>502</v>
      </c>
      <c r="D46" s="52" t="s">
        <v>502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7"/>
      <c r="AU46" s="93"/>
      <c r="AV46" s="297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">
        <v>1448</v>
      </c>
      <c r="B47" t="s">
        <v>99</v>
      </c>
      <c r="C47" s="52" t="s">
        <v>837</v>
      </c>
      <c r="D47" s="52" t="s">
        <v>837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7"/>
      <c r="AU47" s="93"/>
      <c r="AV47" s="297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">
        <v>1449</v>
      </c>
      <c r="B48" t="s">
        <v>99</v>
      </c>
      <c r="C48" s="52" t="s">
        <v>837</v>
      </c>
      <c r="D48" s="52" t="s">
        <v>837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7"/>
      <c r="AU48" s="93"/>
      <c r="AV48" s="297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">
        <v>1450</v>
      </c>
      <c r="B49" t="s">
        <v>99</v>
      </c>
      <c r="C49" s="52" t="s">
        <v>837</v>
      </c>
      <c r="D49" s="52" t="s">
        <v>837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1" t="s">
        <v>1086</v>
      </c>
      <c r="R49" s="82">
        <v>2</v>
      </c>
      <c r="S49" s="105" t="s">
        <v>1087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7"/>
      <c r="AU49" s="93"/>
      <c r="AV49" s="297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">
        <v>1451</v>
      </c>
      <c r="B50" t="s">
        <v>99</v>
      </c>
      <c r="C50" s="52" t="s">
        <v>837</v>
      </c>
      <c r="D50" s="52" t="s">
        <v>837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7"/>
      <c r="AU50" s="93"/>
      <c r="AV50" s="297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">
        <v>1452</v>
      </c>
      <c r="B51" t="s">
        <v>254</v>
      </c>
      <c r="C51" s="52" t="s">
        <v>805</v>
      </c>
      <c r="D51" s="52" t="s">
        <v>805</v>
      </c>
      <c r="E51">
        <v>0</v>
      </c>
      <c r="F51">
        <v>0</v>
      </c>
      <c r="G51" s="64">
        <v>0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7"/>
      <c r="AU51" s="93"/>
      <c r="AV51" s="297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0</v>
      </c>
      <c r="BC51" s="53">
        <f t="shared" si="1"/>
        <v>0</v>
      </c>
    </row>
    <row r="52" spans="1:55" ht="13.15">
      <c r="A52" t="s">
        <v>1453</v>
      </c>
      <c r="B52" t="s">
        <v>106</v>
      </c>
      <c r="C52" s="52" t="s">
        <v>541</v>
      </c>
      <c r="D52" s="52" t="s">
        <v>541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1" t="s">
        <v>1095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7"/>
      <c r="AU52" s="93"/>
      <c r="AV52" s="297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">
        <v>1454</v>
      </c>
      <c r="B53" t="s">
        <v>106</v>
      </c>
      <c r="C53" s="52" t="s">
        <v>541</v>
      </c>
      <c r="D53" s="52" t="s">
        <v>541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7"/>
      <c r="AU53" s="93"/>
      <c r="AV53" s="297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">
        <v>1455</v>
      </c>
      <c r="B54" t="s">
        <v>106</v>
      </c>
      <c r="C54" s="52" t="s">
        <v>541</v>
      </c>
      <c r="D54" s="52" t="s">
        <v>541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7"/>
      <c r="AU54" s="93"/>
      <c r="AV54" s="297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">
        <v>1456</v>
      </c>
      <c r="B55" t="s">
        <v>106</v>
      </c>
      <c r="C55" s="52" t="s">
        <v>541</v>
      </c>
      <c r="D55" s="52" t="s">
        <v>541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1" t="s">
        <v>1093</v>
      </c>
      <c r="R55" s="100">
        <v>2</v>
      </c>
      <c r="S55" s="99" t="s">
        <v>1093</v>
      </c>
      <c r="T55" s="100">
        <v>2</v>
      </c>
      <c r="U55" s="101" t="s">
        <v>1094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7"/>
      <c r="AU55" s="93"/>
      <c r="AV55" s="297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">
        <v>1457</v>
      </c>
      <c r="B56" t="s">
        <v>106</v>
      </c>
      <c r="C56" s="52" t="s">
        <v>541</v>
      </c>
      <c r="D56" s="52" t="s">
        <v>541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1" t="s">
        <v>1092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7"/>
      <c r="AU56" s="93"/>
      <c r="AV56" s="297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">
        <v>1458</v>
      </c>
      <c r="B57" t="s">
        <v>144</v>
      </c>
      <c r="C57" s="52" t="s">
        <v>612</v>
      </c>
      <c r="D57" s="52" t="s">
        <v>612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4</v>
      </c>
      <c r="K57">
        <v>2</v>
      </c>
      <c r="L57">
        <v>5</v>
      </c>
      <c r="M57">
        <v>8</v>
      </c>
      <c r="N57">
        <v>11</v>
      </c>
      <c r="O57">
        <v>0</v>
      </c>
      <c r="P57" s="69">
        <f t="shared" si="2"/>
        <v>243.75</v>
      </c>
      <c r="Q57" s="81" t="s">
        <v>1158</v>
      </c>
      <c r="R57" s="82">
        <v>5</v>
      </c>
      <c r="S57" s="99" t="s">
        <v>1160</v>
      </c>
      <c r="T57" s="100">
        <v>1</v>
      </c>
      <c r="U57" s="99" t="s">
        <v>1160</v>
      </c>
      <c r="V57" s="100">
        <v>1</v>
      </c>
      <c r="W57" s="99" t="s">
        <v>1161</v>
      </c>
      <c r="X57" s="289">
        <v>0.5</v>
      </c>
      <c r="Y57" s="85" t="s">
        <v>1162</v>
      </c>
      <c r="Z57" s="280">
        <v>4.2</v>
      </c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7"/>
      <c r="AU57" s="93"/>
      <c r="AV57" s="297"/>
      <c r="AW57" s="93"/>
      <c r="AX57" s="66">
        <f t="shared" si="3"/>
        <v>11.7</v>
      </c>
      <c r="AY57" s="78">
        <f t="shared" si="4"/>
        <v>243.75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161.875</v>
      </c>
      <c r="BC57" s="53">
        <f t="shared" si="1"/>
        <v>151.875</v>
      </c>
    </row>
    <row r="58" spans="1:55" ht="13.15">
      <c r="A58" t="s">
        <v>1459</v>
      </c>
      <c r="B58" t="s">
        <v>144</v>
      </c>
      <c r="C58" s="52" t="s">
        <v>612</v>
      </c>
      <c r="D58" s="52" t="s">
        <v>612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1" t="s">
        <v>1159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7"/>
      <c r="AU58" s="93"/>
      <c r="AV58" s="297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">
        <v>1460</v>
      </c>
      <c r="B59" t="s">
        <v>149</v>
      </c>
      <c r="C59" s="52" t="s">
        <v>622</v>
      </c>
      <c r="D59" s="52" t="s">
        <v>622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7"/>
      <c r="AU59" s="93"/>
      <c r="AV59" s="297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">
        <v>1461</v>
      </c>
      <c r="B60" t="s">
        <v>149</v>
      </c>
      <c r="C60" s="52" t="s">
        <v>622</v>
      </c>
      <c r="D60" s="52" t="s">
        <v>622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7"/>
      <c r="AU60" s="93"/>
      <c r="AV60" s="297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">
        <v>1462</v>
      </c>
      <c r="B61" t="s">
        <v>149</v>
      </c>
      <c r="C61" s="52" t="s">
        <v>622</v>
      </c>
      <c r="D61" s="52" t="s">
        <v>1463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7"/>
      <c r="AU61" s="93"/>
      <c r="AV61" s="297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">
        <v>1464</v>
      </c>
      <c r="B62" t="s">
        <v>149</v>
      </c>
      <c r="C62" s="52" t="s">
        <v>622</v>
      </c>
      <c r="D62" s="52" t="s">
        <v>622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1" t="s">
        <v>1170</v>
      </c>
      <c r="R62" s="82">
        <v>5</v>
      </c>
      <c r="S62" s="81" t="s">
        <v>1171</v>
      </c>
      <c r="T62" s="82">
        <v>4.5</v>
      </c>
      <c r="U62" s="81" t="s">
        <v>1465</v>
      </c>
      <c r="V62" s="82">
        <v>4.5</v>
      </c>
      <c r="W62" s="99" t="s">
        <v>1172</v>
      </c>
      <c r="X62" s="100">
        <v>1</v>
      </c>
      <c r="Y62" s="300" t="s">
        <v>1466</v>
      </c>
      <c r="Z62" s="301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7"/>
      <c r="AU62" s="93"/>
      <c r="AV62" s="297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">
        <v>1467</v>
      </c>
      <c r="B63" t="s">
        <v>146</v>
      </c>
      <c r="C63" s="52" t="s">
        <v>615</v>
      </c>
      <c r="D63" s="52" t="s">
        <v>615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1" t="s">
        <v>1164</v>
      </c>
      <c r="R63" s="82">
        <v>5</v>
      </c>
      <c r="S63" s="99" t="s">
        <v>1166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7"/>
      <c r="AU63" s="93"/>
      <c r="AV63" s="297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">
        <v>1468</v>
      </c>
      <c r="B64" t="s">
        <v>146</v>
      </c>
      <c r="C64" s="52" t="s">
        <v>615</v>
      </c>
      <c r="D64" s="52" t="s">
        <v>615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7"/>
      <c r="AU64" s="93"/>
      <c r="AV64" s="297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">
        <v>1469</v>
      </c>
      <c r="B65" t="s">
        <v>146</v>
      </c>
      <c r="C65" s="52" t="s">
        <v>615</v>
      </c>
      <c r="D65" s="52" t="s">
        <v>615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7"/>
      <c r="AU65" s="93"/>
      <c r="AV65" s="297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">
        <v>1470</v>
      </c>
      <c r="B66" t="s">
        <v>146</v>
      </c>
      <c r="C66" s="52" t="s">
        <v>615</v>
      </c>
      <c r="D66" s="52" t="s">
        <v>615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1" t="s">
        <v>1165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7"/>
      <c r="AU66" s="93"/>
      <c r="AV66" s="297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">
        <v>1471</v>
      </c>
      <c r="B67" t="s">
        <v>167</v>
      </c>
      <c r="C67" s="52" t="s">
        <v>659</v>
      </c>
      <c r="D67" s="52" t="s">
        <v>659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5" t="s">
        <v>1214</v>
      </c>
      <c r="R67" s="255">
        <v>1</v>
      </c>
      <c r="S67" s="105" t="s">
        <v>1214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7"/>
      <c r="AU67" s="93"/>
      <c r="AV67" s="297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">
        <v>1472</v>
      </c>
      <c r="B68" t="s">
        <v>167</v>
      </c>
      <c r="C68" s="52" t="s">
        <v>659</v>
      </c>
      <c r="D68" s="52" t="s">
        <v>659</v>
      </c>
      <c r="E68">
        <v>40</v>
      </c>
      <c r="F68">
        <v>40</v>
      </c>
      <c r="G68" s="64">
        <v>45328</v>
      </c>
      <c r="H68">
        <v>300</v>
      </c>
      <c r="I68">
        <v>300</v>
      </c>
      <c r="J68">
        <v>1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2" t="s">
        <v>1473</v>
      </c>
      <c r="R68" s="80">
        <v>1</v>
      </c>
      <c r="S68" s="89" t="s">
        <v>1216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7"/>
      <c r="AU68" s="93"/>
      <c r="AV68" s="297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">
        <v>1474</v>
      </c>
      <c r="B69" t="s">
        <v>167</v>
      </c>
      <c r="C69" s="52" t="s">
        <v>659</v>
      </c>
      <c r="D69" s="52" t="s">
        <v>659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1" t="s">
        <v>1475</v>
      </c>
      <c r="R69" s="116">
        <v>2</v>
      </c>
      <c r="S69" s="99" t="s">
        <v>1212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7"/>
      <c r="AU69" s="93"/>
      <c r="AV69" s="297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">
        <v>1476</v>
      </c>
      <c r="B70" t="s">
        <v>167</v>
      </c>
      <c r="C70" s="52" t="s">
        <v>659</v>
      </c>
      <c r="D70" s="52" t="s">
        <v>659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7"/>
      <c r="AU70" s="93"/>
      <c r="AV70" s="297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">
        <v>1477</v>
      </c>
      <c r="B71" t="s">
        <v>167</v>
      </c>
      <c r="C71" s="52" t="s">
        <v>1478</v>
      </c>
      <c r="D71" s="52" t="s">
        <v>1478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7"/>
      <c r="AU71" s="93"/>
      <c r="AV71" s="297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">
        <v>1479</v>
      </c>
      <c r="B72" t="s">
        <v>167</v>
      </c>
      <c r="C72" s="52" t="s">
        <v>1478</v>
      </c>
      <c r="D72" s="52" t="s">
        <v>1478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7"/>
      <c r="AU72" s="93"/>
      <c r="AV72" s="297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">
        <v>1480</v>
      </c>
      <c r="B73" t="s">
        <v>205</v>
      </c>
      <c r="C73" s="52" t="s">
        <v>724</v>
      </c>
      <c r="D73" s="52" t="s">
        <v>724</v>
      </c>
      <c r="E73">
        <v>150</v>
      </c>
      <c r="F73">
        <v>98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24</v>
      </c>
      <c r="P73" s="69">
        <f t="shared" si="15"/>
        <v>158.33333333333334</v>
      </c>
      <c r="Q73" s="81" t="s">
        <v>1280</v>
      </c>
      <c r="R73" s="82">
        <v>4</v>
      </c>
      <c r="S73" s="83" t="s">
        <v>1281</v>
      </c>
      <c r="T73" s="284">
        <v>1.4</v>
      </c>
      <c r="U73" s="83" t="s">
        <v>1282</v>
      </c>
      <c r="V73" s="331">
        <v>2.2000000000000002</v>
      </c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7"/>
      <c r="AU73" s="93"/>
      <c r="AV73" s="297"/>
      <c r="AW73" s="93"/>
      <c r="AX73" s="66">
        <f t="shared" si="11"/>
        <v>7.6000000000000005</v>
      </c>
      <c r="AY73" s="78">
        <f t="shared" si="12"/>
        <v>158.33333333333334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229.16666666666669</v>
      </c>
      <c r="BC73" s="53">
        <f t="shared" si="14"/>
        <v>177.16666666666669</v>
      </c>
    </row>
    <row r="74" spans="1:55" ht="13.15">
      <c r="A74" t="s">
        <v>1481</v>
      </c>
      <c r="B74" t="s">
        <v>215</v>
      </c>
      <c r="C74" s="52" t="s">
        <v>745</v>
      </c>
      <c r="D74" s="52" t="s">
        <v>745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7"/>
      <c r="AU74" s="93"/>
      <c r="AV74" s="297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">
        <v>1482</v>
      </c>
      <c r="B75" t="s">
        <v>226</v>
      </c>
      <c r="C75" s="52" t="s">
        <v>764</v>
      </c>
      <c r="D75" s="52" t="s">
        <v>764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7"/>
      <c r="AU75" s="93"/>
      <c r="AV75" s="297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">
        <v>1483</v>
      </c>
      <c r="B76" t="s">
        <v>226</v>
      </c>
      <c r="C76" s="52" t="s">
        <v>764</v>
      </c>
      <c r="D76" s="52" t="s">
        <v>764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7"/>
      <c r="AU76" s="93"/>
      <c r="AV76" s="297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">
        <v>1484</v>
      </c>
      <c r="B77" t="s">
        <v>232</v>
      </c>
      <c r="C77" s="52" t="s">
        <v>774</v>
      </c>
      <c r="D77" s="52" t="s">
        <v>774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0" t="s">
        <v>1324</v>
      </c>
      <c r="R77" s="301">
        <v>2</v>
      </c>
      <c r="S77" s="300" t="s">
        <v>1325</v>
      </c>
      <c r="T77" s="301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7"/>
      <c r="AU77" s="93"/>
      <c r="AV77" s="297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">
        <v>1485</v>
      </c>
      <c r="B78" t="s">
        <v>233</v>
      </c>
      <c r="C78" s="52" t="s">
        <v>774</v>
      </c>
      <c r="D78" s="52" t="s">
        <v>774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7"/>
      <c r="AU78" s="93"/>
      <c r="AV78" s="297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">
        <v>1486</v>
      </c>
      <c r="B79" t="s">
        <v>233</v>
      </c>
      <c r="C79" s="52" t="s">
        <v>774</v>
      </c>
      <c r="D79" s="52" t="s">
        <v>774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7"/>
      <c r="AU79" s="93"/>
      <c r="AV79" s="297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">
        <v>1487</v>
      </c>
      <c r="B80" t="s">
        <v>232</v>
      </c>
      <c r="C80" s="52" t="s">
        <v>774</v>
      </c>
      <c r="D80" s="52" t="s">
        <v>774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7"/>
      <c r="AU80" s="93"/>
      <c r="AV80" s="297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">
        <v>1488</v>
      </c>
      <c r="B81" t="s">
        <v>232</v>
      </c>
      <c r="C81" s="52" t="s">
        <v>774</v>
      </c>
      <c r="D81" s="52" t="s">
        <v>774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7"/>
      <c r="AU81" s="93"/>
      <c r="AV81" s="297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">
        <v>1489</v>
      </c>
      <c r="B82" t="s">
        <v>233</v>
      </c>
      <c r="C82" s="52" t="s">
        <v>774</v>
      </c>
      <c r="D82" s="52" t="s">
        <v>774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11</v>
      </c>
      <c r="O82"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7"/>
      <c r="AU82" s="93"/>
      <c r="AV82" s="297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">
        <v>1490</v>
      </c>
      <c r="B83" t="s">
        <v>231</v>
      </c>
      <c r="C83" s="52" t="s">
        <v>774</v>
      </c>
      <c r="D83" s="52" t="s">
        <v>774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7"/>
      <c r="AU83" s="93"/>
      <c r="AV83" s="297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">
        <v>1491</v>
      </c>
      <c r="B84" t="s">
        <v>231</v>
      </c>
      <c r="C84" s="52" t="s">
        <v>774</v>
      </c>
      <c r="D84" s="52" t="s">
        <v>774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7"/>
      <c r="AU84" s="93"/>
      <c r="AV84" s="297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">
        <v>1492</v>
      </c>
      <c r="B85" t="s">
        <v>233</v>
      </c>
      <c r="C85" s="52" t="s">
        <v>774</v>
      </c>
      <c r="D85" s="52" t="s">
        <v>774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7"/>
      <c r="AU85" s="93"/>
      <c r="AV85" s="297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">
        <v>1493</v>
      </c>
      <c r="B86" t="s">
        <v>231</v>
      </c>
      <c r="C86" s="52" t="s">
        <v>774</v>
      </c>
      <c r="D86" s="52" t="s">
        <v>774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7"/>
      <c r="AU86" s="93"/>
      <c r="AV86" s="297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">
        <v>1494</v>
      </c>
      <c r="B87" t="s">
        <v>1495</v>
      </c>
      <c r="C87" s="52" t="s">
        <v>776</v>
      </c>
      <c r="D87" s="52" t="s">
        <v>776</v>
      </c>
      <c r="E87">
        <v>257.16000000000003</v>
      </c>
      <c r="F87">
        <v>273.95</v>
      </c>
      <c r="G87" s="64">
        <v>45601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402.08333333333331</v>
      </c>
      <c r="Q87" s="81" t="s">
        <v>1326</v>
      </c>
      <c r="R87" s="82">
        <v>2.2000000000000002</v>
      </c>
      <c r="S87" s="81" t="s">
        <v>1327</v>
      </c>
      <c r="T87" s="82">
        <v>0.9</v>
      </c>
      <c r="U87" s="81" t="s">
        <v>1328</v>
      </c>
      <c r="V87" s="82">
        <v>2.5</v>
      </c>
      <c r="W87" s="81" t="s">
        <v>1330</v>
      </c>
      <c r="X87" s="82">
        <v>2</v>
      </c>
      <c r="Y87" s="81" t="s">
        <v>1331</v>
      </c>
      <c r="Z87" s="82">
        <v>1.9</v>
      </c>
      <c r="AA87" s="89" t="s">
        <v>1332</v>
      </c>
      <c r="AB87" s="90">
        <v>0.8</v>
      </c>
      <c r="AC87" s="92" t="s">
        <v>1335</v>
      </c>
      <c r="AD87" s="80">
        <v>3</v>
      </c>
      <c r="AE87" s="302" t="s">
        <v>1333</v>
      </c>
      <c r="AF87" s="304">
        <v>4</v>
      </c>
      <c r="AG87" s="105" t="s">
        <v>1496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7"/>
      <c r="AU87" s="93"/>
      <c r="AV87" s="297"/>
      <c r="AW87" s="93"/>
      <c r="AX87" s="66">
        <f>SUM(R87+T87+V87+X87+Z87+AB87+AD87+AF87+AH87+AJ87+AL87+AN87+AP87+AR87)</f>
        <v>19.3</v>
      </c>
      <c r="AY87" s="78">
        <f t="shared" si="12"/>
        <v>402.08333333333331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458.20166666666671</v>
      </c>
      <c r="BC87" s="53">
        <f t="shared" si="14"/>
        <v>474.99166666666667</v>
      </c>
    </row>
    <row r="88" spans="1:55" ht="13.15">
      <c r="A88" t="s">
        <v>1497</v>
      </c>
      <c r="B88" t="s">
        <v>1498</v>
      </c>
      <c r="C88" s="52" t="s">
        <v>776</v>
      </c>
      <c r="D88" s="52" t="s">
        <v>776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17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7"/>
      <c r="AU88" s="93"/>
      <c r="AV88" s="297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">
        <v>1499</v>
      </c>
      <c r="B89" t="s">
        <v>1495</v>
      </c>
      <c r="C89" s="52" t="s">
        <v>776</v>
      </c>
      <c r="D89" s="52" t="s">
        <v>776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7"/>
      <c r="AU89" s="93"/>
      <c r="AV89" s="297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">
        <v>1500</v>
      </c>
      <c r="B90" t="s">
        <v>1495</v>
      </c>
      <c r="C90" s="52" t="s">
        <v>776</v>
      </c>
      <c r="D90" s="52" t="s">
        <v>776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7"/>
      <c r="AU90" s="93"/>
      <c r="AV90" s="297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">
        <v>1501</v>
      </c>
      <c r="B91" t="s">
        <v>1495</v>
      </c>
      <c r="C91" s="52" t="s">
        <v>776</v>
      </c>
      <c r="D91" s="52" t="s">
        <v>776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7"/>
      <c r="AU91" s="93"/>
      <c r="AV91" s="297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">
        <v>1502</v>
      </c>
      <c r="B92" t="s">
        <v>1495</v>
      </c>
      <c r="C92" s="52" t="s">
        <v>776</v>
      </c>
      <c r="D92" s="52" t="s">
        <v>776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83.333333333333329</v>
      </c>
      <c r="Q92" s="92" t="s">
        <v>1336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7"/>
      <c r="AU92" s="93"/>
      <c r="AV92" s="297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">
        <v>1503</v>
      </c>
      <c r="B93" t="s">
        <v>1498</v>
      </c>
      <c r="C93" s="52" t="s">
        <v>776</v>
      </c>
      <c r="D93" s="52" t="s">
        <v>776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7"/>
      <c r="AU93" s="93"/>
      <c r="AV93" s="297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">
        <v>1504</v>
      </c>
      <c r="B94" t="s">
        <v>1498</v>
      </c>
      <c r="C94" s="52" t="s">
        <v>776</v>
      </c>
      <c r="D94" s="52" t="s">
        <v>776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22</v>
      </c>
      <c r="N94">
        <v>8</v>
      </c>
      <c r="O94">
        <v>0</v>
      </c>
      <c r="P94" s="69">
        <f t="shared" si="15"/>
        <v>66.666666666666671</v>
      </c>
      <c r="Q94" s="101" t="s">
        <v>1338</v>
      </c>
      <c r="R94" s="100">
        <v>1</v>
      </c>
      <c r="S94" s="101" t="s">
        <v>1505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7"/>
      <c r="AU94" s="93"/>
      <c r="AV94" s="297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">
        <v>1506</v>
      </c>
      <c r="B95" t="s">
        <v>1498</v>
      </c>
      <c r="C95" s="52" t="s">
        <v>776</v>
      </c>
      <c r="D95" s="52" t="s">
        <v>776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19</v>
      </c>
      <c r="N95">
        <v>10</v>
      </c>
      <c r="O95"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7"/>
      <c r="AU95" s="93"/>
      <c r="AV95" s="297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">
        <v>1507</v>
      </c>
      <c r="B96" t="s">
        <v>246</v>
      </c>
      <c r="C96" s="52" t="s">
        <v>791</v>
      </c>
      <c r="D96" s="52" t="s">
        <v>791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7"/>
      <c r="AU96" s="93"/>
      <c r="AV96" s="297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">
        <v>1508</v>
      </c>
      <c r="B97" t="s">
        <v>246</v>
      </c>
      <c r="C97" s="52" t="s">
        <v>791</v>
      </c>
      <c r="D97" s="52" t="s">
        <v>791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7"/>
      <c r="AU97" s="93"/>
      <c r="AV97" s="297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">
        <v>1509</v>
      </c>
      <c r="B98" t="s">
        <v>242</v>
      </c>
      <c r="C98" s="52" t="s">
        <v>788</v>
      </c>
      <c r="D98" s="52" t="s">
        <v>788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7"/>
      <c r="AU98" s="93"/>
      <c r="AV98" s="297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">
        <v>1510</v>
      </c>
      <c r="B99" t="s">
        <v>242</v>
      </c>
      <c r="C99" s="52" t="s">
        <v>788</v>
      </c>
      <c r="D99" s="52" t="s">
        <v>788</v>
      </c>
      <c r="E99" t="s">
        <v>1511</v>
      </c>
      <c r="F99" t="s">
        <v>1511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7"/>
      <c r="AU99" s="93"/>
      <c r="AV99" s="297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">
        <v>1512</v>
      </c>
      <c r="B100" t="s">
        <v>242</v>
      </c>
      <c r="C100" s="52" t="s">
        <v>788</v>
      </c>
      <c r="D100" s="52" t="s">
        <v>788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7"/>
      <c r="AU100" s="93"/>
      <c r="AV100" s="297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">
        <v>1513</v>
      </c>
      <c r="B101" t="s">
        <v>253</v>
      </c>
      <c r="C101" s="52" t="s">
        <v>804</v>
      </c>
      <c r="D101" s="52" t="s">
        <v>804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1" t="s">
        <v>1355</v>
      </c>
      <c r="R101" s="100">
        <v>2</v>
      </c>
      <c r="S101" s="99" t="s">
        <v>1357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7"/>
      <c r="AU101" s="93"/>
      <c r="AV101" s="297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">
        <v>1514</v>
      </c>
      <c r="B102" t="s">
        <v>253</v>
      </c>
      <c r="C102" s="52" t="s">
        <v>804</v>
      </c>
      <c r="D102" s="52" t="s">
        <v>804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7"/>
      <c r="AU102" s="93"/>
      <c r="AV102" s="297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">
        <v>1515</v>
      </c>
      <c r="B103" t="s">
        <v>253</v>
      </c>
      <c r="C103" s="52" t="s">
        <v>1516</v>
      </c>
      <c r="D103" s="52" t="s">
        <v>1516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1" t="s">
        <v>1354</v>
      </c>
      <c r="R103" s="82">
        <v>5</v>
      </c>
      <c r="S103" s="302" t="s">
        <v>1356</v>
      </c>
      <c r="T103" s="301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7"/>
      <c r="AU103" s="93"/>
      <c r="AV103" s="297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">
        <v>1517</v>
      </c>
      <c r="B104" t="s">
        <v>257</v>
      </c>
      <c r="C104" s="52" t="s">
        <v>809</v>
      </c>
      <c r="D104" s="52" t="s">
        <v>809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7"/>
      <c r="AU104" s="93"/>
      <c r="AV104" s="297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">
        <v>1518</v>
      </c>
      <c r="B105" t="s">
        <v>257</v>
      </c>
      <c r="C105" s="52" t="s">
        <v>809</v>
      </c>
      <c r="D105" s="52" t="s">
        <v>809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7"/>
      <c r="AU105" s="93"/>
      <c r="AV105" s="297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">
        <v>1519</v>
      </c>
      <c r="B106" t="s">
        <v>257</v>
      </c>
      <c r="C106" s="52" t="s">
        <v>809</v>
      </c>
      <c r="D106" s="52" t="s">
        <v>809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7"/>
      <c r="AU106" s="93"/>
      <c r="AV106" s="297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">
        <v>1520</v>
      </c>
      <c r="B107" t="s">
        <v>257</v>
      </c>
      <c r="C107" s="52" t="s">
        <v>809</v>
      </c>
      <c r="D107" s="52" t="s">
        <v>809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7"/>
      <c r="AU107" s="93"/>
      <c r="AV107" s="297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">
        <v>1521</v>
      </c>
      <c r="B108" t="s">
        <v>257</v>
      </c>
      <c r="C108" s="52" t="s">
        <v>809</v>
      </c>
      <c r="D108" s="52" t="s">
        <v>809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7"/>
      <c r="AU108" s="93"/>
      <c r="AV108" s="297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">
        <v>1522</v>
      </c>
      <c r="B109" t="s">
        <v>257</v>
      </c>
      <c r="C109" s="52" t="s">
        <v>809</v>
      </c>
      <c r="D109" s="52" t="s">
        <v>809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1" t="s">
        <v>1368</v>
      </c>
      <c r="R109" s="100">
        <v>2</v>
      </c>
      <c r="S109" s="101" t="s">
        <v>1369</v>
      </c>
      <c r="T109" s="100">
        <v>2</v>
      </c>
      <c r="U109" s="300" t="s">
        <v>1370</v>
      </c>
      <c r="V109" s="301">
        <v>2.73</v>
      </c>
      <c r="W109" s="99" t="s">
        <v>1371</v>
      </c>
      <c r="X109" s="100">
        <v>6</v>
      </c>
      <c r="Y109" s="89" t="s">
        <v>1523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7"/>
      <c r="AU109" s="93"/>
      <c r="AV109" s="297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">
        <v>1524</v>
      </c>
      <c r="B110" t="s">
        <v>257</v>
      </c>
      <c r="C110" s="52" t="s">
        <v>809</v>
      </c>
      <c r="D110" s="52" t="s">
        <v>809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7"/>
      <c r="AU110" s="93"/>
      <c r="AV110" s="297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">
        <v>1525</v>
      </c>
      <c r="B111" t="s">
        <v>257</v>
      </c>
      <c r="C111" s="52" t="s">
        <v>809</v>
      </c>
      <c r="D111" s="52" t="s">
        <v>809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7"/>
      <c r="AU111" s="93"/>
      <c r="AV111" s="297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">
        <v>1526</v>
      </c>
      <c r="B112" t="s">
        <v>257</v>
      </c>
      <c r="C112" s="52" t="s">
        <v>809</v>
      </c>
      <c r="D112" s="52" t="s">
        <v>809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7"/>
      <c r="AU112" s="93"/>
      <c r="AV112" s="297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">
        <v>1527</v>
      </c>
      <c r="B113" t="s">
        <v>257</v>
      </c>
      <c r="C113" s="52" t="s">
        <v>809</v>
      </c>
      <c r="D113" s="52" t="s">
        <v>809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7"/>
      <c r="AU113" s="93"/>
      <c r="AV113" s="297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">
        <v>1528</v>
      </c>
      <c r="B114" t="s">
        <v>255</v>
      </c>
      <c r="C114" s="52" t="s">
        <v>807</v>
      </c>
      <c r="D114" s="52" t="s">
        <v>807</v>
      </c>
      <c r="E114">
        <v>183</v>
      </c>
      <c r="F114">
        <v>175</v>
      </c>
      <c r="G114" s="64" t="s">
        <v>1529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89" t="s">
        <v>1363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7"/>
      <c r="AU114" s="93"/>
      <c r="AV114" s="297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">
        <v>1530</v>
      </c>
      <c r="B115" t="s">
        <v>255</v>
      </c>
      <c r="C115" s="52" t="s">
        <v>807</v>
      </c>
      <c r="D115" s="52" t="s">
        <v>807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7"/>
      <c r="AU115" s="93"/>
      <c r="AV115" s="297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">
        <v>1531</v>
      </c>
      <c r="B116" t="s">
        <v>255</v>
      </c>
      <c r="C116" s="52" t="s">
        <v>807</v>
      </c>
      <c r="D116" s="52" t="s">
        <v>807</v>
      </c>
      <c r="E116">
        <v>189.95</v>
      </c>
      <c r="F116">
        <v>172.13</v>
      </c>
      <c r="G116" s="64">
        <v>45601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289.58333333333331</v>
      </c>
      <c r="Q116" s="81" t="s">
        <v>1358</v>
      </c>
      <c r="R116" s="82">
        <v>2.4</v>
      </c>
      <c r="S116" s="81" t="s">
        <v>1532</v>
      </c>
      <c r="T116" s="82">
        <v>6.4</v>
      </c>
      <c r="U116" s="81" t="s">
        <v>1533</v>
      </c>
      <c r="V116" s="82">
        <v>2.6</v>
      </c>
      <c r="W116" s="81" t="s">
        <v>1362</v>
      </c>
      <c r="X116" s="82">
        <v>0.8</v>
      </c>
      <c r="Y116" s="81" t="s">
        <v>1361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7"/>
      <c r="AU116" s="93"/>
      <c r="AV116" s="297"/>
      <c r="AW116" s="93"/>
      <c r="AX116" s="66">
        <f t="shared" si="11"/>
        <v>13.9</v>
      </c>
      <c r="AY116" s="78">
        <f t="shared" si="12"/>
        <v>289.58333333333331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334.74166666666667</v>
      </c>
      <c r="BC116" s="53">
        <f t="shared" si="14"/>
        <v>316.92166666666662</v>
      </c>
    </row>
    <row r="117" spans="1:55" ht="13.15">
      <c r="A117" t="s">
        <v>1534</v>
      </c>
      <c r="B117" t="s">
        <v>255</v>
      </c>
      <c r="C117" s="52" t="s">
        <v>807</v>
      </c>
      <c r="D117" s="52" t="s">
        <v>807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19</v>
      </c>
      <c r="P117" s="69">
        <f t="shared" si="15"/>
        <v>135.41666666666666</v>
      </c>
      <c r="Q117" s="105" t="s">
        <v>1364</v>
      </c>
      <c r="R117" s="80">
        <v>3</v>
      </c>
      <c r="S117" s="85" t="s">
        <v>1359</v>
      </c>
      <c r="T117" s="82">
        <v>2.5</v>
      </c>
      <c r="U117" s="85" t="s">
        <v>1367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7"/>
      <c r="AU117" s="93"/>
      <c r="AV117" s="297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">
        <v>1535</v>
      </c>
      <c r="B118" t="s">
        <v>259</v>
      </c>
      <c r="C118" s="52" t="s">
        <v>810</v>
      </c>
      <c r="D118" s="52" t="s">
        <v>810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7"/>
      <c r="AU118" s="93"/>
      <c r="AV118" s="297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">
        <v>1536</v>
      </c>
      <c r="B119" t="s">
        <v>74</v>
      </c>
      <c r="C119" s="52" t="s">
        <v>475</v>
      </c>
      <c r="D119" s="52" t="s">
        <v>475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7"/>
      <c r="AU119" s="93"/>
      <c r="AV119" s="297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">
        <v>1537</v>
      </c>
      <c r="B120" t="s">
        <v>74</v>
      </c>
      <c r="C120" s="52" t="s">
        <v>475</v>
      </c>
      <c r="D120" s="52" t="s">
        <v>1538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7"/>
      <c r="AU120" s="93"/>
      <c r="AV120" s="297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">
        <v>1539</v>
      </c>
      <c r="B121" t="s">
        <v>35</v>
      </c>
      <c r="C121" s="52" t="s">
        <v>379</v>
      </c>
      <c r="D121" s="52" t="s">
        <v>379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1" t="s">
        <v>1540</v>
      </c>
      <c r="R121" s="100">
        <v>1</v>
      </c>
      <c r="S121" s="256" t="s">
        <v>920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7"/>
      <c r="AU121" s="93"/>
      <c r="AV121" s="297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">
        <v>1541</v>
      </c>
      <c r="B122" t="s">
        <v>35</v>
      </c>
      <c r="C122" s="52" t="s">
        <v>379</v>
      </c>
      <c r="D122" s="52" t="s">
        <v>379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7"/>
      <c r="AU122" s="93"/>
      <c r="AV122" s="297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">
        <v>1542</v>
      </c>
      <c r="B123" t="s">
        <v>35</v>
      </c>
      <c r="C123" s="52" t="s">
        <v>379</v>
      </c>
      <c r="D123" s="52" t="s">
        <v>379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7"/>
      <c r="AU123" s="93"/>
      <c r="AV123" s="297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">
        <v>1543</v>
      </c>
      <c r="B124" t="s">
        <v>48</v>
      </c>
      <c r="C124" s="52" t="s">
        <v>417</v>
      </c>
      <c r="D124" s="52" t="s">
        <v>417</v>
      </c>
      <c r="E124">
        <v>163</v>
      </c>
      <c r="F124" t="s">
        <v>1444</v>
      </c>
      <c r="G124" s="64">
        <v>44965</v>
      </c>
      <c r="H124">
        <v>300</v>
      </c>
      <c r="I124" t="s">
        <v>1444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1" t="s">
        <v>956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7"/>
      <c r="AU124" s="93"/>
      <c r="AV124" s="297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">
        <v>1544</v>
      </c>
      <c r="B125" t="s">
        <v>49</v>
      </c>
      <c r="C125" s="52" t="s">
        <v>417</v>
      </c>
      <c r="D125" s="52" t="s">
        <v>417</v>
      </c>
      <c r="E125" t="s">
        <v>1444</v>
      </c>
      <c r="F125">
        <v>164</v>
      </c>
      <c r="G125" s="64">
        <v>44965</v>
      </c>
      <c r="H125" t="s">
        <v>1444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7"/>
      <c r="AU125" s="93"/>
      <c r="AV125" s="297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">
        <v>1545</v>
      </c>
      <c r="B126">
        <v>0</v>
      </c>
      <c r="C126" s="52" t="s">
        <v>1546</v>
      </c>
      <c r="D126" s="52" t="s">
        <v>1546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7"/>
      <c r="AU126" s="93"/>
      <c r="AV126" s="297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">
        <v>1547</v>
      </c>
      <c r="B127">
        <v>0</v>
      </c>
      <c r="C127" s="52" t="s">
        <v>1546</v>
      </c>
      <c r="D127" s="52" t="s">
        <v>1546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7"/>
      <c r="AU127" s="93"/>
      <c r="AV127" s="297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">
        <v>1548</v>
      </c>
      <c r="B128">
        <v>0</v>
      </c>
      <c r="C128" s="52" t="s">
        <v>1546</v>
      </c>
      <c r="D128" s="52" t="s">
        <v>1546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7"/>
      <c r="AU128" s="93"/>
      <c r="AV128" s="297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">
        <v>1549</v>
      </c>
      <c r="B129">
        <v>0</v>
      </c>
      <c r="C129" s="52" t="s">
        <v>1546</v>
      </c>
      <c r="D129" s="52" t="s">
        <v>1546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7"/>
      <c r="AU129" s="93"/>
      <c r="AV129" s="297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">
        <v>1550</v>
      </c>
      <c r="B130">
        <v>0</v>
      </c>
      <c r="C130" s="52" t="s">
        <v>1546</v>
      </c>
      <c r="D130" s="52" t="s">
        <v>1546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7"/>
      <c r="AU130" s="93"/>
      <c r="AV130" s="297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">
        <v>1551</v>
      </c>
      <c r="B131">
        <v>0</v>
      </c>
      <c r="C131" s="52" t="s">
        <v>1546</v>
      </c>
      <c r="D131" s="52" t="s">
        <v>1546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7"/>
      <c r="AU131" s="93"/>
      <c r="AV131" s="297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">
        <v>1552</v>
      </c>
      <c r="B132">
        <v>0</v>
      </c>
      <c r="C132" s="52" t="s">
        <v>1546</v>
      </c>
      <c r="D132" s="52" t="s">
        <v>1546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7"/>
      <c r="AU132" s="93"/>
      <c r="AV132" s="297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">
        <v>1553</v>
      </c>
      <c r="B133" t="s">
        <v>57</v>
      </c>
      <c r="C133" s="52" t="s">
        <v>434</v>
      </c>
      <c r="D133" s="52" t="s">
        <v>434</v>
      </c>
      <c r="E133" t="s">
        <v>1554</v>
      </c>
      <c r="F133" t="s">
        <v>1554</v>
      </c>
      <c r="G133" s="64" t="s">
        <v>1555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7"/>
      <c r="AU133" s="93"/>
      <c r="AV133" s="297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">
        <v>1556</v>
      </c>
      <c r="B134" t="s">
        <v>57</v>
      </c>
      <c r="C134" s="52" t="s">
        <v>434</v>
      </c>
      <c r="D134" s="52" t="s">
        <v>434</v>
      </c>
      <c r="E134" t="s">
        <v>1554</v>
      </c>
      <c r="F134" t="s">
        <v>1554</v>
      </c>
      <c r="G134" s="64" t="s">
        <v>1555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7"/>
      <c r="AU134" s="93"/>
      <c r="AV134" s="297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">
        <v>1557</v>
      </c>
      <c r="B135" t="s">
        <v>57</v>
      </c>
      <c r="C135" s="52" t="s">
        <v>434</v>
      </c>
      <c r="D135" s="52" t="s">
        <v>434</v>
      </c>
      <c r="E135" t="s">
        <v>1554</v>
      </c>
      <c r="F135" t="s">
        <v>1554</v>
      </c>
      <c r="G135" s="64" t="s">
        <v>1555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7"/>
      <c r="AU135" s="93"/>
      <c r="AV135" s="297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">
        <v>1558</v>
      </c>
      <c r="B136" t="s">
        <v>57</v>
      </c>
      <c r="C136" s="52" t="s">
        <v>434</v>
      </c>
      <c r="D136" s="52" t="s">
        <v>434</v>
      </c>
      <c r="E136" t="s">
        <v>1554</v>
      </c>
      <c r="F136" t="s">
        <v>1554</v>
      </c>
      <c r="G136" s="64" t="s">
        <v>1555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7"/>
      <c r="AU136" s="93"/>
      <c r="AV136" s="297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">
        <v>1559</v>
      </c>
      <c r="B137" t="s">
        <v>57</v>
      </c>
      <c r="C137" s="52" t="s">
        <v>434</v>
      </c>
      <c r="D137" s="52" t="s">
        <v>434</v>
      </c>
      <c r="E137" t="s">
        <v>1554</v>
      </c>
      <c r="F137" t="s">
        <v>1554</v>
      </c>
      <c r="G137" s="64" t="s">
        <v>1555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7"/>
      <c r="AU137" s="93"/>
      <c r="AV137" s="297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">
        <v>1560</v>
      </c>
      <c r="B138" t="s">
        <v>44</v>
      </c>
      <c r="C138" s="52" t="s">
        <v>413</v>
      </c>
      <c r="D138" s="52" t="s">
        <v>413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7"/>
      <c r="AU138" s="93"/>
      <c r="AV138" s="297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">
        <v>1561</v>
      </c>
      <c r="B139" t="s">
        <v>44</v>
      </c>
      <c r="C139" s="52" t="s">
        <v>413</v>
      </c>
      <c r="D139" s="52" t="s">
        <v>413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7"/>
      <c r="AU139" s="93"/>
      <c r="AV139" s="297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">
        <v>1562</v>
      </c>
      <c r="B140" t="s">
        <v>44</v>
      </c>
      <c r="C140" s="52" t="s">
        <v>413</v>
      </c>
      <c r="D140" s="52" t="s">
        <v>413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7"/>
      <c r="AU140" s="93"/>
      <c r="AV140" s="297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">
        <v>1563</v>
      </c>
      <c r="B141" t="s">
        <v>44</v>
      </c>
      <c r="C141" s="52" t="s">
        <v>413</v>
      </c>
      <c r="D141" s="52" t="s">
        <v>413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5" t="s">
        <v>948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7"/>
      <c r="AU141" s="93"/>
      <c r="AV141" s="297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">
        <v>1564</v>
      </c>
      <c r="B142" t="s">
        <v>44</v>
      </c>
      <c r="C142" s="52" t="s">
        <v>413</v>
      </c>
      <c r="D142" s="52" t="s">
        <v>413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7"/>
      <c r="AU142" s="93"/>
      <c r="AV142" s="297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">
        <v>1565</v>
      </c>
      <c r="B143" t="s">
        <v>47</v>
      </c>
      <c r="C143" s="52" t="s">
        <v>416</v>
      </c>
      <c r="D143" s="52" t="s">
        <v>416</v>
      </c>
      <c r="E143">
        <v>130.57000000000002</v>
      </c>
      <c r="F143">
        <v>150.62</v>
      </c>
      <c r="G143" s="64">
        <v>45510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333.33333333333331</v>
      </c>
      <c r="Q143" s="85" t="s">
        <v>949</v>
      </c>
      <c r="R143" s="86">
        <v>0.8</v>
      </c>
      <c r="S143" s="81" t="s">
        <v>950</v>
      </c>
      <c r="T143" s="82">
        <v>2.6</v>
      </c>
      <c r="U143" s="81" t="s">
        <v>951</v>
      </c>
      <c r="V143" s="82">
        <v>1.8</v>
      </c>
      <c r="W143" s="81" t="s">
        <v>952</v>
      </c>
      <c r="X143" s="82">
        <v>3.3</v>
      </c>
      <c r="Y143" s="81" t="s">
        <v>953</v>
      </c>
      <c r="Z143" s="82">
        <v>1.3</v>
      </c>
      <c r="AA143" s="81" t="s">
        <v>954</v>
      </c>
      <c r="AB143" s="82">
        <v>2.5</v>
      </c>
      <c r="AC143" s="81" t="s">
        <v>1566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7"/>
      <c r="AU143" s="93"/>
      <c r="AV143" s="297"/>
      <c r="AW143" s="93"/>
      <c r="AX143" s="66">
        <f t="shared" si="26"/>
        <v>16</v>
      </c>
      <c r="AY143" s="78">
        <f t="shared" si="27"/>
        <v>333.33333333333331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297.23666666666668</v>
      </c>
      <c r="BC143" s="53">
        <f t="shared" si="29"/>
        <v>317.28666666666663</v>
      </c>
    </row>
    <row r="144" spans="1:55" ht="13.15">
      <c r="A144" t="s">
        <v>1567</v>
      </c>
      <c r="B144" t="s">
        <v>181</v>
      </c>
      <c r="C144" s="52" t="s">
        <v>686</v>
      </c>
      <c r="D144" s="52" t="s">
        <v>686</v>
      </c>
      <c r="E144" t="s">
        <v>1568</v>
      </c>
      <c r="F144" t="s">
        <v>1568</v>
      </c>
      <c r="G144" s="64" t="s">
        <v>1569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7"/>
      <c r="AU144" s="93"/>
      <c r="AV144" s="297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">
        <v>1570</v>
      </c>
      <c r="B145" t="s">
        <v>181</v>
      </c>
      <c r="C145" s="52" t="s">
        <v>686</v>
      </c>
      <c r="D145" s="52" t="s">
        <v>686</v>
      </c>
      <c r="E145" t="s">
        <v>1568</v>
      </c>
      <c r="F145" t="s">
        <v>1568</v>
      </c>
      <c r="G145" s="64" t="s">
        <v>1569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7"/>
      <c r="AU145" s="93"/>
      <c r="AV145" s="297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">
        <v>1571</v>
      </c>
      <c r="B146" t="s">
        <v>81</v>
      </c>
      <c r="C146" s="52" t="s">
        <v>492</v>
      </c>
      <c r="D146" s="52" t="s">
        <v>492</v>
      </c>
      <c r="E146">
        <v>20</v>
      </c>
      <c r="F146">
        <v>20</v>
      </c>
      <c r="G146" s="64" t="s">
        <v>1572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7"/>
      <c r="AU146" s="93"/>
      <c r="AV146" s="297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">
        <v>1573</v>
      </c>
      <c r="B147" t="s">
        <v>81</v>
      </c>
      <c r="C147" s="52" t="s">
        <v>492</v>
      </c>
      <c r="D147" s="52" t="s">
        <v>1574</v>
      </c>
      <c r="E147">
        <v>20</v>
      </c>
      <c r="F147">
        <v>20</v>
      </c>
      <c r="G147" s="64" t="s">
        <v>1572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7"/>
      <c r="AU147" s="93"/>
      <c r="AV147" s="297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">
        <v>1575</v>
      </c>
      <c r="B148" s="35" t="s">
        <v>91</v>
      </c>
      <c r="C148" s="52" t="s">
        <v>507</v>
      </c>
      <c r="D148" s="52" t="s">
        <v>507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6</v>
      </c>
      <c r="N148">
        <v>12</v>
      </c>
      <c r="O148">
        <v>0</v>
      </c>
      <c r="P148" s="69">
        <f t="shared" si="30"/>
        <v>327.08333333333331</v>
      </c>
      <c r="Q148" s="81" t="s">
        <v>1075</v>
      </c>
      <c r="R148" s="82">
        <v>4.5</v>
      </c>
      <c r="S148" s="81" t="s">
        <v>1076</v>
      </c>
      <c r="T148" s="82">
        <v>4.5</v>
      </c>
      <c r="U148" s="81" t="s">
        <v>1077</v>
      </c>
      <c r="V148" s="82">
        <v>4.5</v>
      </c>
      <c r="W148" s="83" t="s">
        <v>1080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7"/>
      <c r="AU148" s="93"/>
      <c r="AV148" s="297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">
        <v>1576</v>
      </c>
      <c r="B149" s="35" t="s">
        <v>91</v>
      </c>
      <c r="C149" s="52" t="s">
        <v>507</v>
      </c>
      <c r="D149" s="52" t="s">
        <v>507</v>
      </c>
      <c r="E149">
        <v>100</v>
      </c>
      <c r="F149">
        <v>100</v>
      </c>
      <c r="G149" s="64" t="s">
        <v>1577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62.5</v>
      </c>
      <c r="Q149" s="300" t="s">
        <v>1079</v>
      </c>
      <c r="R149" s="301">
        <v>3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7"/>
      <c r="AU149" s="93"/>
      <c r="AV149" s="297"/>
      <c r="AW149" s="93"/>
      <c r="AX149" s="66">
        <f t="shared" si="26"/>
        <v>3</v>
      </c>
      <c r="AY149" s="78">
        <f t="shared" si="27"/>
        <v>62.5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131.25</v>
      </c>
      <c r="BC149" s="53">
        <f t="shared" si="29"/>
        <v>131.25</v>
      </c>
    </row>
    <row r="150" spans="1:55" ht="13.15">
      <c r="A150" t="s">
        <v>1578</v>
      </c>
      <c r="B150" s="35" t="s">
        <v>91</v>
      </c>
      <c r="C150" s="52" t="s">
        <v>507</v>
      </c>
      <c r="D150" s="52" t="s">
        <v>507</v>
      </c>
      <c r="E150">
        <v>200</v>
      </c>
      <c r="F150">
        <v>200</v>
      </c>
      <c r="G150" s="64" t="s">
        <v>1577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1" t="s">
        <v>1078</v>
      </c>
      <c r="R150" s="100">
        <v>1</v>
      </c>
      <c r="S150" s="101" t="s">
        <v>1078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7"/>
      <c r="AU150" s="93"/>
      <c r="AV150" s="297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">
        <v>1579</v>
      </c>
      <c r="B151" t="s">
        <v>100</v>
      </c>
      <c r="C151" s="52" t="s">
        <v>526</v>
      </c>
      <c r="D151" s="52" t="s">
        <v>526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1" t="s">
        <v>1088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7"/>
      <c r="AU151" s="93"/>
      <c r="AV151" s="297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">
        <v>1580</v>
      </c>
      <c r="B152" t="s">
        <v>122</v>
      </c>
      <c r="C152" s="52" t="s">
        <v>576</v>
      </c>
      <c r="D152" s="52" t="s">
        <v>576</v>
      </c>
      <c r="E152">
        <v>0</v>
      </c>
      <c r="F152">
        <v>0</v>
      </c>
      <c r="G152" s="64" t="s">
        <v>1581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1" t="s">
        <v>1582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7"/>
      <c r="AU152" s="93"/>
      <c r="AV152" s="297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">
        <v>1583</v>
      </c>
      <c r="B153" t="s">
        <v>122</v>
      </c>
      <c r="C153" s="52" t="s">
        <v>576</v>
      </c>
      <c r="D153" s="52" t="s">
        <v>576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7"/>
      <c r="AU153" s="93"/>
      <c r="AV153" s="297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">
        <v>1584</v>
      </c>
      <c r="B154" t="s">
        <v>164</v>
      </c>
      <c r="C154" s="52" t="s">
        <v>653</v>
      </c>
      <c r="D154" s="52" t="s">
        <v>653</v>
      </c>
      <c r="E154">
        <v>5</v>
      </c>
      <c r="F154" t="s">
        <v>1568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7"/>
      <c r="AU154" s="93"/>
      <c r="AV154" s="297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">
        <v>1585</v>
      </c>
      <c r="B155" t="s">
        <v>164</v>
      </c>
      <c r="C155" s="52" t="s">
        <v>653</v>
      </c>
      <c r="D155" s="52" t="s">
        <v>653</v>
      </c>
      <c r="E155" t="s">
        <v>1586</v>
      </c>
      <c r="F155" t="s">
        <v>1586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7"/>
      <c r="AU155" s="93"/>
      <c r="AV155" s="297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">
        <v>1587</v>
      </c>
      <c r="B156" t="s">
        <v>155</v>
      </c>
      <c r="C156" s="52" t="s">
        <v>637</v>
      </c>
      <c r="D156" s="52" t="s">
        <v>637</v>
      </c>
      <c r="E156">
        <v>37.54</v>
      </c>
      <c r="F156">
        <v>34.54</v>
      </c>
      <c r="G156" s="64">
        <v>45601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327.08333333333331</v>
      </c>
      <c r="Q156" s="81" t="s">
        <v>1101</v>
      </c>
      <c r="R156" s="279">
        <v>1.1000000000000001</v>
      </c>
      <c r="S156" s="81" t="s">
        <v>1179</v>
      </c>
      <c r="T156" s="82">
        <v>4.9000000000000004</v>
      </c>
      <c r="U156" s="101" t="s">
        <v>1588</v>
      </c>
      <c r="V156" s="100">
        <v>5.5</v>
      </c>
      <c r="W156" s="83" t="s">
        <v>1184</v>
      </c>
      <c r="X156" s="284">
        <v>4.2</v>
      </c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7"/>
      <c r="AU156" s="93"/>
      <c r="AV156" s="297"/>
      <c r="AW156" s="93"/>
      <c r="AX156" s="66">
        <f t="shared" si="26"/>
        <v>15.7</v>
      </c>
      <c r="AY156" s="78">
        <f t="shared" si="27"/>
        <v>327.08333333333331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201.08166666666665</v>
      </c>
      <c r="BC156" s="53">
        <f t="shared" si="29"/>
        <v>198.08166666666665</v>
      </c>
    </row>
    <row r="157" spans="1:55" ht="13.15">
      <c r="A157" t="s">
        <v>1589</v>
      </c>
      <c r="B157" t="s">
        <v>155</v>
      </c>
      <c r="C157" s="52" t="s">
        <v>637</v>
      </c>
      <c r="D157" s="52" t="s">
        <v>637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62.5</v>
      </c>
      <c r="Q157" s="300" t="s">
        <v>1181</v>
      </c>
      <c r="R157" s="301">
        <v>3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7"/>
      <c r="AU157" s="93"/>
      <c r="AV157" s="297"/>
      <c r="AW157" s="93"/>
      <c r="AX157" s="66">
        <f t="shared" si="26"/>
        <v>3</v>
      </c>
      <c r="AY157" s="78">
        <f t="shared" si="27"/>
        <v>62.5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131.25</v>
      </c>
      <c r="BC157" s="53">
        <f t="shared" si="29"/>
        <v>131.25</v>
      </c>
    </row>
    <row r="158" spans="1:55" ht="13.15">
      <c r="A158" t="s">
        <v>1590</v>
      </c>
      <c r="B158" t="s">
        <v>155</v>
      </c>
      <c r="C158" s="52" t="s">
        <v>637</v>
      </c>
      <c r="D158" s="52" t="s">
        <v>637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1" t="s">
        <v>1180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7"/>
      <c r="AU158" s="93"/>
      <c r="AV158" s="297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">
        <v>1591</v>
      </c>
      <c r="B159" t="s">
        <v>182</v>
      </c>
      <c r="C159" s="52" t="s">
        <v>688</v>
      </c>
      <c r="D159" s="52" t="s">
        <v>688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0" t="s">
        <v>1255</v>
      </c>
      <c r="R159" s="261">
        <v>1</v>
      </c>
      <c r="S159" s="93" t="s">
        <v>1592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7"/>
      <c r="AU159" s="93"/>
      <c r="AV159" s="297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">
        <v>1593</v>
      </c>
      <c r="B160" t="s">
        <v>182</v>
      </c>
      <c r="C160" s="52" t="s">
        <v>688</v>
      </c>
      <c r="D160" s="52" t="s">
        <v>688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7"/>
      <c r="AU160" s="93"/>
      <c r="AV160" s="297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">
        <v>1594</v>
      </c>
      <c r="B161" t="s">
        <v>183</v>
      </c>
      <c r="C161" s="52" t="s">
        <v>691</v>
      </c>
      <c r="D161" s="52" t="s">
        <v>691</v>
      </c>
      <c r="E161">
        <v>25</v>
      </c>
      <c r="F161">
        <v>25</v>
      </c>
      <c r="G161" s="64" t="s">
        <v>1595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7"/>
      <c r="AU161" s="93"/>
      <c r="AV161" s="297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">
        <v>1596</v>
      </c>
      <c r="B162" t="s">
        <v>66</v>
      </c>
      <c r="C162" s="52" t="s">
        <v>458</v>
      </c>
      <c r="D162" s="52" t="s">
        <v>458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5" t="s">
        <v>1009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7"/>
      <c r="AU162" s="93"/>
      <c r="AV162" s="297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">
        <v>1597</v>
      </c>
      <c r="B163" t="s">
        <v>66</v>
      </c>
      <c r="C163" s="52" t="s">
        <v>458</v>
      </c>
      <c r="D163" s="52" t="s">
        <v>458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7"/>
      <c r="AU163" s="93"/>
      <c r="AV163" s="297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">
        <v>1598</v>
      </c>
      <c r="B164" t="s">
        <v>66</v>
      </c>
      <c r="C164" s="52" t="s">
        <v>458</v>
      </c>
      <c r="D164" s="52" t="s">
        <v>458</v>
      </c>
      <c r="E164">
        <v>42</v>
      </c>
      <c r="F164">
        <v>43</v>
      </c>
      <c r="G164" s="64">
        <v>45296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11</v>
      </c>
      <c r="O164"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7"/>
      <c r="AU164" s="93"/>
      <c r="AV164" s="297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">
        <v>1599</v>
      </c>
      <c r="B165" t="s">
        <v>66</v>
      </c>
      <c r="C165" s="52" t="s">
        <v>458</v>
      </c>
      <c r="D165" s="52" t="s">
        <v>458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7"/>
      <c r="AU165" s="93"/>
      <c r="AV165" s="297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">
        <v>1600</v>
      </c>
      <c r="B166" t="s">
        <v>66</v>
      </c>
      <c r="C166" s="52" t="s">
        <v>458</v>
      </c>
      <c r="D166" s="52" t="s">
        <v>458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7"/>
      <c r="AU166" s="93"/>
      <c r="AV166" s="297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">
        <v>1601</v>
      </c>
      <c r="B167" t="s">
        <v>66</v>
      </c>
      <c r="C167" s="52" t="s">
        <v>458</v>
      </c>
      <c r="D167" s="52" t="s">
        <v>458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7"/>
      <c r="AU167" s="93"/>
      <c r="AV167" s="297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">
        <v>1602</v>
      </c>
      <c r="B168" t="s">
        <v>66</v>
      </c>
      <c r="C168" s="52" t="s">
        <v>458</v>
      </c>
      <c r="D168" s="52" t="s">
        <v>458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7"/>
      <c r="AU168" s="93"/>
      <c r="AV168" s="297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">
        <v>1603</v>
      </c>
      <c r="B169" t="s">
        <v>66</v>
      </c>
      <c r="C169" s="52" t="s">
        <v>458</v>
      </c>
      <c r="D169" s="52" t="s">
        <v>458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7"/>
      <c r="AU169" s="93"/>
      <c r="AV169" s="297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">
        <v>1604</v>
      </c>
      <c r="B170" t="s">
        <v>66</v>
      </c>
      <c r="C170" s="52" t="s">
        <v>458</v>
      </c>
      <c r="D170" s="52" t="s">
        <v>458</v>
      </c>
      <c r="E170">
        <v>85</v>
      </c>
      <c r="F170">
        <v>80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11</v>
      </c>
      <c r="O170">
        <v>0</v>
      </c>
      <c r="P170" s="69">
        <f t="shared" si="30"/>
        <v>45.833333333333336</v>
      </c>
      <c r="Q170" s="83" t="s">
        <v>1012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7"/>
      <c r="AU170" s="93"/>
      <c r="AV170" s="297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">
        <v>1605</v>
      </c>
      <c r="B171" t="s">
        <v>66</v>
      </c>
      <c r="C171" s="52" t="s">
        <v>458</v>
      </c>
      <c r="D171" s="52" t="s">
        <v>458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3" t="s">
        <v>1010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7"/>
      <c r="AU171" s="93"/>
      <c r="AV171" s="297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">
        <v>1606</v>
      </c>
      <c r="B172" t="s">
        <v>66</v>
      </c>
      <c r="C172" s="52" t="s">
        <v>458</v>
      </c>
      <c r="D172" s="52" t="s">
        <v>458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7"/>
      <c r="AU172" s="93"/>
      <c r="AV172" s="297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">
        <v>1607</v>
      </c>
      <c r="B173" t="s">
        <v>66</v>
      </c>
      <c r="C173" s="52" t="s">
        <v>458</v>
      </c>
      <c r="D173" s="52" t="s">
        <v>458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7</v>
      </c>
      <c r="N173">
        <v>10</v>
      </c>
      <c r="O173">
        <v>0</v>
      </c>
      <c r="P173" s="69">
        <f t="shared" si="30"/>
        <v>91.666666666666671</v>
      </c>
      <c r="Q173" s="83" t="s">
        <v>1013</v>
      </c>
      <c r="R173" s="284">
        <v>2.2000000000000002</v>
      </c>
      <c r="S173" s="83" t="s">
        <v>1014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7"/>
      <c r="AU173" s="93"/>
      <c r="AV173" s="297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">
        <v>1608</v>
      </c>
      <c r="B174" t="s">
        <v>64</v>
      </c>
      <c r="C174" s="52" t="s">
        <v>456</v>
      </c>
      <c r="D174" s="52" t="s">
        <v>456</v>
      </c>
      <c r="E174">
        <v>166</v>
      </c>
      <c r="F174">
        <v>147</v>
      </c>
      <c r="G174" s="64">
        <v>44964</v>
      </c>
      <c r="H174">
        <v>300</v>
      </c>
      <c r="I174">
        <v>300</v>
      </c>
      <c r="J174">
        <v>0</v>
      </c>
      <c r="K174">
        <v>0</v>
      </c>
      <c r="L174">
        <v>11</v>
      </c>
      <c r="M174">
        <v>0</v>
      </c>
      <c r="N174">
        <v>0</v>
      </c>
      <c r="O174">
        <v>37</v>
      </c>
      <c r="P174" s="69">
        <f t="shared" si="30"/>
        <v>79.166666666666671</v>
      </c>
      <c r="Q174" s="83" t="s">
        <v>1609</v>
      </c>
      <c r="R174" s="84">
        <v>2</v>
      </c>
      <c r="S174" s="83" t="s">
        <v>1008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7"/>
      <c r="AU174" s="93"/>
      <c r="AV174" s="297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">
        <v>1610</v>
      </c>
      <c r="B175" t="s">
        <v>64</v>
      </c>
      <c r="C175" s="52" t="s">
        <v>456</v>
      </c>
      <c r="D175" s="52" t="s">
        <v>456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1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7"/>
      <c r="AU175" s="93"/>
      <c r="AV175" s="297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">
        <v>1611</v>
      </c>
      <c r="B176" t="s">
        <v>64</v>
      </c>
      <c r="C176" s="52" t="s">
        <v>841</v>
      </c>
      <c r="D176" s="52" t="s">
        <v>841</v>
      </c>
      <c r="E176">
        <v>221.14000000000001</v>
      </c>
      <c r="F176">
        <v>220.09999999999997</v>
      </c>
      <c r="G176" s="64">
        <v>45601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370.83333333333331</v>
      </c>
      <c r="Q176" s="81" t="s">
        <v>992</v>
      </c>
      <c r="R176" s="82">
        <v>2.1</v>
      </c>
      <c r="S176" s="87"/>
      <c r="T176" s="88"/>
      <c r="U176" s="87" t="s">
        <v>993</v>
      </c>
      <c r="V176" s="88">
        <v>2.7</v>
      </c>
      <c r="W176" s="87" t="s">
        <v>994</v>
      </c>
      <c r="X176" s="88">
        <v>2.5</v>
      </c>
      <c r="Y176" s="87" t="s">
        <v>995</v>
      </c>
      <c r="Z176" s="88">
        <v>2.5</v>
      </c>
      <c r="AA176" s="87" t="s">
        <v>996</v>
      </c>
      <c r="AB176" s="88">
        <v>2.2000000000000002</v>
      </c>
      <c r="AC176" s="87" t="s">
        <v>1612</v>
      </c>
      <c r="AD176" s="88">
        <v>2</v>
      </c>
      <c r="AE176" s="93" t="s">
        <v>1613</v>
      </c>
      <c r="AF176" s="252">
        <v>3</v>
      </c>
      <c r="AG176" s="81" t="s">
        <v>1005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7"/>
      <c r="AU176" s="93"/>
      <c r="AV176" s="297"/>
      <c r="AW176" s="93"/>
      <c r="AX176" s="66">
        <f t="shared" si="26"/>
        <v>17.8</v>
      </c>
      <c r="AY176" s="78">
        <f t="shared" si="27"/>
        <v>370.83333333333331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406.55666666666667</v>
      </c>
      <c r="BC176" s="53">
        <f t="shared" si="29"/>
        <v>405.51666666666665</v>
      </c>
    </row>
    <row r="177" spans="1:55" ht="13.15">
      <c r="A177" t="s">
        <v>1614</v>
      </c>
      <c r="B177" t="s">
        <v>228</v>
      </c>
      <c r="C177" s="52" t="s">
        <v>768</v>
      </c>
      <c r="D177" s="52" t="s">
        <v>768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7"/>
      <c r="AU177" s="93"/>
      <c r="AV177" s="297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">
        <v>1615</v>
      </c>
      <c r="B178" t="s">
        <v>228</v>
      </c>
      <c r="C178" s="52" t="s">
        <v>768</v>
      </c>
      <c r="D178" s="52" t="s">
        <v>768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1" t="s">
        <v>1616</v>
      </c>
      <c r="R178" s="82">
        <v>1</v>
      </c>
      <c r="S178" s="263" t="s">
        <v>1321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7"/>
      <c r="AU178" s="93"/>
      <c r="AV178" s="297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">
        <v>1617</v>
      </c>
      <c r="B179" t="s">
        <v>230</v>
      </c>
      <c r="C179" s="52" t="s">
        <v>772</v>
      </c>
      <c r="D179" s="52" t="s">
        <v>772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5" t="s">
        <v>1323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7"/>
      <c r="AU179" s="93"/>
      <c r="AV179" s="297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">
        <v>1618</v>
      </c>
      <c r="B180" t="s">
        <v>230</v>
      </c>
      <c r="C180" s="52" t="s">
        <v>772</v>
      </c>
      <c r="D180" s="52" t="s">
        <v>772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7"/>
      <c r="AU180" s="93"/>
      <c r="AV180" s="297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">
        <v>1619</v>
      </c>
      <c r="B181" t="s">
        <v>230</v>
      </c>
      <c r="C181" s="52" t="s">
        <v>772</v>
      </c>
      <c r="D181" s="52" t="s">
        <v>772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7"/>
      <c r="AU181" s="93"/>
      <c r="AV181" s="297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">
        <v>1620</v>
      </c>
      <c r="B182" t="s">
        <v>230</v>
      </c>
      <c r="C182" s="52" t="s">
        <v>772</v>
      </c>
      <c r="D182" s="52" t="s">
        <v>772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7"/>
      <c r="AU182" s="93"/>
      <c r="AV182" s="297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">
        <v>1621</v>
      </c>
      <c r="B183" t="s">
        <v>267</v>
      </c>
      <c r="C183" s="52" t="s">
        <v>832</v>
      </c>
      <c r="D183" s="52" t="s">
        <v>832</v>
      </c>
      <c r="E183">
        <v>90</v>
      </c>
      <c r="F183">
        <v>90</v>
      </c>
      <c r="G183" s="64" t="s">
        <v>1622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1" t="s">
        <v>1382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7"/>
      <c r="AU183" s="93"/>
      <c r="AV183" s="297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">
        <v>1623</v>
      </c>
      <c r="B184" t="s">
        <v>83</v>
      </c>
      <c r="C184" s="52" t="s">
        <v>497</v>
      </c>
      <c r="D184" s="52" t="s">
        <v>497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7"/>
      <c r="AU184" s="93"/>
      <c r="AV184" s="297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">
        <v>1624</v>
      </c>
      <c r="B185" t="s">
        <v>112</v>
      </c>
      <c r="C185" s="52" t="s">
        <v>553</v>
      </c>
      <c r="D185" s="52" t="s">
        <v>553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7"/>
      <c r="AU185" s="93"/>
      <c r="AV185" s="297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">
        <v>1625</v>
      </c>
      <c r="B186" t="s">
        <v>156</v>
      </c>
      <c r="C186" s="52" t="s">
        <v>641</v>
      </c>
      <c r="D186" s="52" t="s">
        <v>641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7"/>
      <c r="AU186" s="93"/>
      <c r="AV186" s="297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">
        <v>1626</v>
      </c>
      <c r="B187" t="s">
        <v>1627</v>
      </c>
      <c r="C187" s="52" t="s">
        <v>1628</v>
      </c>
      <c r="D187" s="52" t="s">
        <v>1628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7"/>
      <c r="AU187" s="93"/>
      <c r="AV187" s="297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">
        <v>1629</v>
      </c>
      <c r="B188" t="s">
        <v>1627</v>
      </c>
      <c r="C188" s="52" t="s">
        <v>1628</v>
      </c>
      <c r="D188" s="52" t="s">
        <v>1628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7"/>
      <c r="AU188" s="93"/>
      <c r="AV188" s="297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">
        <v>1630</v>
      </c>
      <c r="B189" t="s">
        <v>1627</v>
      </c>
      <c r="C189" s="52" t="s">
        <v>1628</v>
      </c>
      <c r="D189" s="52" t="s">
        <v>1628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7"/>
      <c r="AU189" s="93"/>
      <c r="AV189" s="297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">
        <v>1631</v>
      </c>
      <c r="B190" t="s">
        <v>1627</v>
      </c>
      <c r="C190" s="52" t="s">
        <v>1628</v>
      </c>
      <c r="D190" s="52" t="s">
        <v>1628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7"/>
      <c r="AU190" s="93"/>
      <c r="AV190" s="297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">
        <v>1632</v>
      </c>
      <c r="B191" t="s">
        <v>158</v>
      </c>
      <c r="C191" s="52" t="s">
        <v>643</v>
      </c>
      <c r="D191" s="52" t="s">
        <v>643</v>
      </c>
      <c r="E191">
        <v>191.92</v>
      </c>
      <c r="F191">
        <v>126.88</v>
      </c>
      <c r="G191" s="64">
        <v>45601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325</v>
      </c>
      <c r="Q191" s="81" t="s">
        <v>1185</v>
      </c>
      <c r="R191" s="82">
        <v>2</v>
      </c>
      <c r="S191" s="81" t="s">
        <v>1186</v>
      </c>
      <c r="T191" s="82">
        <v>0.5</v>
      </c>
      <c r="U191" s="81" t="s">
        <v>1187</v>
      </c>
      <c r="V191" s="82">
        <v>10.1</v>
      </c>
      <c r="W191" s="99" t="s">
        <v>1633</v>
      </c>
      <c r="X191" s="100">
        <v>2</v>
      </c>
      <c r="Y191" s="300" t="s">
        <v>1192</v>
      </c>
      <c r="Z191" s="301">
        <v>0.6</v>
      </c>
      <c r="AA191" s="302" t="s">
        <v>1193</v>
      </c>
      <c r="AB191" s="301">
        <v>0.4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7"/>
      <c r="AU191" s="93"/>
      <c r="AV191" s="297"/>
      <c r="AW191" s="93"/>
      <c r="AX191" s="66">
        <f t="shared" si="26"/>
        <v>15.6</v>
      </c>
      <c r="AY191" s="78">
        <f t="shared" si="27"/>
        <v>325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354.41999999999996</v>
      </c>
      <c r="BC191" s="53">
        <f t="shared" si="29"/>
        <v>289.38</v>
      </c>
    </row>
    <row r="192" spans="1:55" ht="13.15">
      <c r="A192" t="s">
        <v>1634</v>
      </c>
      <c r="B192" t="s">
        <v>158</v>
      </c>
      <c r="C192" s="52" t="s">
        <v>643</v>
      </c>
      <c r="D192" s="52" t="s">
        <v>643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7"/>
      <c r="AU192" s="93"/>
      <c r="AV192" s="297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">
        <v>1635</v>
      </c>
      <c r="B193" t="s">
        <v>158</v>
      </c>
      <c r="C193" s="52" t="s">
        <v>643</v>
      </c>
      <c r="D193" s="52" t="s">
        <v>643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1" t="s">
        <v>1636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7"/>
      <c r="AU193" s="93"/>
      <c r="AV193" s="297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">
        <v>1637</v>
      </c>
      <c r="B194" t="s">
        <v>158</v>
      </c>
      <c r="C194" s="52" t="s">
        <v>643</v>
      </c>
      <c r="D194" s="52" t="s">
        <v>643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7"/>
      <c r="AU194" s="93"/>
      <c r="AV194" s="297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">
        <v>1638</v>
      </c>
      <c r="B195" t="s">
        <v>158</v>
      </c>
      <c r="C195" s="52" t="s">
        <v>643</v>
      </c>
      <c r="D195" s="52" t="s">
        <v>643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1" t="s">
        <v>1195</v>
      </c>
      <c r="R195" s="100">
        <v>1</v>
      </c>
      <c r="S195" s="93"/>
      <c r="T195" s="80"/>
      <c r="U195" s="101" t="s">
        <v>1639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7"/>
      <c r="AU195" s="93"/>
      <c r="AV195" s="297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">
        <v>1640</v>
      </c>
      <c r="B196" t="s">
        <v>158</v>
      </c>
      <c r="C196" s="52" t="s">
        <v>643</v>
      </c>
      <c r="D196" s="52" t="s">
        <v>643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7"/>
      <c r="AU196" s="93"/>
      <c r="AV196" s="297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">
        <v>1641</v>
      </c>
      <c r="B197" t="s">
        <v>158</v>
      </c>
      <c r="C197" s="52" t="s">
        <v>643</v>
      </c>
      <c r="D197" s="52" t="s">
        <v>643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12</v>
      </c>
      <c r="P197" s="69">
        <f t="shared" ref="P197:P253" si="42">SUM(AY197+BA197)</f>
        <v>343.75</v>
      </c>
      <c r="Q197" s="92" t="s">
        <v>1642</v>
      </c>
      <c r="R197" s="80">
        <v>5</v>
      </c>
      <c r="S197" s="89" t="s">
        <v>1643</v>
      </c>
      <c r="T197" s="82">
        <v>2.9</v>
      </c>
      <c r="U197" s="81" t="s">
        <v>1189</v>
      </c>
      <c r="V197" s="82">
        <v>1.8</v>
      </c>
      <c r="W197" s="101" t="s">
        <v>1198</v>
      </c>
      <c r="X197" s="326">
        <v>5.6</v>
      </c>
      <c r="Y197" s="101" t="s">
        <v>1199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7"/>
      <c r="AU197" s="93"/>
      <c r="AV197" s="297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">
        <v>1644</v>
      </c>
      <c r="B198" t="s">
        <v>158</v>
      </c>
      <c r="C198" s="52" t="s">
        <v>643</v>
      </c>
      <c r="D198" s="52" t="s">
        <v>643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77.083333333333329</v>
      </c>
      <c r="Q198" s="101" t="s">
        <v>1200</v>
      </c>
      <c r="R198" s="326">
        <v>3.7</v>
      </c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7"/>
      <c r="AU198" s="93"/>
      <c r="AV198" s="297"/>
      <c r="AW198" s="93"/>
      <c r="AX198" s="66">
        <f t="shared" si="38"/>
        <v>3.7</v>
      </c>
      <c r="AY198" s="78">
        <f t="shared" si="39"/>
        <v>77.083333333333329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38.541666666666664</v>
      </c>
      <c r="BC198" s="53">
        <f t="shared" si="41"/>
        <v>38.541666666666664</v>
      </c>
    </row>
    <row r="199" spans="1:55" ht="13.15">
      <c r="A199" t="s">
        <v>1645</v>
      </c>
      <c r="B199" t="s">
        <v>161</v>
      </c>
      <c r="C199" s="52" t="s">
        <v>646</v>
      </c>
      <c r="D199" s="52" t="s">
        <v>646</v>
      </c>
      <c r="E199">
        <v>155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7"/>
      <c r="AU199" s="93"/>
      <c r="AV199" s="297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">
        <v>1646</v>
      </c>
      <c r="B200" t="s">
        <v>161</v>
      </c>
      <c r="C200" s="52" t="s">
        <v>646</v>
      </c>
      <c r="D200" s="52" t="s">
        <v>646</v>
      </c>
      <c r="E200">
        <v>132</v>
      </c>
      <c r="F200">
        <v>129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31</v>
      </c>
      <c r="P200" s="69">
        <f t="shared" si="42"/>
        <v>310.41666666666663</v>
      </c>
      <c r="Q200" s="81" t="s">
        <v>1202</v>
      </c>
      <c r="R200" s="82">
        <v>5</v>
      </c>
      <c r="S200" s="81" t="s">
        <v>1203</v>
      </c>
      <c r="T200" s="82">
        <v>1.5</v>
      </c>
      <c r="U200" s="83" t="s">
        <v>1204</v>
      </c>
      <c r="V200" s="284">
        <v>3.2</v>
      </c>
      <c r="W200" s="302" t="s">
        <v>1205</v>
      </c>
      <c r="X200" s="301">
        <v>1</v>
      </c>
      <c r="Y200" s="83" t="s">
        <v>1206</v>
      </c>
      <c r="Z200" s="284">
        <v>4.2</v>
      </c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7"/>
      <c r="AU200" s="93"/>
      <c r="AV200" s="297"/>
      <c r="AW200" s="93"/>
      <c r="AX200" s="66">
        <f t="shared" si="38"/>
        <v>14.899999999999999</v>
      </c>
      <c r="AY200" s="78">
        <f t="shared" si="39"/>
        <v>310.41666666666663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287.20833333333331</v>
      </c>
      <c r="BC200" s="53">
        <f t="shared" si="41"/>
        <v>284.20833333333331</v>
      </c>
    </row>
    <row r="201" spans="1:55" ht="13.15">
      <c r="A201" t="s">
        <v>1647</v>
      </c>
      <c r="B201" t="s">
        <v>161</v>
      </c>
      <c r="C201" s="52" t="s">
        <v>646</v>
      </c>
      <c r="D201" s="52" t="s">
        <v>646</v>
      </c>
      <c r="E201" t="s">
        <v>1444</v>
      </c>
      <c r="F201" t="s">
        <v>1444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7"/>
      <c r="AU201" s="93"/>
      <c r="AV201" s="297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">
        <v>1648</v>
      </c>
      <c r="B202" t="s">
        <v>161</v>
      </c>
      <c r="C202" s="52" t="s">
        <v>646</v>
      </c>
      <c r="D202" s="52" t="s">
        <v>646</v>
      </c>
      <c r="E202" t="s">
        <v>1444</v>
      </c>
      <c r="F202" t="s">
        <v>1444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7"/>
      <c r="AU202" s="93"/>
      <c r="AV202" s="297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">
        <v>1649</v>
      </c>
      <c r="B203" t="s">
        <v>161</v>
      </c>
      <c r="C203" s="52" t="s">
        <v>646</v>
      </c>
      <c r="D203" s="52" t="s">
        <v>646</v>
      </c>
      <c r="E203" t="s">
        <v>1444</v>
      </c>
      <c r="F203" t="s">
        <v>1444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7"/>
      <c r="AU203" s="93"/>
      <c r="AV203" s="297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">
        <v>1650</v>
      </c>
      <c r="B204" t="s">
        <v>161</v>
      </c>
      <c r="C204" s="52" t="s">
        <v>646</v>
      </c>
      <c r="D204" s="52" t="s">
        <v>646</v>
      </c>
      <c r="E204" t="s">
        <v>1444</v>
      </c>
      <c r="F204" t="s">
        <v>1444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7"/>
      <c r="AU204" s="93"/>
      <c r="AV204" s="297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">
        <v>1651</v>
      </c>
      <c r="B205" t="s">
        <v>161</v>
      </c>
      <c r="C205" s="52" t="s">
        <v>646</v>
      </c>
      <c r="D205" s="52" t="s">
        <v>646</v>
      </c>
      <c r="E205" t="s">
        <v>1444</v>
      </c>
      <c r="F205" t="s">
        <v>1444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7"/>
      <c r="AU205" s="93"/>
      <c r="AV205" s="297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">
        <v>1652</v>
      </c>
      <c r="B206" t="s">
        <v>161</v>
      </c>
      <c r="C206" s="52" t="s">
        <v>646</v>
      </c>
      <c r="D206" s="52" t="s">
        <v>646</v>
      </c>
      <c r="E206" t="s">
        <v>1444</v>
      </c>
      <c r="F206" t="s">
        <v>1444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7"/>
      <c r="AU206" s="93"/>
      <c r="AV206" s="297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">
        <v>1653</v>
      </c>
      <c r="B207" t="s">
        <v>161</v>
      </c>
      <c r="C207" s="52" t="s">
        <v>646</v>
      </c>
      <c r="D207" s="52" t="s">
        <v>646</v>
      </c>
      <c r="E207" t="s">
        <v>1444</v>
      </c>
      <c r="F207" t="s">
        <v>1444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7"/>
      <c r="AU207" s="93"/>
      <c r="AV207" s="297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">
        <v>1654</v>
      </c>
      <c r="B208" t="s">
        <v>161</v>
      </c>
      <c r="C208" s="52" t="s">
        <v>646</v>
      </c>
      <c r="D208" s="52" t="s">
        <v>646</v>
      </c>
      <c r="E208" t="s">
        <v>1444</v>
      </c>
      <c r="F208" t="s">
        <v>1444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7"/>
      <c r="AU208" s="93"/>
      <c r="AV208" s="297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">
        <v>1655</v>
      </c>
      <c r="B209" t="s">
        <v>161</v>
      </c>
      <c r="C209" s="52" t="s">
        <v>646</v>
      </c>
      <c r="D209" s="52" t="s">
        <v>646</v>
      </c>
      <c r="E209" t="s">
        <v>1444</v>
      </c>
      <c r="F209" t="s">
        <v>1444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7"/>
      <c r="AU209" s="93"/>
      <c r="AV209" s="297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">
        <v>1656</v>
      </c>
      <c r="B210" t="s">
        <v>161</v>
      </c>
      <c r="C210" s="52" t="s">
        <v>646</v>
      </c>
      <c r="D210" s="52" t="s">
        <v>646</v>
      </c>
      <c r="E210" t="s">
        <v>1444</v>
      </c>
      <c r="F210" t="s">
        <v>1444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7"/>
      <c r="AU210" s="93"/>
      <c r="AV210" s="297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">
        <v>1657</v>
      </c>
      <c r="B211" t="s">
        <v>161</v>
      </c>
      <c r="C211" s="52" t="s">
        <v>646</v>
      </c>
      <c r="D211" s="52" t="s">
        <v>646</v>
      </c>
      <c r="E211" t="s">
        <v>1444</v>
      </c>
      <c r="F211" t="s">
        <v>1444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7"/>
      <c r="AU211" s="93"/>
      <c r="AV211" s="297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">
        <v>1658</v>
      </c>
      <c r="B212" t="s">
        <v>161</v>
      </c>
      <c r="C212" s="52" t="s">
        <v>646</v>
      </c>
      <c r="D212" s="52" t="s">
        <v>646</v>
      </c>
      <c r="E212" t="s">
        <v>1444</v>
      </c>
      <c r="F212" t="s">
        <v>1444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7"/>
      <c r="AU212" s="93"/>
      <c r="AV212" s="297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">
        <v>1659</v>
      </c>
      <c r="B213" t="s">
        <v>161</v>
      </c>
      <c r="C213" s="52" t="s">
        <v>646</v>
      </c>
      <c r="D213" s="52" t="s">
        <v>646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7"/>
      <c r="AU213" s="93"/>
      <c r="AV213" s="297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">
        <v>1659</v>
      </c>
      <c r="B214" t="s">
        <v>161</v>
      </c>
      <c r="C214" s="52" t="s">
        <v>646</v>
      </c>
      <c r="D214" s="52" t="s">
        <v>646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7"/>
      <c r="AU214" s="93"/>
      <c r="AV214" s="297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">
        <v>1660</v>
      </c>
      <c r="B215" t="s">
        <v>176</v>
      </c>
      <c r="C215" s="52" t="s">
        <v>675</v>
      </c>
      <c r="D215" s="52" t="s">
        <v>675</v>
      </c>
      <c r="E215">
        <v>0.5</v>
      </c>
      <c r="F215">
        <v>0.5</v>
      </c>
      <c r="G215" s="64" t="s">
        <v>1661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7"/>
      <c r="AU215" s="93"/>
      <c r="AV215" s="297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">
        <v>1662</v>
      </c>
      <c r="B216" t="s">
        <v>186</v>
      </c>
      <c r="C216" s="52" t="s">
        <v>696</v>
      </c>
      <c r="D216" s="52" t="s">
        <v>696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1" t="s">
        <v>1258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7"/>
      <c r="AU216" s="93"/>
      <c r="AV216" s="297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">
        <v>1663</v>
      </c>
      <c r="B217" t="s">
        <v>1664</v>
      </c>
      <c r="C217" s="52" t="s">
        <v>698</v>
      </c>
      <c r="D217" s="52" t="s">
        <v>698</v>
      </c>
      <c r="E217">
        <v>57.11</v>
      </c>
      <c r="F217">
        <v>40.519999999999996</v>
      </c>
      <c r="G217" s="64">
        <v>45601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1" t="s">
        <v>1259</v>
      </c>
      <c r="R217" s="82">
        <v>1.7</v>
      </c>
      <c r="S217" s="81" t="s">
        <v>1260</v>
      </c>
      <c r="T217" s="279">
        <v>10.3</v>
      </c>
      <c r="U217" s="81" t="s">
        <v>1261</v>
      </c>
      <c r="V217" s="291">
        <v>1.7</v>
      </c>
      <c r="W217" s="101" t="s">
        <v>1665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7"/>
      <c r="AU217" s="93"/>
      <c r="AV217" s="297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257.11</v>
      </c>
      <c r="BC217" s="53">
        <f t="shared" si="41"/>
        <v>240.51999999999998</v>
      </c>
    </row>
    <row r="218" spans="1:55" ht="13.15">
      <c r="A218" t="s">
        <v>1666</v>
      </c>
      <c r="B218" t="s">
        <v>1664</v>
      </c>
      <c r="C218" s="52" t="s">
        <v>698</v>
      </c>
      <c r="D218" s="52" t="s">
        <v>698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7"/>
      <c r="AU218" s="93"/>
      <c r="AV218" s="297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">
        <v>1667</v>
      </c>
      <c r="B219" t="s">
        <v>1664</v>
      </c>
      <c r="C219" s="52" t="s">
        <v>698</v>
      </c>
      <c r="D219" s="52" t="s">
        <v>698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11" t="s">
        <v>1668</v>
      </c>
      <c r="R219" s="312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7"/>
      <c r="AU219" s="93"/>
      <c r="AV219" s="297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">
        <v>1669</v>
      </c>
      <c r="B220" t="s">
        <v>222</v>
      </c>
      <c r="C220" s="52" t="s">
        <v>757</v>
      </c>
      <c r="D220" s="52" t="s">
        <v>757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7"/>
      <c r="AU220" s="93"/>
      <c r="AV220" s="297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">
        <v>1670</v>
      </c>
      <c r="B221" t="s">
        <v>222</v>
      </c>
      <c r="C221" s="52" t="s">
        <v>757</v>
      </c>
      <c r="D221" s="52" t="s">
        <v>757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5" t="s">
        <v>1309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7"/>
      <c r="AU221" s="93"/>
      <c r="AV221" s="297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">
        <v>1671</v>
      </c>
      <c r="B222" t="s">
        <v>222</v>
      </c>
      <c r="C222" s="52" t="s">
        <v>757</v>
      </c>
      <c r="D222" s="52" t="s">
        <v>757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7"/>
      <c r="AU222" s="93"/>
      <c r="AV222" s="297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">
        <v>1672</v>
      </c>
      <c r="B223" t="s">
        <v>227</v>
      </c>
      <c r="C223" s="52" t="s">
        <v>766</v>
      </c>
      <c r="D223" s="52" t="s">
        <v>766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7"/>
      <c r="AU223" s="93"/>
      <c r="AV223" s="297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">
        <v>1673</v>
      </c>
      <c r="B224" t="s">
        <v>227</v>
      </c>
      <c r="C224" s="52" t="s">
        <v>766</v>
      </c>
      <c r="D224" s="52" t="s">
        <v>766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7"/>
      <c r="AU224" s="93"/>
      <c r="AV224" s="297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">
        <v>1674</v>
      </c>
      <c r="B225" t="s">
        <v>247</v>
      </c>
      <c r="C225" s="52" t="s">
        <v>794</v>
      </c>
      <c r="D225" s="52" t="s">
        <v>794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7"/>
      <c r="AU225" s="93"/>
      <c r="AV225" s="297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">
        <v>1675</v>
      </c>
      <c r="B226" t="s">
        <v>247</v>
      </c>
      <c r="C226" s="52" t="s">
        <v>794</v>
      </c>
      <c r="D226" s="52" t="s">
        <v>794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7"/>
      <c r="AU226" s="93"/>
      <c r="AV226" s="297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">
        <v>1676</v>
      </c>
      <c r="B227" t="s">
        <v>247</v>
      </c>
      <c r="C227" s="52" t="s">
        <v>794</v>
      </c>
      <c r="D227" s="52" t="s">
        <v>794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7"/>
      <c r="AU227" s="93"/>
      <c r="AV227" s="297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">
        <v>1677</v>
      </c>
      <c r="B228" t="s">
        <v>247</v>
      </c>
      <c r="C228" s="52" t="s">
        <v>794</v>
      </c>
      <c r="D228" s="52" t="s">
        <v>794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1" t="s">
        <v>1347</v>
      </c>
      <c r="R228" s="82">
        <v>8</v>
      </c>
      <c r="S228" s="81" t="s">
        <v>1348</v>
      </c>
      <c r="T228" s="82">
        <v>4.5</v>
      </c>
      <c r="U228" s="81" t="s">
        <v>1349</v>
      </c>
      <c r="V228" s="82">
        <v>4.5</v>
      </c>
      <c r="W228" s="81" t="s">
        <v>1350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7"/>
      <c r="AU228" s="93"/>
      <c r="AV228" s="297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">
        <v>1678</v>
      </c>
      <c r="B229" t="s">
        <v>247</v>
      </c>
      <c r="C229" s="52" t="s">
        <v>794</v>
      </c>
      <c r="D229" s="52" t="s">
        <v>794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0" t="s">
        <v>1351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7"/>
      <c r="AU229" s="93"/>
      <c r="AV229" s="297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">
        <v>1679</v>
      </c>
      <c r="B230" t="s">
        <v>247</v>
      </c>
      <c r="C230" s="52" t="s">
        <v>794</v>
      </c>
      <c r="D230" s="52" t="s">
        <v>794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7"/>
      <c r="AU230" s="93"/>
      <c r="AV230" s="297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">
        <v>1680</v>
      </c>
      <c r="B231" t="s">
        <v>247</v>
      </c>
      <c r="C231" s="52" t="s">
        <v>794</v>
      </c>
      <c r="D231" s="52" t="s">
        <v>794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7"/>
      <c r="AU231" s="93"/>
      <c r="AV231" s="297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">
        <v>1681</v>
      </c>
      <c r="B232" t="s">
        <v>247</v>
      </c>
      <c r="C232" s="52" t="s">
        <v>794</v>
      </c>
      <c r="D232" s="52" t="s">
        <v>794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7"/>
      <c r="AU232" s="93"/>
      <c r="AV232" s="297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">
        <v>1682</v>
      </c>
      <c r="B233" t="s">
        <v>268</v>
      </c>
      <c r="C233" s="52" t="s">
        <v>835</v>
      </c>
      <c r="D233" s="52" t="s">
        <v>835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1" t="s">
        <v>1383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7"/>
      <c r="AU233" s="93"/>
      <c r="AV233" s="297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">
        <v>1683</v>
      </c>
      <c r="B234" t="s">
        <v>269</v>
      </c>
      <c r="C234" s="52" t="s">
        <v>836</v>
      </c>
      <c r="D234" s="52" t="s">
        <v>836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7"/>
      <c r="AU234" s="93"/>
      <c r="AV234" s="297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">
        <v>1684</v>
      </c>
      <c r="B235" t="s">
        <v>51</v>
      </c>
      <c r="C235" s="52" t="s">
        <v>423</v>
      </c>
      <c r="D235" s="52" t="s">
        <v>423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7"/>
      <c r="AU235" s="93"/>
      <c r="AV235" s="297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">
        <v>1685</v>
      </c>
      <c r="B236" t="s">
        <v>60</v>
      </c>
      <c r="C236" s="52" t="s">
        <v>444</v>
      </c>
      <c r="D236" s="52" t="s">
        <v>444</v>
      </c>
      <c r="E236">
        <v>20</v>
      </c>
      <c r="F236">
        <v>15</v>
      </c>
      <c r="G236" s="64">
        <v>45341</v>
      </c>
      <c r="H236">
        <v>300</v>
      </c>
      <c r="I236">
        <v>300</v>
      </c>
      <c r="J236">
        <v>4</v>
      </c>
      <c r="K236">
        <v>0</v>
      </c>
      <c r="L236">
        <v>2</v>
      </c>
      <c r="M236">
        <v>0</v>
      </c>
      <c r="N236">
        <v>0</v>
      </c>
      <c r="O236">
        <v>33</v>
      </c>
      <c r="P236" s="69">
        <f t="shared" si="42"/>
        <v>112.5</v>
      </c>
      <c r="Q236" s="92" t="s">
        <v>985</v>
      </c>
      <c r="R236" s="80">
        <v>1</v>
      </c>
      <c r="S236" s="318" t="s">
        <v>1686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7"/>
      <c r="AU236" s="93"/>
      <c r="AV236" s="297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">
        <v>1687</v>
      </c>
      <c r="B237" t="s">
        <v>1688</v>
      </c>
      <c r="C237" s="52" t="s">
        <v>1689</v>
      </c>
      <c r="D237" s="52" t="s">
        <v>1689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7"/>
      <c r="AU237" s="93"/>
      <c r="AV237" s="297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">
        <v>1690</v>
      </c>
      <c r="B238" t="s">
        <v>1688</v>
      </c>
      <c r="C238" s="52" t="s">
        <v>1689</v>
      </c>
      <c r="D238" s="52" t="s">
        <v>1689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7"/>
      <c r="AU238" s="93"/>
      <c r="AV238" s="297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">
        <v>1691</v>
      </c>
      <c r="B239" t="s">
        <v>94</v>
      </c>
      <c r="C239" s="52" t="s">
        <v>514</v>
      </c>
      <c r="D239" s="52" t="s">
        <v>514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1" t="s">
        <v>1692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7"/>
      <c r="AU239" s="93"/>
      <c r="AV239" s="297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">
        <v>1693</v>
      </c>
      <c r="B240" t="s">
        <v>97</v>
      </c>
      <c r="C240" s="52" t="s">
        <v>520</v>
      </c>
      <c r="D240" s="52" t="s">
        <v>520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7"/>
      <c r="AU240" s="93"/>
      <c r="AV240" s="297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">
        <v>1694</v>
      </c>
      <c r="B241" t="s">
        <v>98</v>
      </c>
      <c r="C241" s="52" t="s">
        <v>521</v>
      </c>
      <c r="D241" s="52" t="s">
        <v>521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1" t="s">
        <v>1084</v>
      </c>
      <c r="R241" s="82">
        <v>5</v>
      </c>
      <c r="S241" s="99" t="s">
        <v>1085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7"/>
      <c r="AU241" s="93"/>
      <c r="AV241" s="297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">
        <v>1695</v>
      </c>
      <c r="B242" t="s">
        <v>115</v>
      </c>
      <c r="C242" s="52" t="s">
        <v>564</v>
      </c>
      <c r="D242" s="52" t="s">
        <v>564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1" t="s">
        <v>1696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7"/>
      <c r="AU242" s="93"/>
      <c r="AV242" s="297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">
        <v>1697</v>
      </c>
      <c r="B243" t="s">
        <v>104</v>
      </c>
      <c r="C243" s="52" t="s">
        <v>537</v>
      </c>
      <c r="D243" s="52" t="s">
        <v>537</v>
      </c>
      <c r="E243" t="s">
        <v>1698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7"/>
      <c r="AU243" s="93"/>
      <c r="AV243" s="297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">
        <v>1699</v>
      </c>
      <c r="B244" t="s">
        <v>104</v>
      </c>
      <c r="C244" s="52" t="s">
        <v>537</v>
      </c>
      <c r="D244" s="52" t="s">
        <v>537</v>
      </c>
      <c r="E244" t="s">
        <v>1698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7"/>
      <c r="AU244" s="93"/>
      <c r="AV244" s="297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">
        <v>1700</v>
      </c>
      <c r="B245" t="s">
        <v>154</v>
      </c>
      <c r="C245" s="52" t="s">
        <v>635</v>
      </c>
      <c r="D245" s="52" t="s">
        <v>635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1" t="s">
        <v>1701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7"/>
      <c r="AU245" s="93"/>
      <c r="AV245" s="297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">
        <v>1702</v>
      </c>
      <c r="B246" t="s">
        <v>154</v>
      </c>
      <c r="C246" s="52" t="s">
        <v>635</v>
      </c>
      <c r="D246" s="52" t="s">
        <v>635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7"/>
      <c r="AU246" s="93"/>
      <c r="AV246" s="297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">
        <v>1703</v>
      </c>
      <c r="B247" t="s">
        <v>154</v>
      </c>
      <c r="C247" s="52" t="s">
        <v>635</v>
      </c>
      <c r="D247" s="52" t="s">
        <v>635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7"/>
      <c r="AU247" s="93"/>
      <c r="AV247" s="297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">
        <v>1704</v>
      </c>
      <c r="B248" t="s">
        <v>163</v>
      </c>
      <c r="C248" s="52" t="s">
        <v>651</v>
      </c>
      <c r="D248" s="52" t="s">
        <v>651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1" t="s">
        <v>1208</v>
      </c>
      <c r="R248" s="82">
        <v>5</v>
      </c>
      <c r="S248" s="81" t="s">
        <v>1209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7"/>
      <c r="AU248" s="93"/>
      <c r="AV248" s="297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">
        <v>1705</v>
      </c>
      <c r="B249" t="s">
        <v>165</v>
      </c>
      <c r="C249" s="52" t="s">
        <v>656</v>
      </c>
      <c r="D249" s="52" t="s">
        <v>656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7"/>
      <c r="AU249" s="93"/>
      <c r="AV249" s="297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">
        <v>1706</v>
      </c>
      <c r="B250" t="s">
        <v>172</v>
      </c>
      <c r="C250" s="52" t="s">
        <v>670</v>
      </c>
      <c r="D250" s="52" t="s">
        <v>670</v>
      </c>
      <c r="E250">
        <v>250</v>
      </c>
      <c r="F250">
        <v>250</v>
      </c>
      <c r="G250" s="64" t="s">
        <v>1707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7"/>
      <c r="AU250" s="93"/>
      <c r="AV250" s="297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">
        <v>1708</v>
      </c>
      <c r="B251" t="s">
        <v>172</v>
      </c>
      <c r="C251" s="52" t="s">
        <v>670</v>
      </c>
      <c r="D251" s="52" t="s">
        <v>670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7"/>
      <c r="AU251" s="93"/>
      <c r="AV251" s="297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">
        <v>1709</v>
      </c>
      <c r="B252" t="s">
        <v>172</v>
      </c>
      <c r="C252" s="52" t="s">
        <v>670</v>
      </c>
      <c r="D252" s="52" t="s">
        <v>670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7"/>
      <c r="AU252" s="93"/>
      <c r="AV252" s="297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">
        <v>1710</v>
      </c>
      <c r="B253" t="s">
        <v>172</v>
      </c>
      <c r="C253" s="52" t="s">
        <v>670</v>
      </c>
      <c r="D253" s="52" t="s">
        <v>670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5" t="s">
        <v>1227</v>
      </c>
      <c r="R253" s="255">
        <v>2</v>
      </c>
      <c r="S253" s="105" t="s">
        <v>1228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7"/>
      <c r="AU253" s="93"/>
      <c r="AV253" s="297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">
        <v>1711</v>
      </c>
      <c r="B254" t="s">
        <v>172</v>
      </c>
      <c r="C254" s="52" t="s">
        <v>670</v>
      </c>
      <c r="D254" s="52" t="s">
        <v>670</v>
      </c>
      <c r="E254">
        <v>95</v>
      </c>
      <c r="F254">
        <v>95</v>
      </c>
      <c r="G254" s="64" t="s">
        <v>1712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7"/>
      <c r="AU254" s="93"/>
      <c r="AV254" s="297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">
        <v>1713</v>
      </c>
      <c r="B255" t="s">
        <v>174</v>
      </c>
      <c r="C255" s="52" t="s">
        <v>672</v>
      </c>
      <c r="D255" s="52" t="s">
        <v>672</v>
      </c>
      <c r="E255">
        <v>225.96999999999997</v>
      </c>
      <c r="F255">
        <v>249.51999999999998</v>
      </c>
      <c r="G255" s="64">
        <v>45601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245.83333333333329</v>
      </c>
      <c r="Q255" s="85" t="s">
        <v>1714</v>
      </c>
      <c r="R255" s="86">
        <v>4.8</v>
      </c>
      <c r="S255" s="81" t="s">
        <v>1230</v>
      </c>
      <c r="T255" s="82">
        <v>1.4</v>
      </c>
      <c r="U255" s="81"/>
      <c r="V255" s="82"/>
      <c r="W255" s="89" t="s">
        <v>1715</v>
      </c>
      <c r="X255" s="90">
        <v>0.8</v>
      </c>
      <c r="Y255" s="92" t="s">
        <v>1243</v>
      </c>
      <c r="Z255" s="80">
        <v>1.6</v>
      </c>
      <c r="AA255" s="92" t="s">
        <v>1244</v>
      </c>
      <c r="AB255" s="80">
        <v>1.6</v>
      </c>
      <c r="AC255" s="92" t="s">
        <v>1245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11.799999999999999</v>
      </c>
      <c r="AY255" s="78">
        <f t="shared" si="45"/>
        <v>245.83333333333329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348.8866666666666</v>
      </c>
      <c r="BC255" s="53">
        <f t="shared" si="47"/>
        <v>372.43666666666661</v>
      </c>
    </row>
    <row r="256" spans="1:55" ht="13.15">
      <c r="A256" t="s">
        <v>1716</v>
      </c>
      <c r="B256" t="s">
        <v>174</v>
      </c>
      <c r="C256" s="52" t="s">
        <v>672</v>
      </c>
      <c r="D256" s="52" t="s">
        <v>672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7"/>
      <c r="AU256" s="93"/>
      <c r="AV256" s="297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">
        <v>1717</v>
      </c>
      <c r="B257" t="s">
        <v>174</v>
      </c>
      <c r="C257" s="52" t="s">
        <v>672</v>
      </c>
      <c r="D257" s="52" t="s">
        <v>672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7"/>
      <c r="AU257" s="93"/>
      <c r="AV257" s="297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">
        <v>1718</v>
      </c>
      <c r="B258" t="s">
        <v>174</v>
      </c>
      <c r="C258" s="52" t="s">
        <v>672</v>
      </c>
      <c r="D258" s="52" t="s">
        <v>672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7"/>
      <c r="AU258" s="93"/>
      <c r="AV258" s="297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">
        <v>1719</v>
      </c>
      <c r="B259" t="s">
        <v>174</v>
      </c>
      <c r="C259" s="52" t="s">
        <v>672</v>
      </c>
      <c r="D259" s="52" t="s">
        <v>672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7"/>
      <c r="AU259" s="93"/>
      <c r="AV259" s="297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">
        <v>1720</v>
      </c>
      <c r="B260" t="s">
        <v>174</v>
      </c>
      <c r="C260" s="52" t="s">
        <v>672</v>
      </c>
      <c r="D260" s="52" t="s">
        <v>672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7"/>
      <c r="AU260" s="93"/>
      <c r="AV260" s="297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">
        <v>1721</v>
      </c>
      <c r="B261" t="s">
        <v>174</v>
      </c>
      <c r="C261" s="52" t="s">
        <v>672</v>
      </c>
      <c r="D261" s="52" t="s">
        <v>672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7"/>
      <c r="AU261" s="93"/>
      <c r="AV261" s="297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">
        <v>1722</v>
      </c>
      <c r="B262" t="s">
        <v>174</v>
      </c>
      <c r="C262" s="52" t="s">
        <v>672</v>
      </c>
      <c r="D262" s="52" t="s">
        <v>672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7"/>
      <c r="AU262" s="93"/>
      <c r="AV262" s="297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">
        <v>1723</v>
      </c>
      <c r="B263" t="s">
        <v>174</v>
      </c>
      <c r="C263" s="52" t="s">
        <v>672</v>
      </c>
      <c r="D263" s="52" t="s">
        <v>672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7"/>
      <c r="AU263" s="93"/>
      <c r="AV263" s="297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">
        <v>1724</v>
      </c>
      <c r="B264" t="s">
        <v>174</v>
      </c>
      <c r="C264" s="52" t="s">
        <v>672</v>
      </c>
      <c r="D264" s="52" t="s">
        <v>672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2</v>
      </c>
      <c r="M264">
        <v>17</v>
      </c>
      <c r="N264">
        <v>11</v>
      </c>
      <c r="O264">
        <v>0</v>
      </c>
      <c r="P264" s="69">
        <f t="shared" si="48"/>
        <v>72.916666666666671</v>
      </c>
      <c r="Q264" s="101" t="s">
        <v>1231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7"/>
      <c r="AU264" s="93"/>
      <c r="AV264" s="297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">
        <v>1725</v>
      </c>
      <c r="B265" t="s">
        <v>174</v>
      </c>
      <c r="C265" s="52" t="s">
        <v>672</v>
      </c>
      <c r="D265" s="52" t="s">
        <v>672</v>
      </c>
      <c r="E265">
        <v>250</v>
      </c>
      <c r="F265" t="s">
        <v>1726</v>
      </c>
      <c r="G265" s="64">
        <v>44330</v>
      </c>
      <c r="H265">
        <v>300</v>
      </c>
      <c r="I265">
        <v>300</v>
      </c>
      <c r="J265">
        <v>1</v>
      </c>
      <c r="K265">
        <v>7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1" t="s">
        <v>1727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7"/>
      <c r="AU265" s="93"/>
      <c r="AV265" s="297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">
        <v>1728</v>
      </c>
      <c r="B266" t="s">
        <v>174</v>
      </c>
      <c r="C266" s="52" t="s">
        <v>672</v>
      </c>
      <c r="D266" s="52" t="s">
        <v>672</v>
      </c>
      <c r="E266" t="s">
        <v>1726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1" t="s">
        <v>1727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7"/>
      <c r="AU266" s="93"/>
      <c r="AV266" s="297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">
        <v>1729</v>
      </c>
      <c r="B267" t="s">
        <v>174</v>
      </c>
      <c r="C267" s="52" t="s">
        <v>672</v>
      </c>
      <c r="D267" s="52" t="s">
        <v>672</v>
      </c>
      <c r="E267">
        <v>160.97</v>
      </c>
      <c r="F267">
        <v>173.82999999999998</v>
      </c>
      <c r="G267" s="64">
        <v>45601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516.66666666666663</v>
      </c>
      <c r="Q267" s="89" t="s">
        <v>1233</v>
      </c>
      <c r="R267" s="282">
        <v>1.2</v>
      </c>
      <c r="S267" s="89" t="s">
        <v>1234</v>
      </c>
      <c r="T267" s="282">
        <v>1.9</v>
      </c>
      <c r="U267" s="89" t="s">
        <v>1235</v>
      </c>
      <c r="V267" s="282">
        <v>1.9</v>
      </c>
      <c r="W267" s="89" t="s">
        <v>1236</v>
      </c>
      <c r="X267" s="282">
        <v>1.6</v>
      </c>
      <c r="Y267" s="89" t="s">
        <v>1237</v>
      </c>
      <c r="Z267" s="282">
        <v>0.9</v>
      </c>
      <c r="AA267" s="89" t="s">
        <v>1239</v>
      </c>
      <c r="AB267" s="282">
        <v>2.9</v>
      </c>
      <c r="AC267" s="89" t="s">
        <v>1730</v>
      </c>
      <c r="AD267" s="90">
        <v>3.1</v>
      </c>
      <c r="AE267" s="87" t="s">
        <v>1248</v>
      </c>
      <c r="AF267" s="281">
        <v>2.2999999999999998</v>
      </c>
      <c r="AG267" s="81" t="s">
        <v>1246</v>
      </c>
      <c r="AH267" s="279">
        <v>2.9</v>
      </c>
      <c r="AI267" s="89" t="s">
        <v>1247</v>
      </c>
      <c r="AJ267" s="279">
        <v>2</v>
      </c>
      <c r="AK267" s="89" t="s">
        <v>1241</v>
      </c>
      <c r="AL267" s="252">
        <v>4.0999999999999996</v>
      </c>
      <c r="AM267" s="99"/>
      <c r="AN267" s="100"/>
      <c r="AO267" s="92"/>
      <c r="AP267" s="80"/>
      <c r="AQ267" s="93"/>
      <c r="AR267" s="80"/>
      <c r="AS267" s="93"/>
      <c r="AT267" s="297"/>
      <c r="AU267" s="93"/>
      <c r="AV267" s="297"/>
      <c r="AW267" s="93"/>
      <c r="AX267" s="66">
        <f t="shared" si="44"/>
        <v>24.799999999999997</v>
      </c>
      <c r="AY267" s="78">
        <f t="shared" si="45"/>
        <v>516.66666666666663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419.30333333333328</v>
      </c>
      <c r="BC267" s="53">
        <f t="shared" si="47"/>
        <v>432.1633333333333</v>
      </c>
    </row>
    <row r="268" spans="1:55" ht="13.15">
      <c r="A268" t="s">
        <v>1731</v>
      </c>
      <c r="B268" t="s">
        <v>170</v>
      </c>
      <c r="C268" s="52" t="s">
        <v>667</v>
      </c>
      <c r="D268" s="52" t="s">
        <v>667</v>
      </c>
      <c r="E268">
        <v>181.07999999999998</v>
      </c>
      <c r="F268">
        <v>178.14000000000001</v>
      </c>
      <c r="G268" s="64">
        <v>45601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362.5</v>
      </c>
      <c r="Q268" s="81" t="s">
        <v>1220</v>
      </c>
      <c r="R268" s="279">
        <v>1.3</v>
      </c>
      <c r="S268" s="81"/>
      <c r="T268" s="279"/>
      <c r="U268" s="81" t="s">
        <v>1221</v>
      </c>
      <c r="V268" s="82">
        <v>1.3</v>
      </c>
      <c r="W268" s="81" t="s">
        <v>1222</v>
      </c>
      <c r="X268" s="82">
        <v>1</v>
      </c>
      <c r="Y268" s="81" t="s">
        <v>1223</v>
      </c>
      <c r="Z268" s="82">
        <v>2.2000000000000002</v>
      </c>
      <c r="AA268" s="81" t="s">
        <v>1225</v>
      </c>
      <c r="AB268" s="279">
        <v>0.7</v>
      </c>
      <c r="AC268" s="81" t="s">
        <v>1224</v>
      </c>
      <c r="AD268" s="279">
        <v>3.2</v>
      </c>
      <c r="AE268" s="87" t="s">
        <v>1732</v>
      </c>
      <c r="AF268" s="280">
        <v>3.6</v>
      </c>
      <c r="AG268" s="87" t="s">
        <v>1733</v>
      </c>
      <c r="AH268" s="80">
        <v>4.0999999999999996</v>
      </c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7"/>
      <c r="AU268" s="93"/>
      <c r="AV268" s="297"/>
      <c r="AW268" s="93"/>
      <c r="AX268" s="66">
        <f t="shared" si="44"/>
        <v>17.399999999999999</v>
      </c>
      <c r="AY268" s="78">
        <f t="shared" si="45"/>
        <v>362.5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362.33</v>
      </c>
      <c r="BC268" s="53">
        <f t="shared" si="47"/>
        <v>359.39</v>
      </c>
    </row>
    <row r="269" spans="1:55" ht="13.15">
      <c r="A269" t="s">
        <v>1734</v>
      </c>
      <c r="B269" t="s">
        <v>241</v>
      </c>
      <c r="C269" s="52" t="s">
        <v>785</v>
      </c>
      <c r="D269" s="52" t="s">
        <v>785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7"/>
      <c r="AU269" s="93"/>
      <c r="AV269" s="297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">
        <v>1735</v>
      </c>
      <c r="B270" t="s">
        <v>241</v>
      </c>
      <c r="C270" s="52" t="s">
        <v>785</v>
      </c>
      <c r="D270" s="52" t="s">
        <v>785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7"/>
      <c r="AU270" s="93"/>
      <c r="AV270" s="297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">
        <v>1736</v>
      </c>
      <c r="B271" t="s">
        <v>241</v>
      </c>
      <c r="C271" s="52" t="s">
        <v>785</v>
      </c>
      <c r="D271" s="52" t="s">
        <v>785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7"/>
      <c r="AU271" s="93"/>
      <c r="AV271" s="297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">
        <v>1737</v>
      </c>
      <c r="B272" t="s">
        <v>241</v>
      </c>
      <c r="C272" s="52" t="s">
        <v>785</v>
      </c>
      <c r="D272" s="52" t="s">
        <v>785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7"/>
      <c r="AU272" s="93"/>
      <c r="AV272" s="297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">
        <v>1738</v>
      </c>
      <c r="B273" t="s">
        <v>241</v>
      </c>
      <c r="C273" s="52" t="s">
        <v>785</v>
      </c>
      <c r="D273" s="52" t="s">
        <v>785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1" t="s">
        <v>1344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7"/>
      <c r="AU273" s="93"/>
      <c r="AV273" s="297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">
        <v>1739</v>
      </c>
      <c r="B274" t="s">
        <v>265</v>
      </c>
      <c r="C274" s="52" t="s">
        <v>826</v>
      </c>
      <c r="D274" s="52" t="s">
        <v>826</v>
      </c>
      <c r="E274">
        <v>110</v>
      </c>
      <c r="F274">
        <v>105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28</v>
      </c>
      <c r="P274" s="69">
        <f t="shared" si="48"/>
        <v>212.5</v>
      </c>
      <c r="Q274" s="81" t="s">
        <v>1378</v>
      </c>
      <c r="R274" s="82">
        <v>5</v>
      </c>
      <c r="S274" s="302" t="s">
        <v>1379</v>
      </c>
      <c r="T274" s="301">
        <v>1</v>
      </c>
      <c r="U274" s="101" t="s">
        <v>1380</v>
      </c>
      <c r="V274" s="100">
        <v>4.2</v>
      </c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7"/>
      <c r="AU274" s="93"/>
      <c r="AV274" s="297"/>
      <c r="AW274" s="93"/>
      <c r="AX274" s="66">
        <f t="shared" si="44"/>
        <v>10.199999999999999</v>
      </c>
      <c r="AY274" s="78">
        <f t="shared" si="45"/>
        <v>212.5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216.25</v>
      </c>
      <c r="BC274" s="53">
        <f t="shared" si="47"/>
        <v>211.25</v>
      </c>
    </row>
    <row r="275" spans="1:55" ht="13.15">
      <c r="A275" t="s">
        <v>1740</v>
      </c>
      <c r="B275" t="s">
        <v>1741</v>
      </c>
      <c r="C275" s="52" t="s">
        <v>393</v>
      </c>
      <c r="D275" s="52" t="s">
        <v>393</v>
      </c>
      <c r="E275">
        <v>155.97999999999999</v>
      </c>
      <c r="F275">
        <v>164.68</v>
      </c>
      <c r="G275" s="64">
        <v>45601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406.25</v>
      </c>
      <c r="Q275" s="81" t="s">
        <v>1742</v>
      </c>
      <c r="R275" s="82">
        <v>1.7</v>
      </c>
      <c r="S275" s="81" t="s">
        <v>926</v>
      </c>
      <c r="T275" s="82">
        <v>1.6</v>
      </c>
      <c r="U275" s="81" t="s">
        <v>1743</v>
      </c>
      <c r="V275" s="82">
        <v>2.7</v>
      </c>
      <c r="W275" s="81" t="s">
        <v>1744</v>
      </c>
      <c r="X275" s="82">
        <v>2.2000000000000002</v>
      </c>
      <c r="Y275" s="81" t="s">
        <v>1745</v>
      </c>
      <c r="Z275" s="82">
        <v>3.5</v>
      </c>
      <c r="AA275" s="81" t="s">
        <v>1746</v>
      </c>
      <c r="AB275" s="82">
        <v>4.5</v>
      </c>
      <c r="AC275" s="92" t="s">
        <v>932</v>
      </c>
      <c r="AD275" s="82">
        <v>2.5</v>
      </c>
      <c r="AE275" s="93" t="s">
        <v>925</v>
      </c>
      <c r="AF275" s="80">
        <v>0.8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7"/>
      <c r="AU275" s="93"/>
      <c r="AV275" s="297"/>
      <c r="AW275" s="93"/>
      <c r="AX275" s="66">
        <f t="shared" si="44"/>
        <v>19.5</v>
      </c>
      <c r="AY275" s="78">
        <f t="shared" si="45"/>
        <v>406.25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359.10500000000002</v>
      </c>
      <c r="BC275" s="53">
        <f t="shared" si="47"/>
        <v>367.80500000000001</v>
      </c>
    </row>
    <row r="276" spans="1:55" ht="13.15">
      <c r="A276" t="s">
        <v>1747</v>
      </c>
      <c r="B276" t="s">
        <v>1741</v>
      </c>
      <c r="C276" s="52" t="s">
        <v>393</v>
      </c>
      <c r="D276" s="52" t="s">
        <v>393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4" t="s">
        <v>1748</v>
      </c>
      <c r="R276" s="115">
        <v>1</v>
      </c>
      <c r="S276" s="114" t="s">
        <v>1748</v>
      </c>
      <c r="T276" s="115">
        <v>1</v>
      </c>
      <c r="U276" s="114" t="s">
        <v>930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7"/>
      <c r="AU276" s="93"/>
      <c r="AV276" s="297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">
        <v>1749</v>
      </c>
      <c r="B277" t="s">
        <v>1741</v>
      </c>
      <c r="C277" s="52" t="s">
        <v>393</v>
      </c>
      <c r="D277" s="52" t="s">
        <v>393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1" t="s">
        <v>924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7"/>
      <c r="AU277" s="93"/>
      <c r="AV277" s="297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">
        <v>1750</v>
      </c>
      <c r="B278" t="s">
        <v>1741</v>
      </c>
      <c r="C278" s="52" t="s">
        <v>393</v>
      </c>
      <c r="D278" s="52" t="s">
        <v>393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7"/>
      <c r="AU278" s="93"/>
      <c r="AV278" s="297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">
        <v>1751</v>
      </c>
      <c r="B279" t="s">
        <v>1741</v>
      </c>
      <c r="C279" s="52" t="s">
        <v>393</v>
      </c>
      <c r="D279" s="52" t="s">
        <v>393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7"/>
      <c r="AU279" s="93"/>
      <c r="AV279" s="297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">
        <v>1752</v>
      </c>
      <c r="B280" t="s">
        <v>179</v>
      </c>
      <c r="C280" s="52" t="s">
        <v>682</v>
      </c>
      <c r="D280" s="52" t="s">
        <v>682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1" t="s">
        <v>1253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7"/>
      <c r="AU280" s="93"/>
      <c r="AV280" s="297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">
        <v>1753</v>
      </c>
      <c r="B281" t="s">
        <v>179</v>
      </c>
      <c r="C281" s="52" t="s">
        <v>682</v>
      </c>
      <c r="D281" s="52" t="s">
        <v>682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7"/>
      <c r="AU281" s="93"/>
      <c r="AV281" s="297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">
        <v>1754</v>
      </c>
      <c r="B282" t="s">
        <v>238</v>
      </c>
      <c r="C282" s="52" t="s">
        <v>779</v>
      </c>
      <c r="D282" s="52" t="s">
        <v>779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7"/>
      <c r="AU282" s="93"/>
      <c r="AV282" s="297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">
        <v>1755</v>
      </c>
      <c r="B283" t="s">
        <v>41</v>
      </c>
      <c r="C283" s="52" t="s">
        <v>404</v>
      </c>
      <c r="D283" s="52" t="s">
        <v>404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7"/>
      <c r="AU283" s="93"/>
      <c r="AV283" s="297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">
        <v>1756</v>
      </c>
      <c r="B284" t="s">
        <v>41</v>
      </c>
      <c r="C284" s="52" t="s">
        <v>404</v>
      </c>
      <c r="D284" s="52" t="s">
        <v>404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42</v>
      </c>
      <c r="M284">
        <v>1</v>
      </c>
      <c r="N284">
        <v>3</v>
      </c>
      <c r="O284"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7"/>
      <c r="AU284" s="93"/>
      <c r="AV284" s="297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">
        <v>1757</v>
      </c>
      <c r="B285" t="s">
        <v>41</v>
      </c>
      <c r="C285" s="52" t="s">
        <v>404</v>
      </c>
      <c r="D285" s="52" t="s">
        <v>404</v>
      </c>
      <c r="E285">
        <v>70</v>
      </c>
      <c r="F285">
        <v>70</v>
      </c>
      <c r="G285" s="64">
        <v>45357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525</v>
      </c>
      <c r="Q285" s="81" t="s">
        <v>934</v>
      </c>
      <c r="R285" s="82">
        <v>5</v>
      </c>
      <c r="S285" s="105" t="s">
        <v>935</v>
      </c>
      <c r="T285" s="268">
        <v>1</v>
      </c>
      <c r="U285" s="105" t="s">
        <v>936</v>
      </c>
      <c r="V285" s="255">
        <v>5</v>
      </c>
      <c r="W285" s="320" t="s">
        <v>937</v>
      </c>
      <c r="X285" s="322">
        <v>5</v>
      </c>
      <c r="Y285" s="320" t="s">
        <v>938</v>
      </c>
      <c r="Z285" s="322">
        <v>5</v>
      </c>
      <c r="AA285" s="83" t="s">
        <v>939</v>
      </c>
      <c r="AB285" s="284">
        <v>4.2</v>
      </c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7"/>
      <c r="AU285" s="93"/>
      <c r="AV285" s="297"/>
      <c r="AW285" s="93"/>
      <c r="AX285" s="66">
        <f t="shared" si="44"/>
        <v>25.2</v>
      </c>
      <c r="AY285" s="78">
        <f t="shared" si="45"/>
        <v>525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332.5</v>
      </c>
      <c r="BC285" s="53">
        <f t="shared" si="47"/>
        <v>332.5</v>
      </c>
    </row>
    <row r="286" spans="1:55" ht="13.15">
      <c r="A286" t="s">
        <v>1758</v>
      </c>
      <c r="B286" t="s">
        <v>42</v>
      </c>
      <c r="C286" s="52" t="s">
        <v>407</v>
      </c>
      <c r="D286" s="52" t="s">
        <v>407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1" t="s">
        <v>940</v>
      </c>
      <c r="R286" s="82">
        <v>5</v>
      </c>
      <c r="S286" s="81" t="s">
        <v>1417</v>
      </c>
      <c r="T286" s="82">
        <v>3.5</v>
      </c>
      <c r="U286" s="105" t="s">
        <v>943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7"/>
      <c r="AU286" s="93"/>
      <c r="AV286" s="297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">
        <v>1759</v>
      </c>
      <c r="B287" t="s">
        <v>42</v>
      </c>
      <c r="C287" s="52" t="s">
        <v>407</v>
      </c>
      <c r="D287" s="52" t="s">
        <v>407</v>
      </c>
      <c r="E287">
        <v>45</v>
      </c>
      <c r="F287">
        <v>40</v>
      </c>
      <c r="G287" s="64">
        <v>45350</v>
      </c>
      <c r="H287">
        <v>300</v>
      </c>
      <c r="I287">
        <v>300</v>
      </c>
      <c r="J287">
        <v>0</v>
      </c>
      <c r="K287">
        <v>3</v>
      </c>
      <c r="L287">
        <v>2</v>
      </c>
      <c r="M287">
        <v>0</v>
      </c>
      <c r="N287">
        <v>0</v>
      </c>
      <c r="O287">
        <v>0</v>
      </c>
      <c r="P287" s="69">
        <f t="shared" si="48"/>
        <v>441.66666666666669</v>
      </c>
      <c r="Q287" s="81" t="s">
        <v>941</v>
      </c>
      <c r="R287" s="82">
        <v>3.5</v>
      </c>
      <c r="S287" s="85" t="s">
        <v>944</v>
      </c>
      <c r="T287" s="255">
        <v>5</v>
      </c>
      <c r="U287" s="85" t="s">
        <v>945</v>
      </c>
      <c r="V287" s="255">
        <v>5</v>
      </c>
      <c r="W287" s="85" t="s">
        <v>946</v>
      </c>
      <c r="X287" s="280">
        <v>3.5</v>
      </c>
      <c r="Y287" s="83" t="s">
        <v>947</v>
      </c>
      <c r="Z287" s="284">
        <v>4.2</v>
      </c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7"/>
      <c r="AU287" s="93"/>
      <c r="AV287" s="297"/>
      <c r="AW287" s="93"/>
      <c r="AX287" s="66">
        <f t="shared" si="44"/>
        <v>21.2</v>
      </c>
      <c r="AY287" s="78">
        <f t="shared" si="45"/>
        <v>441.66666666666669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265.83333333333337</v>
      </c>
      <c r="BC287" s="53">
        <f t="shared" si="47"/>
        <v>260.83333333333337</v>
      </c>
    </row>
    <row r="288" spans="1:55" ht="13.15">
      <c r="A288" t="s">
        <v>1760</v>
      </c>
      <c r="B288" t="s">
        <v>42</v>
      </c>
      <c r="C288" s="52" t="s">
        <v>407</v>
      </c>
      <c r="D288" s="52" t="s">
        <v>407</v>
      </c>
      <c r="E288" t="s">
        <v>1698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7"/>
      <c r="AU288" s="93"/>
      <c r="AV288" s="297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">
        <v>1761</v>
      </c>
      <c r="B289" t="s">
        <v>42</v>
      </c>
      <c r="C289" s="52" t="s">
        <v>407</v>
      </c>
      <c r="D289" s="52" t="s">
        <v>407</v>
      </c>
      <c r="E289" t="s">
        <v>1698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7"/>
      <c r="AU289" s="93"/>
      <c r="AV289" s="297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">
        <v>1762</v>
      </c>
      <c r="B290" t="s">
        <v>25</v>
      </c>
      <c r="C290" s="52" t="s">
        <v>331</v>
      </c>
      <c r="D290" s="52" t="s">
        <v>331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1" t="s">
        <v>898</v>
      </c>
      <c r="R290" s="82">
        <v>0.5</v>
      </c>
      <c r="S290" s="83" t="s">
        <v>1763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7"/>
      <c r="AU290" s="93"/>
      <c r="AV290" s="297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">
        <v>1764</v>
      </c>
      <c r="B291" t="s">
        <v>26</v>
      </c>
      <c r="C291" s="52" t="s">
        <v>336</v>
      </c>
      <c r="D291" s="52" t="s">
        <v>336</v>
      </c>
      <c r="E291">
        <v>0</v>
      </c>
      <c r="F291">
        <v>0</v>
      </c>
      <c r="G291" s="64">
        <v>45015</v>
      </c>
      <c r="H291">
        <v>300</v>
      </c>
      <c r="I291">
        <v>300</v>
      </c>
      <c r="J291">
        <v>0</v>
      </c>
      <c r="K291">
        <v>0</v>
      </c>
      <c r="L291">
        <v>1</v>
      </c>
      <c r="M291">
        <v>35</v>
      </c>
      <c r="N291">
        <v>0</v>
      </c>
      <c r="O291">
        <v>0</v>
      </c>
      <c r="P291" s="69">
        <f t="shared" si="48"/>
        <v>104.16666666666667</v>
      </c>
      <c r="Q291" s="83" t="s">
        <v>902</v>
      </c>
      <c r="R291" s="84">
        <v>4</v>
      </c>
      <c r="S291" s="303" t="s">
        <v>903</v>
      </c>
      <c r="T291" s="304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7"/>
      <c r="AU291" s="93"/>
      <c r="AV291" s="297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">
        <v>1765</v>
      </c>
      <c r="B292" t="s">
        <v>26</v>
      </c>
      <c r="C292" s="52" t="s">
        <v>336</v>
      </c>
      <c r="D292" s="52" t="s">
        <v>336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7"/>
      <c r="AU292" s="93"/>
      <c r="AV292" s="297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">
        <v>1766</v>
      </c>
      <c r="B293" t="s">
        <v>26</v>
      </c>
      <c r="C293" s="52" t="s">
        <v>336</v>
      </c>
      <c r="D293" s="52" t="s">
        <v>336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7"/>
      <c r="AU293" s="93"/>
      <c r="AV293" s="297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">
        <v>1767</v>
      </c>
      <c r="B294" t="s">
        <v>26</v>
      </c>
      <c r="C294" s="52" t="s">
        <v>336</v>
      </c>
      <c r="D294" s="52" t="s">
        <v>336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7"/>
      <c r="AU294" s="93"/>
      <c r="AV294" s="297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">
        <v>1768</v>
      </c>
      <c r="B295" t="s">
        <v>26</v>
      </c>
      <c r="C295" s="52" t="s">
        <v>336</v>
      </c>
      <c r="D295" s="52" t="s">
        <v>336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7"/>
      <c r="AU295" s="93"/>
      <c r="AV295" s="297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">
        <v>1769</v>
      </c>
      <c r="B296" t="s">
        <v>27</v>
      </c>
      <c r="C296" s="52" t="s">
        <v>341</v>
      </c>
      <c r="D296" s="52" t="s">
        <v>341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2" t="s">
        <v>904</v>
      </c>
      <c r="R296" s="80">
        <v>4</v>
      </c>
      <c r="S296" s="302" t="s">
        <v>905</v>
      </c>
      <c r="T296" s="301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7"/>
      <c r="AU296" s="93"/>
      <c r="AV296" s="297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">
        <v>1770</v>
      </c>
      <c r="B297" t="s">
        <v>33</v>
      </c>
      <c r="C297" s="52" t="s">
        <v>369</v>
      </c>
      <c r="D297" s="52" t="s">
        <v>369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7"/>
      <c r="AU297" s="93"/>
      <c r="AV297" s="297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">
        <v>1771</v>
      </c>
      <c r="B298" t="s">
        <v>33</v>
      </c>
      <c r="C298" s="52" t="s">
        <v>369</v>
      </c>
      <c r="D298" s="52" t="s">
        <v>369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7"/>
      <c r="AU298" s="93"/>
      <c r="AV298" s="297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">
        <v>1772</v>
      </c>
      <c r="B299" t="s">
        <v>109</v>
      </c>
      <c r="C299" s="52" t="s">
        <v>548</v>
      </c>
      <c r="D299" s="52" t="s">
        <v>548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1" t="s">
        <v>1096</v>
      </c>
      <c r="R299" s="82">
        <v>5</v>
      </c>
      <c r="S299" s="81" t="s">
        <v>1773</v>
      </c>
      <c r="T299" s="82">
        <v>4</v>
      </c>
      <c r="U299" s="92"/>
      <c r="V299" s="80"/>
      <c r="W299" s="92"/>
      <c r="X299" s="301"/>
      <c r="Y299" s="89" t="s">
        <v>1097</v>
      </c>
      <c r="Z299" s="301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7"/>
      <c r="AU299" s="93"/>
      <c r="AV299" s="297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">
        <v>1774</v>
      </c>
      <c r="B300" t="s">
        <v>110</v>
      </c>
      <c r="C300" s="52" t="s">
        <v>549</v>
      </c>
      <c r="D300" s="52" t="s">
        <v>549</v>
      </c>
      <c r="E300" t="s">
        <v>1698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3" t="s">
        <v>1775</v>
      </c>
      <c r="R300" s="254">
        <v>0.5</v>
      </c>
      <c r="S300" s="253" t="s">
        <v>1775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7"/>
      <c r="AU300" s="93"/>
      <c r="AV300" s="297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">
        <v>1776</v>
      </c>
      <c r="B301" t="s">
        <v>111</v>
      </c>
      <c r="C301" s="52" t="s">
        <v>551</v>
      </c>
      <c r="D301" s="52" t="s">
        <v>551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1" t="s">
        <v>1098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7"/>
      <c r="AU301" s="93"/>
      <c r="AV301" s="297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">
        <v>1777</v>
      </c>
      <c r="B302" t="s">
        <v>117</v>
      </c>
      <c r="C302" s="52" t="s">
        <v>569</v>
      </c>
      <c r="D302" s="52" t="s">
        <v>569</v>
      </c>
      <c r="E302">
        <v>115.89</v>
      </c>
      <c r="F302">
        <v>128.56</v>
      </c>
      <c r="G302" s="64">
        <v>45601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939.58333333333337</v>
      </c>
      <c r="Q302" s="81" t="s">
        <v>1101</v>
      </c>
      <c r="R302" s="82">
        <v>2</v>
      </c>
      <c r="S302" s="81" t="s">
        <v>1102</v>
      </c>
      <c r="T302" s="82">
        <v>1</v>
      </c>
      <c r="U302" s="81" t="s">
        <v>1103</v>
      </c>
      <c r="V302" s="82">
        <v>2.5</v>
      </c>
      <c r="W302" s="81" t="s">
        <v>1104</v>
      </c>
      <c r="X302" s="82">
        <v>2.9</v>
      </c>
      <c r="Y302" s="105" t="s">
        <v>1087</v>
      </c>
      <c r="Z302" s="255">
        <v>0.6</v>
      </c>
      <c r="AA302" s="256" t="s">
        <v>1105</v>
      </c>
      <c r="AB302" s="255">
        <v>3.6</v>
      </c>
      <c r="AC302" s="256" t="s">
        <v>1778</v>
      </c>
      <c r="AD302" s="255">
        <v>3.5</v>
      </c>
      <c r="AE302" s="83" t="s">
        <v>1779</v>
      </c>
      <c r="AF302" s="84">
        <v>6.5</v>
      </c>
      <c r="AG302" s="85" t="s">
        <v>1109</v>
      </c>
      <c r="AH302" s="86">
        <v>5.8</v>
      </c>
      <c r="AI302" s="85" t="s">
        <v>1110</v>
      </c>
      <c r="AJ302" s="86">
        <v>5.8</v>
      </c>
      <c r="AK302" s="85" t="s">
        <v>1111</v>
      </c>
      <c r="AL302" s="86">
        <v>1.9</v>
      </c>
      <c r="AM302" s="85" t="s">
        <v>1112</v>
      </c>
      <c r="AN302" s="86">
        <v>4</v>
      </c>
      <c r="AO302" s="85" t="s">
        <v>1780</v>
      </c>
      <c r="AP302" s="86">
        <v>1</v>
      </c>
      <c r="AQ302" s="85" t="s">
        <v>1113</v>
      </c>
      <c r="AR302" s="252">
        <v>4</v>
      </c>
      <c r="AS302" s="93"/>
      <c r="AT302" s="297"/>
      <c r="AU302" s="93"/>
      <c r="AV302" s="297"/>
      <c r="AW302" s="93"/>
      <c r="AX302" s="66">
        <f t="shared" si="44"/>
        <v>45.1</v>
      </c>
      <c r="AY302" s="78">
        <f t="shared" si="45"/>
        <v>939.58333333333337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585.68166666666673</v>
      </c>
      <c r="BC302" s="53">
        <f t="shared" si="47"/>
        <v>598.35166666666669</v>
      </c>
    </row>
    <row r="303" spans="1:55" ht="13.15">
      <c r="A303" t="s">
        <v>1781</v>
      </c>
      <c r="B303" t="s">
        <v>117</v>
      </c>
      <c r="C303" s="52" t="s">
        <v>569</v>
      </c>
      <c r="D303" s="52" t="s">
        <v>569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7"/>
      <c r="AU303" s="93"/>
      <c r="AV303" s="297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">
        <v>1782</v>
      </c>
      <c r="B304" t="s">
        <v>117</v>
      </c>
      <c r="C304" s="52" t="s">
        <v>569</v>
      </c>
      <c r="D304" s="52" t="s">
        <v>569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7"/>
      <c r="AU304" s="93"/>
      <c r="AV304" s="297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">
        <v>1783</v>
      </c>
      <c r="B305" t="s">
        <v>119</v>
      </c>
      <c r="C305" s="52" t="s">
        <v>571</v>
      </c>
      <c r="D305" s="52" t="s">
        <v>571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1" t="s">
        <v>1116</v>
      </c>
      <c r="R305" s="82">
        <v>4.5999999999999996</v>
      </c>
      <c r="S305" s="302" t="s">
        <v>1118</v>
      </c>
      <c r="T305" s="301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7"/>
      <c r="AU305" s="93"/>
      <c r="AV305" s="297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">
        <v>1784</v>
      </c>
      <c r="B306" t="s">
        <v>119</v>
      </c>
      <c r="C306" s="52" t="s">
        <v>571</v>
      </c>
      <c r="D306" s="52" t="s">
        <v>571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7"/>
      <c r="AU306" s="93"/>
      <c r="AV306" s="297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">
        <v>1785</v>
      </c>
      <c r="B307" t="s">
        <v>119</v>
      </c>
      <c r="C307" s="52" t="s">
        <v>571</v>
      </c>
      <c r="D307" s="52" t="s">
        <v>571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7"/>
      <c r="AU307" s="93"/>
      <c r="AV307" s="297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">
        <v>1786</v>
      </c>
      <c r="B308" t="s">
        <v>119</v>
      </c>
      <c r="C308" s="52" t="s">
        <v>571</v>
      </c>
      <c r="D308" s="52" t="s">
        <v>571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2" t="s">
        <v>1120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7"/>
      <c r="AU308" s="93"/>
      <c r="AV308" s="297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">
        <v>1787</v>
      </c>
      <c r="B309" t="s">
        <v>75</v>
      </c>
      <c r="C309" s="52" t="s">
        <v>478</v>
      </c>
      <c r="D309" s="52" t="s">
        <v>478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83" t="s">
        <v>1051</v>
      </c>
      <c r="R309" s="284">
        <v>0.3</v>
      </c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7"/>
      <c r="AU309" s="93"/>
      <c r="AV309" s="297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">
        <v>1788</v>
      </c>
      <c r="B310" t="s">
        <v>134</v>
      </c>
      <c r="C310" s="52" t="s">
        <v>593</v>
      </c>
      <c r="D310" s="52" t="s">
        <v>593</v>
      </c>
      <c r="E310">
        <v>160.51</v>
      </c>
      <c r="F310">
        <v>187.32</v>
      </c>
      <c r="G310" s="64">
        <v>45601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535.41666666666663</v>
      </c>
      <c r="Q310" s="81" t="s">
        <v>1137</v>
      </c>
      <c r="R310" s="82">
        <v>2</v>
      </c>
      <c r="S310" s="89" t="s">
        <v>1138</v>
      </c>
      <c r="T310" s="90">
        <v>2.2000000000000002</v>
      </c>
      <c r="U310" s="81" t="s">
        <v>1139</v>
      </c>
      <c r="V310" s="90">
        <v>2.9</v>
      </c>
      <c r="W310" s="87" t="s">
        <v>1140</v>
      </c>
      <c r="X310" s="88">
        <v>2.1</v>
      </c>
      <c r="Y310" s="81" t="s">
        <v>1142</v>
      </c>
      <c r="Z310" s="90">
        <v>1.5</v>
      </c>
      <c r="AA310" s="256" t="s">
        <v>1789</v>
      </c>
      <c r="AB310" s="255">
        <v>3.5</v>
      </c>
      <c r="AC310" s="92" t="s">
        <v>1144</v>
      </c>
      <c r="AD310" s="80">
        <v>1.2</v>
      </c>
      <c r="AE310" s="260" t="s">
        <v>1141</v>
      </c>
      <c r="AF310" s="261">
        <v>1.8</v>
      </c>
      <c r="AG310" s="89" t="s">
        <v>1145</v>
      </c>
      <c r="AH310" s="301">
        <v>4.0999999999999996</v>
      </c>
      <c r="AI310" s="89" t="s">
        <v>1146</v>
      </c>
      <c r="AJ310" s="301">
        <v>4.4000000000000004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7"/>
      <c r="AU310" s="93"/>
      <c r="AV310" s="297"/>
      <c r="AW310" s="93"/>
      <c r="AX310" s="66">
        <f t="shared" si="44"/>
        <v>25.699999999999996</v>
      </c>
      <c r="AY310" s="78">
        <f t="shared" si="45"/>
        <v>535.41666666666663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428.21833333333331</v>
      </c>
      <c r="BC310" s="53">
        <f t="shared" si="47"/>
        <v>455.02833333333331</v>
      </c>
    </row>
    <row r="311" spans="1:55" ht="13.15">
      <c r="A311" t="s">
        <v>1790</v>
      </c>
      <c r="B311" t="s">
        <v>134</v>
      </c>
      <c r="C311" s="52" t="s">
        <v>593</v>
      </c>
      <c r="D311" s="52" t="s">
        <v>593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1" t="s">
        <v>1791</v>
      </c>
      <c r="R311" s="100">
        <v>2</v>
      </c>
      <c r="S311" s="101" t="s">
        <v>1791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7"/>
      <c r="AU311" s="93"/>
      <c r="AV311" s="297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">
        <v>1792</v>
      </c>
      <c r="B312" t="s">
        <v>134</v>
      </c>
      <c r="C312" s="52" t="s">
        <v>593</v>
      </c>
      <c r="D312" s="52" t="s">
        <v>593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7"/>
      <c r="AU312" s="93"/>
      <c r="AV312" s="297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">
        <v>1793</v>
      </c>
      <c r="B313" t="s">
        <v>134</v>
      </c>
      <c r="C313" s="52" t="s">
        <v>593</v>
      </c>
      <c r="D313" s="52" t="s">
        <v>593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25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7"/>
      <c r="AU313" s="93"/>
      <c r="AV313" s="297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">
        <v>1794</v>
      </c>
      <c r="B314" t="s">
        <v>134</v>
      </c>
      <c r="C314" s="52" t="s">
        <v>593</v>
      </c>
      <c r="D314" s="52" t="s">
        <v>593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7"/>
      <c r="AU314" s="93"/>
      <c r="AV314" s="297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">
        <v>1795</v>
      </c>
      <c r="B315" t="s">
        <v>134</v>
      </c>
      <c r="C315" s="52" t="s">
        <v>593</v>
      </c>
      <c r="D315" s="52" t="s">
        <v>593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7"/>
      <c r="AU315" s="93"/>
      <c r="AV315" s="297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">
        <v>1796</v>
      </c>
      <c r="B316" t="s">
        <v>136</v>
      </c>
      <c r="C316" s="52" t="s">
        <v>594</v>
      </c>
      <c r="D316" s="52" t="s">
        <v>594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7"/>
      <c r="AU316" s="93"/>
      <c r="AV316" s="297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">
        <v>1797</v>
      </c>
      <c r="B317" t="s">
        <v>136</v>
      </c>
      <c r="C317" s="52" t="s">
        <v>594</v>
      </c>
      <c r="D317" s="52" t="s">
        <v>594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31</v>
      </c>
      <c r="P317" s="69">
        <f t="shared" ref="P317:P372" si="54">SUM(AY317+BA317)</f>
        <v>145.83333333333334</v>
      </c>
      <c r="Q317" s="81" t="s">
        <v>1148</v>
      </c>
      <c r="R317" s="82">
        <v>5</v>
      </c>
      <c r="S317" s="256" t="s">
        <v>1149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7"/>
      <c r="AU317" s="93"/>
      <c r="AV317" s="297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">
        <v>1798</v>
      </c>
      <c r="B318" t="s">
        <v>137</v>
      </c>
      <c r="C318" s="52" t="s">
        <v>595</v>
      </c>
      <c r="D318" s="52" t="s">
        <v>595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7"/>
      <c r="AU318" s="93"/>
      <c r="AV318" s="297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">
        <v>1799</v>
      </c>
      <c r="B319" t="s">
        <v>137</v>
      </c>
      <c r="C319" s="52" t="s">
        <v>595</v>
      </c>
      <c r="D319" s="52" t="s">
        <v>595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0" t="s">
        <v>1800</v>
      </c>
      <c r="R319" s="301">
        <v>1</v>
      </c>
      <c r="S319" s="83" t="s">
        <v>1151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7"/>
      <c r="AU319" s="93"/>
      <c r="AV319" s="297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">
        <v>1801</v>
      </c>
      <c r="B320" t="s">
        <v>147</v>
      </c>
      <c r="C320" s="52" t="s">
        <v>619</v>
      </c>
      <c r="D320" s="52" t="s">
        <v>619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1" t="s">
        <v>1167</v>
      </c>
      <c r="R320" s="82">
        <v>3</v>
      </c>
      <c r="S320" s="85" t="s">
        <v>1168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7"/>
      <c r="AU320" s="93"/>
      <c r="AV320" s="297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">
        <v>1802</v>
      </c>
      <c r="B321" t="s">
        <v>162</v>
      </c>
      <c r="C321" s="52" t="s">
        <v>649</v>
      </c>
      <c r="D321" s="52" t="s">
        <v>649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7"/>
      <c r="AU321" s="93"/>
      <c r="AV321" s="297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">
        <v>1803</v>
      </c>
      <c r="B322" t="s">
        <v>162</v>
      </c>
      <c r="C322" s="52" t="s">
        <v>649</v>
      </c>
      <c r="D322" s="52" t="s">
        <v>649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1" t="s">
        <v>1207</v>
      </c>
      <c r="R322" s="100">
        <v>2</v>
      </c>
      <c r="S322" s="101" t="s">
        <v>1207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7"/>
      <c r="AU322" s="93"/>
      <c r="AV322" s="297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">
        <v>1804</v>
      </c>
      <c r="B323" t="s">
        <v>207</v>
      </c>
      <c r="C323" s="52" t="s">
        <v>729</v>
      </c>
      <c r="D323" s="52" t="s">
        <v>729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3" t="s">
        <v>1285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7"/>
      <c r="AU323" s="93"/>
      <c r="AV323" s="297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">
        <v>1805</v>
      </c>
      <c r="B324" t="s">
        <v>239</v>
      </c>
      <c r="C324" s="52" t="s">
        <v>782</v>
      </c>
      <c r="D324" s="52" t="s">
        <v>782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1" t="s">
        <v>1806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7"/>
      <c r="AU324" s="93"/>
      <c r="AV324" s="297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">
        <v>1807</v>
      </c>
      <c r="B325" t="s">
        <v>31</v>
      </c>
      <c r="C325" s="52" t="s">
        <v>359</v>
      </c>
      <c r="D325" s="52" t="s">
        <v>359</v>
      </c>
      <c r="E325">
        <v>0</v>
      </c>
      <c r="F325">
        <v>0</v>
      </c>
      <c r="G325" s="64">
        <v>0</v>
      </c>
      <c r="H325">
        <v>300</v>
      </c>
      <c r="I325" s="307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7"/>
      <c r="AU325" s="93"/>
      <c r="AV325" s="297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">
        <v>1808</v>
      </c>
      <c r="B326" t="s">
        <v>31</v>
      </c>
      <c r="C326" s="52" t="s">
        <v>359</v>
      </c>
      <c r="D326" s="52" t="s">
        <v>359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7"/>
      <c r="AU326" s="93"/>
      <c r="AV326" s="297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">
        <v>1809</v>
      </c>
      <c r="B327" t="s">
        <v>79</v>
      </c>
      <c r="C327" s="52" t="s">
        <v>485</v>
      </c>
      <c r="D327" s="52" t="s">
        <v>485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0" t="s">
        <v>1053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7"/>
      <c r="AU327" s="93"/>
      <c r="AV327" s="297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">
        <v>1810</v>
      </c>
      <c r="B328" t="s">
        <v>79</v>
      </c>
      <c r="C328" s="52" t="s">
        <v>485</v>
      </c>
      <c r="D328" s="52" t="s">
        <v>485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7"/>
      <c r="AU328" s="93"/>
      <c r="AV328" s="297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">
        <v>1811</v>
      </c>
      <c r="B329" t="s">
        <v>126</v>
      </c>
      <c r="C329" s="52" t="s">
        <v>581</v>
      </c>
      <c r="D329" s="52" t="s">
        <v>581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7"/>
      <c r="AU329" s="93"/>
      <c r="AV329" s="297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">
        <v>1812</v>
      </c>
      <c r="B330" t="s">
        <v>143</v>
      </c>
      <c r="C330" s="52" t="s">
        <v>610</v>
      </c>
      <c r="D330" s="52" t="s">
        <v>610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0" t="s">
        <v>1157</v>
      </c>
      <c r="R330" s="301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7"/>
      <c r="AU330" s="93"/>
      <c r="AV330" s="297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">
        <v>1813</v>
      </c>
      <c r="B331" t="s">
        <v>143</v>
      </c>
      <c r="C331" s="52" t="s">
        <v>610</v>
      </c>
      <c r="D331" s="52" t="s">
        <v>610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7"/>
      <c r="AU331" s="93"/>
      <c r="AV331" s="297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">
        <v>1814</v>
      </c>
      <c r="B332" t="s">
        <v>140</v>
      </c>
      <c r="C332" s="52" t="s">
        <v>604</v>
      </c>
      <c r="D332" s="52" t="s">
        <v>604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5" t="s">
        <v>1155</v>
      </c>
      <c r="R332" s="255">
        <v>1</v>
      </c>
      <c r="S332" s="99" t="s">
        <v>1156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7"/>
      <c r="AU332" s="93"/>
      <c r="AV332" s="297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">
        <v>1815</v>
      </c>
      <c r="B333" t="s">
        <v>151</v>
      </c>
      <c r="C333" s="52" t="s">
        <v>627</v>
      </c>
      <c r="D333" s="52" t="s">
        <v>627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1" t="s">
        <v>1175</v>
      </c>
      <c r="R333" s="82">
        <v>3</v>
      </c>
      <c r="S333" s="99" t="s">
        <v>1176</v>
      </c>
      <c r="T333" s="100">
        <v>1</v>
      </c>
      <c r="U333" s="105" t="s">
        <v>1816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7"/>
      <c r="AU333" s="93"/>
      <c r="AV333" s="297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">
        <v>1817</v>
      </c>
      <c r="B334" t="s">
        <v>151</v>
      </c>
      <c r="C334" s="52" t="s">
        <v>627</v>
      </c>
      <c r="D334" s="52" t="s">
        <v>627</v>
      </c>
      <c r="E334" t="s">
        <v>1444</v>
      </c>
      <c r="F334" t="s">
        <v>1444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7"/>
      <c r="AU334" s="93"/>
      <c r="AV334" s="297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">
        <v>1818</v>
      </c>
      <c r="B335" t="s">
        <v>151</v>
      </c>
      <c r="C335" s="52" t="s">
        <v>627</v>
      </c>
      <c r="D335" s="52" t="s">
        <v>627</v>
      </c>
      <c r="E335" t="s">
        <v>1444</v>
      </c>
      <c r="F335" t="s">
        <v>1444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7"/>
      <c r="AU335" s="93"/>
      <c r="AV335" s="297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">
        <v>1819</v>
      </c>
      <c r="B336" t="s">
        <v>151</v>
      </c>
      <c r="C336" s="52" t="s">
        <v>627</v>
      </c>
      <c r="D336" s="52" t="s">
        <v>627</v>
      </c>
      <c r="E336" t="s">
        <v>1444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7"/>
      <c r="AU336" s="93"/>
      <c r="AV336" s="297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">
        <v>1820</v>
      </c>
      <c r="B337" t="s">
        <v>168</v>
      </c>
      <c r="C337" s="52" t="s">
        <v>665</v>
      </c>
      <c r="D337" s="52" t="s">
        <v>665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5" t="s">
        <v>1821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7"/>
      <c r="AU337" s="93"/>
      <c r="AV337" s="297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">
        <v>1822</v>
      </c>
      <c r="B338" t="s">
        <v>177</v>
      </c>
      <c r="C338" s="52" t="s">
        <v>678</v>
      </c>
      <c r="D338" s="52" t="s">
        <v>678</v>
      </c>
      <c r="E338" t="s">
        <v>1444</v>
      </c>
      <c r="F338" t="s">
        <v>1444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7"/>
      <c r="AU338" s="93"/>
      <c r="AV338" s="297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">
        <v>1823</v>
      </c>
      <c r="B339" t="s">
        <v>177</v>
      </c>
      <c r="C339" s="52" t="s">
        <v>678</v>
      </c>
      <c r="D339" s="52" t="s">
        <v>678</v>
      </c>
      <c r="E339" t="s">
        <v>1824</v>
      </c>
      <c r="F339" t="s">
        <v>1824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45</v>
      </c>
      <c r="P339" s="69">
        <f t="shared" si="54"/>
        <v>100</v>
      </c>
      <c r="Q339" s="83" t="s">
        <v>1249</v>
      </c>
      <c r="R339" s="284">
        <v>0.3</v>
      </c>
      <c r="S339" s="83" t="s">
        <v>1250</v>
      </c>
      <c r="T339" s="284">
        <v>0.3</v>
      </c>
      <c r="U339" s="85" t="s">
        <v>1251</v>
      </c>
      <c r="V339" s="280">
        <v>4.2</v>
      </c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7"/>
      <c r="AU339" s="93"/>
      <c r="AV339" s="297"/>
      <c r="AW339" s="93"/>
      <c r="AX339" s="66">
        <f t="shared" si="50"/>
        <v>4.8</v>
      </c>
      <c r="AY339" s="78">
        <f t="shared" si="51"/>
        <v>100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">
        <v>1825</v>
      </c>
      <c r="B340" t="s">
        <v>212</v>
      </c>
      <c r="C340" s="52" t="s">
        <v>738</v>
      </c>
      <c r="D340" s="52" t="s">
        <v>738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1" t="s">
        <v>1289</v>
      </c>
      <c r="R340" s="82">
        <v>5</v>
      </c>
      <c r="S340" s="256" t="s">
        <v>1290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7"/>
      <c r="AU340" s="93"/>
      <c r="AV340" s="297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">
        <v>1826</v>
      </c>
      <c r="B341" t="s">
        <v>212</v>
      </c>
      <c r="C341" s="52" t="s">
        <v>738</v>
      </c>
      <c r="D341" s="52" t="s">
        <v>738</v>
      </c>
      <c r="E341">
        <v>65</v>
      </c>
      <c r="F341" t="s">
        <v>1444</v>
      </c>
      <c r="G341" s="64">
        <v>45006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7"/>
      <c r="AU341" s="93"/>
      <c r="AV341" s="297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">
        <v>1827</v>
      </c>
      <c r="B342" t="s">
        <v>229</v>
      </c>
      <c r="C342" s="52" t="s">
        <v>770</v>
      </c>
      <c r="D342" s="52" t="s">
        <v>770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20.833333333333332</v>
      </c>
      <c r="Q342" s="105" t="s">
        <v>1322</v>
      </c>
      <c r="R342" s="255">
        <v>1</v>
      </c>
      <c r="S342" s="99"/>
      <c r="T342" s="100"/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7"/>
      <c r="AU342" s="93"/>
      <c r="AV342" s="297"/>
      <c r="AW342" s="93"/>
      <c r="AX342" s="66">
        <f t="shared" si="50"/>
        <v>1</v>
      </c>
      <c r="AY342" s="78">
        <f t="shared" si="51"/>
        <v>20.833333333333332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65.416666666666671</v>
      </c>
      <c r="BC342" s="53">
        <f t="shared" si="53"/>
        <v>55.416666666666664</v>
      </c>
    </row>
    <row r="343" spans="1:55" ht="13.15">
      <c r="A343" t="s">
        <v>1828</v>
      </c>
      <c r="B343" t="s">
        <v>34</v>
      </c>
      <c r="C343" s="52" t="s">
        <v>374</v>
      </c>
      <c r="D343" s="52" t="s">
        <v>374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7"/>
      <c r="AU343" s="93"/>
      <c r="AV343" s="297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">
        <v>1829</v>
      </c>
      <c r="B344" t="s">
        <v>34</v>
      </c>
      <c r="C344" s="52" t="s">
        <v>374</v>
      </c>
      <c r="D344" s="52" t="s">
        <v>374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1" t="s">
        <v>916</v>
      </c>
      <c r="R344" s="82">
        <v>0.5</v>
      </c>
      <c r="S344" s="81" t="s">
        <v>915</v>
      </c>
      <c r="T344" s="82">
        <v>5</v>
      </c>
      <c r="U344" s="101" t="s">
        <v>917</v>
      </c>
      <c r="V344" s="100">
        <v>2</v>
      </c>
      <c r="W344" s="83" t="s">
        <v>919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7"/>
      <c r="AU344" s="93"/>
      <c r="AV344" s="297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">
        <v>1830</v>
      </c>
      <c r="B345" t="s">
        <v>34</v>
      </c>
      <c r="C345" s="52" t="s">
        <v>856</v>
      </c>
      <c r="D345" s="52" t="s">
        <v>856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1831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7"/>
      <c r="AU345" s="93"/>
      <c r="AV345" s="297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">
        <v>1832</v>
      </c>
      <c r="B346" t="s">
        <v>34</v>
      </c>
      <c r="C346" s="52" t="s">
        <v>856</v>
      </c>
      <c r="D346" s="52" t="s">
        <v>856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7"/>
      <c r="AU346" s="93"/>
      <c r="AV346" s="297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">
        <v>1833</v>
      </c>
      <c r="B347" t="s">
        <v>70</v>
      </c>
      <c r="C347" s="52" t="s">
        <v>463</v>
      </c>
      <c r="D347" s="52" t="s">
        <v>463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7"/>
      <c r="AU347" s="93"/>
      <c r="AV347" s="297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">
        <v>1834</v>
      </c>
      <c r="B348" t="s">
        <v>70</v>
      </c>
      <c r="C348" s="52" t="s">
        <v>463</v>
      </c>
      <c r="D348" s="52" t="s">
        <v>463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7"/>
      <c r="AU348" s="93"/>
      <c r="AV348" s="297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">
        <v>1835</v>
      </c>
      <c r="B349" t="s">
        <v>70</v>
      </c>
      <c r="C349" s="52" t="s">
        <v>463</v>
      </c>
      <c r="D349" s="52" t="s">
        <v>463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7"/>
      <c r="AU349" s="93"/>
      <c r="AV349" s="297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">
        <v>1836</v>
      </c>
      <c r="B350" t="s">
        <v>70</v>
      </c>
      <c r="C350" s="52" t="s">
        <v>463</v>
      </c>
      <c r="D350" s="52" t="s">
        <v>463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1" t="s">
        <v>1029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7"/>
      <c r="AU350" s="93"/>
      <c r="AV350" s="297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">
        <v>1837</v>
      </c>
      <c r="B351" t="s">
        <v>70</v>
      </c>
      <c r="C351" s="52" t="s">
        <v>463</v>
      </c>
      <c r="D351" s="52" t="s">
        <v>463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7"/>
      <c r="AU351" s="93"/>
      <c r="AV351" s="297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">
        <v>1838</v>
      </c>
      <c r="B352" t="s">
        <v>70</v>
      </c>
      <c r="C352" s="52" t="s">
        <v>463</v>
      </c>
      <c r="D352" s="52" t="s">
        <v>463</v>
      </c>
      <c r="E352" t="s">
        <v>1726</v>
      </c>
      <c r="F352" t="s">
        <v>1444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7"/>
      <c r="AU352" s="93"/>
      <c r="AV352" s="297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">
        <v>1839</v>
      </c>
      <c r="B353" t="s">
        <v>70</v>
      </c>
      <c r="C353" s="52" t="s">
        <v>463</v>
      </c>
      <c r="D353" s="52" t="s">
        <v>463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7"/>
      <c r="AU353" s="93"/>
      <c r="AV353" s="297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">
        <v>1840</v>
      </c>
      <c r="B354" t="s">
        <v>70</v>
      </c>
      <c r="C354" s="52" t="s">
        <v>463</v>
      </c>
      <c r="D354" s="52" t="s">
        <v>463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7"/>
      <c r="AU354" s="93"/>
      <c r="AV354" s="297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">
        <v>1841</v>
      </c>
      <c r="B355" t="s">
        <v>71</v>
      </c>
      <c r="C355" s="52" t="s">
        <v>466</v>
      </c>
      <c r="D355" s="52" t="s">
        <v>466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7"/>
      <c r="AU355" s="93"/>
      <c r="AV355" s="297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">
        <v>1842</v>
      </c>
      <c r="B356" t="s">
        <v>71</v>
      </c>
      <c r="C356" s="52" t="s">
        <v>466</v>
      </c>
      <c r="D356" s="52" t="s">
        <v>466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7"/>
      <c r="AU356" s="93"/>
      <c r="AV356" s="297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">
        <v>1843</v>
      </c>
      <c r="B357" t="s">
        <v>71</v>
      </c>
      <c r="C357" s="52" t="s">
        <v>466</v>
      </c>
      <c r="D357" s="52" t="s">
        <v>466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1" t="s">
        <v>1031</v>
      </c>
      <c r="R357" s="113">
        <v>3</v>
      </c>
      <c r="S357" s="111" t="s">
        <v>1031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7"/>
      <c r="AU357" s="93"/>
      <c r="AV357" s="297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">
        <v>1844</v>
      </c>
      <c r="B358" t="s">
        <v>1845</v>
      </c>
      <c r="C358" s="52" t="s">
        <v>1846</v>
      </c>
      <c r="D358" s="52" t="s">
        <v>1846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7"/>
      <c r="AU358" s="93"/>
      <c r="AV358" s="297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">
        <v>1847</v>
      </c>
      <c r="B359" t="s">
        <v>72</v>
      </c>
      <c r="C359" s="52" t="s">
        <v>468</v>
      </c>
      <c r="D359" s="52" t="s">
        <v>468</v>
      </c>
      <c r="E359">
        <v>257.56</v>
      </c>
      <c r="F359">
        <v>262.76</v>
      </c>
      <c r="G359" s="64">
        <v>45601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648.125</v>
      </c>
      <c r="Q359" s="81" t="s">
        <v>1033</v>
      </c>
      <c r="R359" s="279">
        <v>1.7</v>
      </c>
      <c r="S359" s="81" t="s">
        <v>1034</v>
      </c>
      <c r="T359" s="279">
        <v>1</v>
      </c>
      <c r="U359" s="81" t="s">
        <v>1035</v>
      </c>
      <c r="V359" s="279">
        <v>4.0999999999999996</v>
      </c>
      <c r="W359" s="81" t="s">
        <v>1036</v>
      </c>
      <c r="X359" s="279">
        <v>2</v>
      </c>
      <c r="Y359" s="81" t="s">
        <v>1037</v>
      </c>
      <c r="Z359" s="279">
        <v>1.9</v>
      </c>
      <c r="AA359" s="81" t="s">
        <v>1038</v>
      </c>
      <c r="AB359" s="279">
        <v>11.7</v>
      </c>
      <c r="AC359" s="89" t="s">
        <v>1039</v>
      </c>
      <c r="AD359" s="282">
        <v>1.8</v>
      </c>
      <c r="AE359" s="89"/>
      <c r="AF359" s="282"/>
      <c r="AG359" s="89" t="s">
        <v>1040</v>
      </c>
      <c r="AH359" s="282">
        <v>1.1000000000000001</v>
      </c>
      <c r="AI359" s="99" t="s">
        <v>1848</v>
      </c>
      <c r="AJ359" s="100">
        <v>0.88</v>
      </c>
      <c r="AK359" s="105" t="s">
        <v>1045</v>
      </c>
      <c r="AL359" s="293">
        <v>0.93</v>
      </c>
      <c r="AM359" s="92" t="s">
        <v>1849</v>
      </c>
      <c r="AN359" s="309">
        <v>4</v>
      </c>
      <c r="AO359" s="92"/>
      <c r="AP359" s="80"/>
      <c r="AQ359" s="93"/>
      <c r="AR359" s="80"/>
      <c r="AS359" s="93"/>
      <c r="AT359" s="297"/>
      <c r="AU359" s="93"/>
      <c r="AV359" s="297"/>
      <c r="AW359" s="93"/>
      <c r="AX359" s="66">
        <f t="shared" si="50"/>
        <v>31.11</v>
      </c>
      <c r="AY359" s="78">
        <f t="shared" si="51"/>
        <v>648.125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581.62249999999995</v>
      </c>
      <c r="BC359" s="53">
        <f t="shared" si="53"/>
        <v>586.82249999999999</v>
      </c>
    </row>
    <row r="360" spans="1:55" ht="13.15">
      <c r="A360" t="s">
        <v>1850</v>
      </c>
      <c r="B360" t="s">
        <v>36</v>
      </c>
      <c r="C360" s="52" t="s">
        <v>383</v>
      </c>
      <c r="D360" s="52" t="s">
        <v>383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7"/>
      <c r="AU360" s="93"/>
      <c r="AV360" s="297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">
        <v>1851</v>
      </c>
      <c r="B361" t="s">
        <v>36</v>
      </c>
      <c r="C361" s="52" t="s">
        <v>383</v>
      </c>
      <c r="D361" s="52" t="s">
        <v>383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7"/>
      <c r="AU361" s="93"/>
      <c r="AV361" s="297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">
        <v>1852</v>
      </c>
      <c r="B362" t="s">
        <v>37</v>
      </c>
      <c r="C362" s="52" t="s">
        <v>386</v>
      </c>
      <c r="D362" s="52" t="s">
        <v>386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3" t="s">
        <v>921</v>
      </c>
      <c r="R362" s="84">
        <v>2</v>
      </c>
      <c r="S362" s="85" t="s">
        <v>922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7"/>
      <c r="AU362" s="93"/>
      <c r="AV362" s="297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">
        <v>1853</v>
      </c>
      <c r="B363" t="s">
        <v>37</v>
      </c>
      <c r="C363" s="52" t="s">
        <v>386</v>
      </c>
      <c r="D363" s="52" t="s">
        <v>386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2</v>
      </c>
      <c r="M363">
        <v>17</v>
      </c>
      <c r="N363">
        <v>12</v>
      </c>
      <c r="O363">
        <v>0</v>
      </c>
      <c r="P363" s="69">
        <f t="shared" si="54"/>
        <v>72.916666666666671</v>
      </c>
      <c r="Q363" s="294" t="s">
        <v>923</v>
      </c>
      <c r="R363" s="296">
        <v>1.5</v>
      </c>
      <c r="S363" s="83" t="s">
        <v>922</v>
      </c>
      <c r="T363" s="84">
        <v>2</v>
      </c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7"/>
      <c r="AU363" s="93"/>
      <c r="AV363" s="297"/>
      <c r="AW363" s="93"/>
      <c r="AX363" s="66">
        <f t="shared" si="50"/>
        <v>3.5</v>
      </c>
      <c r="AY363" s="78">
        <f t="shared" si="51"/>
        <v>72.916666666666671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116.45833333333334</v>
      </c>
      <c r="BC363" s="53">
        <f t="shared" si="53"/>
        <v>126.45833333333334</v>
      </c>
    </row>
    <row r="364" spans="1:55" ht="13.15">
      <c r="A364" t="s">
        <v>1854</v>
      </c>
      <c r="B364" t="s">
        <v>37</v>
      </c>
      <c r="C364" s="52" t="s">
        <v>386</v>
      </c>
      <c r="D364" s="52" t="s">
        <v>386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7"/>
      <c r="AU364" s="93"/>
      <c r="AV364" s="297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">
        <v>1855</v>
      </c>
      <c r="B365">
        <v>0</v>
      </c>
      <c r="C365" s="52" t="s">
        <v>1856</v>
      </c>
      <c r="D365" s="52" t="s">
        <v>1856</v>
      </c>
      <c r="E365">
        <v>156.01</v>
      </c>
      <c r="F365">
        <v>156.01</v>
      </c>
      <c r="G365" s="64">
        <v>45539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122.91666666666667</v>
      </c>
      <c r="Q365" s="92" t="s">
        <v>1857</v>
      </c>
      <c r="R365" s="80">
        <v>5.9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7"/>
      <c r="AU365" s="93"/>
      <c r="AV365" s="297"/>
      <c r="AW365" s="93"/>
      <c r="AX365" s="66">
        <f t="shared" si="50"/>
        <v>5.9</v>
      </c>
      <c r="AY365" s="78">
        <f t="shared" si="51"/>
        <v>122.91666666666667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217.46833333333333</v>
      </c>
      <c r="BC365" s="53">
        <f t="shared" si="53"/>
        <v>217.46833333333333</v>
      </c>
    </row>
    <row r="366" spans="1:55" ht="13.15">
      <c r="A366" t="s">
        <v>1858</v>
      </c>
      <c r="B366" t="s">
        <v>80</v>
      </c>
      <c r="C366" s="52" t="s">
        <v>490</v>
      </c>
      <c r="D366" s="52" t="s">
        <v>490</v>
      </c>
      <c r="E366">
        <v>120</v>
      </c>
      <c r="F366">
        <v>140</v>
      </c>
      <c r="G366" s="64" t="s">
        <v>1859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1" t="s">
        <v>1054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7"/>
      <c r="AU366" s="93"/>
      <c r="AV366" s="297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">
        <v>1860</v>
      </c>
      <c r="B367" t="s">
        <v>80</v>
      </c>
      <c r="C367" s="52" t="s">
        <v>490</v>
      </c>
      <c r="D367" s="52" t="s">
        <v>490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1" t="s">
        <v>1055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7"/>
      <c r="AU367" s="93"/>
      <c r="AV367" s="297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">
        <v>1861</v>
      </c>
      <c r="B368" t="s">
        <v>84</v>
      </c>
      <c r="C368" s="52" t="s">
        <v>499</v>
      </c>
      <c r="D368" s="52" t="s">
        <v>499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7"/>
      <c r="AU368" s="93"/>
      <c r="AV368" s="297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">
        <v>1862</v>
      </c>
      <c r="B369" t="s">
        <v>1863</v>
      </c>
      <c r="C369" s="52" t="s">
        <v>517</v>
      </c>
      <c r="D369" s="52" t="s">
        <v>517</v>
      </c>
      <c r="E369">
        <v>4.05</v>
      </c>
      <c r="F369">
        <v>2.08</v>
      </c>
      <c r="G369" s="64">
        <v>45601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1" t="s">
        <v>1864</v>
      </c>
      <c r="R369" s="82">
        <v>11.7</v>
      </c>
      <c r="S369" s="93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7"/>
      <c r="AU369" s="93"/>
      <c r="AV369" s="297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125.925</v>
      </c>
      <c r="BC369" s="53">
        <f t="shared" si="53"/>
        <v>123.955</v>
      </c>
    </row>
    <row r="370" spans="1:55" ht="13.15">
      <c r="A370" t="s">
        <v>1865</v>
      </c>
      <c r="B370" t="s">
        <v>1863</v>
      </c>
      <c r="C370" s="52" t="s">
        <v>517</v>
      </c>
      <c r="D370" s="52" t="s">
        <v>517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5" t="s">
        <v>1083</v>
      </c>
      <c r="R370" s="255">
        <v>1</v>
      </c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7"/>
      <c r="AU370" s="93"/>
      <c r="AV370" s="297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">
        <v>1866</v>
      </c>
      <c r="B371" t="s">
        <v>1863</v>
      </c>
      <c r="C371" s="52" t="s">
        <v>517</v>
      </c>
      <c r="D371" s="52" t="s">
        <v>517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7"/>
      <c r="AU371" s="93"/>
      <c r="AV371" s="297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">
        <v>1867</v>
      </c>
      <c r="B372" t="s">
        <v>89</v>
      </c>
      <c r="C372" s="52" t="s">
        <v>505</v>
      </c>
      <c r="D372" s="52" t="s">
        <v>1868</v>
      </c>
      <c r="E372">
        <v>1.1299999999999999</v>
      </c>
      <c r="F372">
        <v>2.95</v>
      </c>
      <c r="G372" s="64">
        <v>45601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241.66666666666666</v>
      </c>
      <c r="Q372" s="81" t="s">
        <v>1073</v>
      </c>
      <c r="R372" s="82">
        <v>11.6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7"/>
      <c r="AU372" s="93"/>
      <c r="AV372" s="297"/>
      <c r="AW372" s="93"/>
      <c r="AX372" s="66">
        <f t="shared" si="56"/>
        <v>11.6</v>
      </c>
      <c r="AY372" s="78">
        <f t="shared" si="57"/>
        <v>241.66666666666666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121.96333333333332</v>
      </c>
      <c r="BC372" s="53">
        <f t="shared" ref="BC372:BC437" si="59">SUM(P372/2)+F372</f>
        <v>123.78333333333333</v>
      </c>
    </row>
    <row r="373" spans="1:55" ht="13.15">
      <c r="A373" t="s">
        <v>1869</v>
      </c>
      <c r="B373" t="s">
        <v>89</v>
      </c>
      <c r="C373" s="52" t="s">
        <v>505</v>
      </c>
      <c r="D373" s="52" t="s">
        <v>505</v>
      </c>
      <c r="E373">
        <v>0</v>
      </c>
      <c r="F373">
        <v>0</v>
      </c>
      <c r="G373" s="64">
        <v>44382</v>
      </c>
      <c r="H373" t="s">
        <v>1870</v>
      </c>
      <c r="I373" t="s">
        <v>1870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7"/>
      <c r="AU373" s="93"/>
      <c r="AV373" s="297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">
        <v>1871</v>
      </c>
      <c r="B374" t="s">
        <v>89</v>
      </c>
      <c r="C374" s="52" t="s">
        <v>505</v>
      </c>
      <c r="D374" s="52" t="s">
        <v>505</v>
      </c>
      <c r="E374">
        <v>30</v>
      </c>
      <c r="F374">
        <v>40</v>
      </c>
      <c r="G374" s="64">
        <v>45089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5" t="s">
        <v>1074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7"/>
      <c r="AU374" s="93"/>
      <c r="AV374" s="297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">
        <v>1872</v>
      </c>
      <c r="B375" t="s">
        <v>113</v>
      </c>
      <c r="C375" s="52" t="s">
        <v>556</v>
      </c>
      <c r="D375" s="52" t="s">
        <v>556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7"/>
      <c r="AU375" s="93"/>
      <c r="AV375" s="297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">
        <v>1873</v>
      </c>
      <c r="B376" t="s">
        <v>123</v>
      </c>
      <c r="C376" s="52" t="s">
        <v>578</v>
      </c>
      <c r="D376" s="52" t="s">
        <v>578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5" t="s">
        <v>1124</v>
      </c>
      <c r="R376" s="255">
        <v>2</v>
      </c>
      <c r="S376" s="81" t="s">
        <v>1125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7"/>
      <c r="AU376" s="93"/>
      <c r="AV376" s="297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">
        <v>1874</v>
      </c>
      <c r="B377" t="s">
        <v>124</v>
      </c>
      <c r="C377" s="52" t="s">
        <v>1875</v>
      </c>
      <c r="D377" s="52" t="s">
        <v>1875</v>
      </c>
      <c r="E377">
        <v>2.66</v>
      </c>
      <c r="F377">
        <v>2.12</v>
      </c>
      <c r="G377" s="64">
        <v>45601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241.66666666666666</v>
      </c>
      <c r="Q377" s="81" t="s">
        <v>1126</v>
      </c>
      <c r="R377" s="82">
        <v>11.6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7"/>
      <c r="AU377" s="93"/>
      <c r="AV377" s="297"/>
      <c r="AW377" s="93"/>
      <c r="AX377" s="66">
        <f t="shared" si="56"/>
        <v>11.6</v>
      </c>
      <c r="AY377" s="78">
        <f t="shared" si="57"/>
        <v>241.66666666666666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123.49333333333333</v>
      </c>
      <c r="BC377" s="53">
        <f t="shared" si="59"/>
        <v>122.95333333333333</v>
      </c>
    </row>
    <row r="378" spans="1:55" ht="13.15">
      <c r="A378" t="s">
        <v>1876</v>
      </c>
      <c r="B378" t="s">
        <v>129</v>
      </c>
      <c r="C378" s="52" t="s">
        <v>588</v>
      </c>
      <c r="D378" s="52" t="s">
        <v>588</v>
      </c>
      <c r="E378">
        <v>0</v>
      </c>
      <c r="F378">
        <v>5.0399999999999991</v>
      </c>
      <c r="G378" s="64">
        <v>45601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241.66666666666666</v>
      </c>
      <c r="Q378" s="81" t="s">
        <v>1877</v>
      </c>
      <c r="R378" s="82">
        <v>11.6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7"/>
      <c r="AU378" s="93"/>
      <c r="AV378" s="297"/>
      <c r="AW378" s="93"/>
      <c r="AX378" s="66">
        <f t="shared" si="56"/>
        <v>11.6</v>
      </c>
      <c r="AY378" s="78">
        <f t="shared" si="57"/>
        <v>241.66666666666666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120.83333333333333</v>
      </c>
      <c r="BC378" s="53">
        <f t="shared" si="59"/>
        <v>125.87333333333333</v>
      </c>
    </row>
    <row r="379" spans="1:55" ht="13.15">
      <c r="A379" t="s">
        <v>1878</v>
      </c>
      <c r="B379" t="s">
        <v>129</v>
      </c>
      <c r="C379" s="52" t="s">
        <v>588</v>
      </c>
      <c r="D379" s="52" t="s">
        <v>588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7"/>
      <c r="AU379" s="93"/>
      <c r="AV379" s="297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">
        <v>1879</v>
      </c>
      <c r="B380" t="s">
        <v>129</v>
      </c>
      <c r="C380" s="52" t="s">
        <v>588</v>
      </c>
      <c r="D380" s="52" t="s">
        <v>588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19</v>
      </c>
      <c r="N380">
        <v>12</v>
      </c>
      <c r="O380">
        <v>0</v>
      </c>
      <c r="P380" s="69">
        <f t="shared" si="60"/>
        <v>20.833333333333332</v>
      </c>
      <c r="Q380" s="89" t="s">
        <v>1128</v>
      </c>
      <c r="R380" s="90">
        <v>1</v>
      </c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7"/>
      <c r="AU380" s="93"/>
      <c r="AV380" s="297"/>
      <c r="AW380" s="93"/>
      <c r="AX380" s="66">
        <f t="shared" si="56"/>
        <v>1</v>
      </c>
      <c r="AY380" s="78">
        <f t="shared" si="57"/>
        <v>20.833333333333332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30.416666666666664</v>
      </c>
      <c r="BC380" s="53">
        <f t="shared" si="59"/>
        <v>30.416666666666664</v>
      </c>
    </row>
    <row r="381" spans="1:55" ht="13.15">
      <c r="A381" t="s">
        <v>1880</v>
      </c>
      <c r="B381" t="s">
        <v>193</v>
      </c>
      <c r="C381" s="52" t="s">
        <v>708</v>
      </c>
      <c r="D381" s="52" t="s">
        <v>708</v>
      </c>
      <c r="E381">
        <v>29.29</v>
      </c>
      <c r="F381">
        <v>20.94</v>
      </c>
      <c r="G381" s="64">
        <v>45601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300</v>
      </c>
      <c r="Q381" s="81" t="s">
        <v>1267</v>
      </c>
      <c r="R381" s="82">
        <v>2.6</v>
      </c>
      <c r="S381" s="81" t="s">
        <v>1881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7"/>
      <c r="AU381" s="93"/>
      <c r="AV381" s="297"/>
      <c r="AW381" s="93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179.29</v>
      </c>
      <c r="BC381" s="53">
        <f t="shared" si="59"/>
        <v>170.94</v>
      </c>
    </row>
    <row r="382" spans="1:55" ht="13.15">
      <c r="A382" t="s">
        <v>1882</v>
      </c>
      <c r="B382" t="s">
        <v>193</v>
      </c>
      <c r="C382" s="52" t="s">
        <v>708</v>
      </c>
      <c r="D382" s="52" t="s">
        <v>708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7"/>
      <c r="AU382" s="93"/>
      <c r="AV382" s="297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">
        <v>1883</v>
      </c>
      <c r="B383" t="s">
        <v>199</v>
      </c>
      <c r="C383" s="52" t="s">
        <v>713</v>
      </c>
      <c r="D383" s="52" t="s">
        <v>713</v>
      </c>
      <c r="E383">
        <v>92.78</v>
      </c>
      <c r="F383">
        <v>0</v>
      </c>
      <c r="G383" s="64">
        <v>45601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337.5</v>
      </c>
      <c r="Q383" s="81" t="s">
        <v>1270</v>
      </c>
      <c r="R383" s="82">
        <v>4.0999999999999996</v>
      </c>
      <c r="S383" s="81" t="s">
        <v>1884</v>
      </c>
      <c r="T383" s="82">
        <v>8.3000000000000007</v>
      </c>
      <c r="U383" s="85" t="s">
        <v>1272</v>
      </c>
      <c r="V383" s="255">
        <v>3.8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7"/>
      <c r="AU383" s="93"/>
      <c r="AV383" s="297"/>
      <c r="AW383" s="93"/>
      <c r="AX383" s="66">
        <f t="shared" si="56"/>
        <v>16.2</v>
      </c>
      <c r="AY383" s="78">
        <f t="shared" si="57"/>
        <v>337.5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261.52999999999997</v>
      </c>
      <c r="BC383" s="53">
        <f t="shared" si="59"/>
        <v>168.75</v>
      </c>
    </row>
    <row r="384" spans="1:55" ht="13.15">
      <c r="A384" t="s">
        <v>1885</v>
      </c>
      <c r="B384" t="s">
        <v>199</v>
      </c>
      <c r="C384" s="52" t="s">
        <v>713</v>
      </c>
      <c r="D384" s="52" t="s">
        <v>713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1" t="s">
        <v>1273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7"/>
      <c r="AU384" s="93"/>
      <c r="AV384" s="297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">
        <v>1886</v>
      </c>
      <c r="B385" t="s">
        <v>199</v>
      </c>
      <c r="C385" s="52" t="s">
        <v>713</v>
      </c>
      <c r="D385" s="52" t="s">
        <v>713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5" t="s">
        <v>1887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7"/>
      <c r="AU385" s="93"/>
      <c r="AV385" s="297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">
        <v>1888</v>
      </c>
      <c r="B386" t="s">
        <v>196</v>
      </c>
      <c r="C386" s="52" t="s">
        <v>711</v>
      </c>
      <c r="D386" s="52" t="s">
        <v>711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1" t="s">
        <v>1268</v>
      </c>
      <c r="R386" s="82">
        <v>2</v>
      </c>
      <c r="S386" s="99" t="s">
        <v>1269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7"/>
      <c r="AU386" s="93"/>
      <c r="AV386" s="297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">
        <v>1889</v>
      </c>
      <c r="B387" t="s">
        <v>195</v>
      </c>
      <c r="C387" s="52" t="s">
        <v>711</v>
      </c>
      <c r="D387" s="52" t="s">
        <v>711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7"/>
      <c r="AU387" s="93"/>
      <c r="AV387" s="297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">
        <v>1890</v>
      </c>
      <c r="B388" t="s">
        <v>196</v>
      </c>
      <c r="C388" s="52" t="s">
        <v>711</v>
      </c>
      <c r="D388" s="52" t="s">
        <v>711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7"/>
      <c r="AU388" s="93"/>
      <c r="AV388" s="297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">
        <v>1891</v>
      </c>
      <c r="B389" t="s">
        <v>196</v>
      </c>
      <c r="C389" s="52" t="s">
        <v>711</v>
      </c>
      <c r="D389" s="52" t="s">
        <v>711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7"/>
      <c r="AU389" s="93"/>
      <c r="AV389" s="297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">
        <v>1892</v>
      </c>
      <c r="B390" t="s">
        <v>196</v>
      </c>
      <c r="C390" s="52" t="s">
        <v>711</v>
      </c>
      <c r="D390" s="52" t="s">
        <v>1893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7"/>
      <c r="AU390" s="93"/>
      <c r="AV390" s="297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">
        <v>1894</v>
      </c>
      <c r="B391" t="s">
        <v>196</v>
      </c>
      <c r="C391" s="52" t="s">
        <v>711</v>
      </c>
      <c r="D391" s="52" t="s">
        <v>1895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7"/>
      <c r="AU391" s="93"/>
      <c r="AV391" s="297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">
        <v>1896</v>
      </c>
      <c r="B392" t="s">
        <v>195</v>
      </c>
      <c r="C392" s="52" t="s">
        <v>711</v>
      </c>
      <c r="D392" s="52" t="s">
        <v>1897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7"/>
      <c r="AU392" s="93"/>
      <c r="AV392" s="297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">
        <v>1898</v>
      </c>
      <c r="B393" t="s">
        <v>219</v>
      </c>
      <c r="C393" s="52" t="s">
        <v>751</v>
      </c>
      <c r="D393" s="52" t="s">
        <v>751</v>
      </c>
      <c r="E393">
        <v>168.28000000000003</v>
      </c>
      <c r="F393">
        <v>152.11000000000001</v>
      </c>
      <c r="G393" s="64">
        <v>45601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304.16666666666669</v>
      </c>
      <c r="Q393" s="81" t="s">
        <v>1302</v>
      </c>
      <c r="R393" s="82">
        <v>1.3</v>
      </c>
      <c r="S393" s="81" t="s">
        <v>1303</v>
      </c>
      <c r="T393" s="82">
        <v>0.5</v>
      </c>
      <c r="U393" s="81" t="s">
        <v>1304</v>
      </c>
      <c r="V393" s="82">
        <v>1.9</v>
      </c>
      <c r="W393" s="81" t="s">
        <v>1305</v>
      </c>
      <c r="X393" s="82">
        <v>2.6</v>
      </c>
      <c r="Y393" s="81" t="s">
        <v>1306</v>
      </c>
      <c r="Z393" s="82">
        <v>1.2</v>
      </c>
      <c r="AA393" s="81" t="s">
        <v>1307</v>
      </c>
      <c r="AB393" s="279">
        <v>3.1</v>
      </c>
      <c r="AC393" s="81" t="s">
        <v>1296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7"/>
      <c r="AU393" s="93"/>
      <c r="AV393" s="297"/>
      <c r="AW393" s="93"/>
      <c r="AX393" s="66">
        <f t="shared" si="56"/>
        <v>14.600000000000001</v>
      </c>
      <c r="AY393" s="78">
        <f t="shared" si="57"/>
        <v>304.16666666666669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320.36333333333334</v>
      </c>
      <c r="BC393" s="53">
        <f t="shared" si="59"/>
        <v>304.19333333333338</v>
      </c>
    </row>
    <row r="394" spans="1:55" ht="13.15">
      <c r="A394" t="s">
        <v>1899</v>
      </c>
      <c r="B394" t="s">
        <v>218</v>
      </c>
      <c r="C394" s="52" t="s">
        <v>751</v>
      </c>
      <c r="D394" s="52" t="s">
        <v>751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56" t="s">
        <v>1298</v>
      </c>
      <c r="R394" s="268">
        <v>6</v>
      </c>
      <c r="S394" s="105" t="s">
        <v>1299</v>
      </c>
      <c r="T394" s="255">
        <v>3</v>
      </c>
      <c r="U394" s="85" t="s">
        <v>1300</v>
      </c>
      <c r="V394" s="86">
        <v>3</v>
      </c>
      <c r="W394" s="85" t="s">
        <v>1900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7"/>
      <c r="AU394" s="93"/>
      <c r="AV394" s="297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">
        <v>1901</v>
      </c>
      <c r="B395" t="s">
        <v>219</v>
      </c>
      <c r="C395" s="52" t="s">
        <v>751</v>
      </c>
      <c r="D395" s="52" t="s">
        <v>751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7"/>
      <c r="AU395" s="93"/>
      <c r="AV395" s="297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">
        <v>1902</v>
      </c>
      <c r="B396" t="s">
        <v>218</v>
      </c>
      <c r="C396" s="52" t="s">
        <v>751</v>
      </c>
      <c r="D396" s="52" t="s">
        <v>751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0" t="s">
        <v>1903</v>
      </c>
      <c r="R396" s="301">
        <v>2</v>
      </c>
      <c r="S396" s="302" t="s">
        <v>1297</v>
      </c>
      <c r="T396" s="301">
        <v>2</v>
      </c>
      <c r="U396" s="105" t="s">
        <v>1904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7"/>
      <c r="AU396" s="93"/>
      <c r="AV396" s="297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">
        <v>1905</v>
      </c>
      <c r="B397" t="s">
        <v>218</v>
      </c>
      <c r="C397" s="52" t="s">
        <v>751</v>
      </c>
      <c r="D397" s="52" t="s">
        <v>751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2" t="s">
        <v>1906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7"/>
      <c r="AU397" s="93"/>
      <c r="AV397" s="297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">
        <v>1907</v>
      </c>
      <c r="B398" t="s">
        <v>218</v>
      </c>
      <c r="C398" s="52" t="s">
        <v>751</v>
      </c>
      <c r="D398" s="52" t="s">
        <v>751</v>
      </c>
      <c r="E398">
        <v>160</v>
      </c>
      <c r="F398" t="s">
        <v>1908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2" t="s">
        <v>1295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7"/>
      <c r="AU398" s="93"/>
      <c r="AV398" s="297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">
        <v>1909</v>
      </c>
      <c r="B399" t="s">
        <v>218</v>
      </c>
      <c r="C399" s="52" t="s">
        <v>751</v>
      </c>
      <c r="D399" s="52" t="s">
        <v>751</v>
      </c>
      <c r="E399">
        <v>30</v>
      </c>
      <c r="F399" t="s">
        <v>1908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1" t="s">
        <v>1910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7"/>
      <c r="AU399" s="93"/>
      <c r="AV399" s="297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">
        <v>1911</v>
      </c>
      <c r="B400" t="s">
        <v>218</v>
      </c>
      <c r="C400" s="52" t="s">
        <v>751</v>
      </c>
      <c r="D400" s="52" t="s">
        <v>751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7"/>
      <c r="AU400" s="93"/>
      <c r="AV400" s="297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">
        <v>1912</v>
      </c>
      <c r="B401" t="s">
        <v>217</v>
      </c>
      <c r="C401" s="52" t="s">
        <v>749</v>
      </c>
      <c r="D401" s="52" t="s">
        <v>749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7"/>
      <c r="AU401" s="93"/>
      <c r="AV401" s="297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">
        <v>1913</v>
      </c>
      <c r="B402" t="s">
        <v>217</v>
      </c>
      <c r="C402" s="52" t="s">
        <v>749</v>
      </c>
      <c r="D402" s="52" t="s">
        <v>749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7"/>
      <c r="AU402" s="93"/>
      <c r="AV402" s="297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">
        <v>1914</v>
      </c>
      <c r="B403" t="s">
        <v>220</v>
      </c>
      <c r="C403" s="52" t="s">
        <v>858</v>
      </c>
      <c r="D403" s="52" t="s">
        <v>858</v>
      </c>
      <c r="E403">
        <v>0</v>
      </c>
      <c r="F403">
        <v>0</v>
      </c>
      <c r="G403" s="64">
        <v>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7"/>
      <c r="AU403" s="93"/>
      <c r="AV403" s="297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">
        <v>1915</v>
      </c>
      <c r="B404" t="s">
        <v>221</v>
      </c>
      <c r="C404" s="52" t="s">
        <v>754</v>
      </c>
      <c r="D404" s="52" t="s">
        <v>754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27</v>
      </c>
      <c r="P404" s="69">
        <f t="shared" si="60"/>
        <v>97.916666666666671</v>
      </c>
      <c r="Q404" s="89" t="s">
        <v>1008</v>
      </c>
      <c r="R404" s="90">
        <v>1.8</v>
      </c>
      <c r="S404" s="89" t="s">
        <v>1117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7"/>
      <c r="AU404" s="93"/>
      <c r="AV404" s="297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">
        <v>1916</v>
      </c>
      <c r="B405" t="s">
        <v>1917</v>
      </c>
      <c r="C405" s="52" t="s">
        <v>800</v>
      </c>
      <c r="D405" s="52" t="s">
        <v>800</v>
      </c>
      <c r="E405">
        <v>11.16</v>
      </c>
      <c r="F405">
        <v>3.74</v>
      </c>
      <c r="G405" s="64">
        <v>45601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316.66666666666669</v>
      </c>
      <c r="Q405" s="81" t="s">
        <v>1352</v>
      </c>
      <c r="R405" s="82">
        <v>11.8</v>
      </c>
      <c r="S405" s="256" t="s">
        <v>1353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7"/>
      <c r="AU405" s="93"/>
      <c r="AV405" s="297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169.49333333333334</v>
      </c>
      <c r="BC405" s="53">
        <f t="shared" si="59"/>
        <v>162.07333333333335</v>
      </c>
    </row>
    <row r="406" spans="1:55" ht="13.15">
      <c r="A406" t="s">
        <v>1918</v>
      </c>
      <c r="B406" t="s">
        <v>1917</v>
      </c>
      <c r="C406" s="52" t="s">
        <v>800</v>
      </c>
      <c r="D406" s="52" t="s">
        <v>800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7"/>
      <c r="AU406" s="93"/>
      <c r="AV406" s="297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">
        <v>1919</v>
      </c>
      <c r="B407" t="s">
        <v>252</v>
      </c>
      <c r="C407" s="52" t="s">
        <v>802</v>
      </c>
      <c r="D407" s="52" t="s">
        <v>802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7"/>
      <c r="AU407" s="93"/>
      <c r="AV407" s="297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">
        <v>1920</v>
      </c>
      <c r="B408" t="s">
        <v>63</v>
      </c>
      <c r="C408" s="52" t="s">
        <v>454</v>
      </c>
      <c r="D408" s="52" t="s">
        <v>454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7"/>
      <c r="AU408" s="93"/>
      <c r="AV408" s="297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">
        <v>1921</v>
      </c>
      <c r="B409" t="s">
        <v>63</v>
      </c>
      <c r="C409" s="52" t="s">
        <v>454</v>
      </c>
      <c r="D409" s="52" t="s">
        <v>454</v>
      </c>
      <c r="E409">
        <v>35</v>
      </c>
      <c r="F409">
        <v>35</v>
      </c>
      <c r="G409" s="64">
        <v>45295</v>
      </c>
      <c r="H409">
        <v>300</v>
      </c>
      <c r="I409">
        <v>300</v>
      </c>
      <c r="J409">
        <v>4</v>
      </c>
      <c r="K409">
        <v>0</v>
      </c>
      <c r="L409">
        <v>4</v>
      </c>
      <c r="M409">
        <v>19</v>
      </c>
      <c r="N409">
        <v>10</v>
      </c>
      <c r="O409">
        <v>0</v>
      </c>
      <c r="P409" s="69">
        <f t="shared" si="60"/>
        <v>170.83333333333334</v>
      </c>
      <c r="Q409" s="105" t="s">
        <v>989</v>
      </c>
      <c r="R409" s="255">
        <v>3</v>
      </c>
      <c r="S409" s="85" t="s">
        <v>990</v>
      </c>
      <c r="T409" s="86">
        <v>1</v>
      </c>
      <c r="U409" s="83" t="s">
        <v>991</v>
      </c>
      <c r="V409" s="284">
        <v>4.2</v>
      </c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7"/>
      <c r="AU409" s="93"/>
      <c r="AV409" s="297"/>
      <c r="AW409" s="93"/>
      <c r="AX409" s="66">
        <f t="shared" si="56"/>
        <v>8.1999999999999993</v>
      </c>
      <c r="AY409" s="78">
        <f t="shared" si="57"/>
        <v>170.83333333333334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120.41666666666667</v>
      </c>
      <c r="BC409" s="53">
        <f t="shared" si="59"/>
        <v>120.41666666666667</v>
      </c>
    </row>
    <row r="410" spans="1:55" ht="13.15">
      <c r="A410" t="s">
        <v>1922</v>
      </c>
      <c r="B410" t="s">
        <v>73</v>
      </c>
      <c r="C410" s="52" t="s">
        <v>471</v>
      </c>
      <c r="D410" s="52" t="s">
        <v>471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7"/>
      <c r="AU410" s="93"/>
      <c r="AV410" s="297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">
        <v>1923</v>
      </c>
      <c r="B411" t="s">
        <v>73</v>
      </c>
      <c r="C411" s="52" t="s">
        <v>471</v>
      </c>
      <c r="D411" s="52" t="s">
        <v>471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0</v>
      </c>
      <c r="K411">
        <v>0</v>
      </c>
      <c r="L411">
        <v>5</v>
      </c>
      <c r="M411">
        <v>22</v>
      </c>
      <c r="N411">
        <v>12</v>
      </c>
      <c r="O411">
        <v>0</v>
      </c>
      <c r="P411" s="69">
        <f t="shared" si="60"/>
        <v>212.5</v>
      </c>
      <c r="Q411" s="81" t="s">
        <v>1048</v>
      </c>
      <c r="R411" s="82">
        <v>5</v>
      </c>
      <c r="S411" s="99" t="s">
        <v>1049</v>
      </c>
      <c r="T411" s="100">
        <v>1</v>
      </c>
      <c r="U411" s="83" t="s">
        <v>1050</v>
      </c>
      <c r="V411" s="284">
        <v>4.2</v>
      </c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7"/>
      <c r="AU411" s="93"/>
      <c r="AV411" s="297"/>
      <c r="AW411" s="93"/>
      <c r="AX411" s="66">
        <f t="shared" si="56"/>
        <v>10.199999999999999</v>
      </c>
      <c r="AY411" s="78">
        <f t="shared" si="57"/>
        <v>212.5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171.25</v>
      </c>
      <c r="BC411" s="53">
        <f t="shared" si="59"/>
        <v>151.25</v>
      </c>
    </row>
    <row r="412" spans="1:55" ht="13.15">
      <c r="A412" t="s">
        <v>1924</v>
      </c>
      <c r="B412" t="s">
        <v>132</v>
      </c>
      <c r="C412" s="52" t="s">
        <v>592</v>
      </c>
      <c r="D412" s="52" t="s">
        <v>592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287.49999999999994</v>
      </c>
      <c r="Q412" s="81" t="s">
        <v>1132</v>
      </c>
      <c r="R412" s="82">
        <v>4.3</v>
      </c>
      <c r="S412" s="81" t="s">
        <v>1133</v>
      </c>
      <c r="T412" s="82">
        <v>4.7</v>
      </c>
      <c r="U412" s="81" t="s">
        <v>1134</v>
      </c>
      <c r="V412" s="82">
        <v>2.6</v>
      </c>
      <c r="W412" s="256" t="s">
        <v>1135</v>
      </c>
      <c r="X412" s="255">
        <v>1.6</v>
      </c>
      <c r="Y412" s="308" t="s">
        <v>1136</v>
      </c>
      <c r="Z412" s="316">
        <v>0.6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7"/>
      <c r="AU412" s="93"/>
      <c r="AV412" s="297"/>
      <c r="AW412" s="93"/>
      <c r="AX412" s="66">
        <f t="shared" si="56"/>
        <v>13.799999999999999</v>
      </c>
      <c r="AY412" s="78">
        <f t="shared" si="57"/>
        <v>287.49999999999994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218.74999999999997</v>
      </c>
      <c r="BC412" s="53">
        <f t="shared" si="59"/>
        <v>243.74999999999997</v>
      </c>
    </row>
    <row r="413" spans="1:55" ht="13.15">
      <c r="A413" t="s">
        <v>1925</v>
      </c>
      <c r="B413" t="s">
        <v>132</v>
      </c>
      <c r="C413" s="52" t="s">
        <v>592</v>
      </c>
      <c r="D413" s="52" t="s">
        <v>592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7"/>
      <c r="AU413" s="93"/>
      <c r="AV413" s="297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">
        <v>1926</v>
      </c>
      <c r="B414" t="s">
        <v>209</v>
      </c>
      <c r="C414" s="52" t="s">
        <v>733</v>
      </c>
      <c r="D414" s="52" t="s">
        <v>733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7"/>
      <c r="AU414" s="93"/>
      <c r="AV414" s="297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">
        <v>1927</v>
      </c>
      <c r="B415" t="s">
        <v>209</v>
      </c>
      <c r="C415" s="52" t="s">
        <v>733</v>
      </c>
      <c r="D415" s="52" t="s">
        <v>733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7"/>
      <c r="AU415" s="93"/>
      <c r="AV415" s="297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">
        <v>1928</v>
      </c>
      <c r="B416" t="s">
        <v>209</v>
      </c>
      <c r="C416" s="52" t="s">
        <v>733</v>
      </c>
      <c r="D416" s="52" t="s">
        <v>733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4</v>
      </c>
      <c r="K416">
        <v>11</v>
      </c>
      <c r="L416">
        <v>0</v>
      </c>
      <c r="M416">
        <v>6</v>
      </c>
      <c r="N416">
        <v>1</v>
      </c>
      <c r="O416">
        <v>0</v>
      </c>
      <c r="P416" s="69">
        <f t="shared" si="60"/>
        <v>87.5</v>
      </c>
      <c r="Q416" s="83" t="s">
        <v>1288</v>
      </c>
      <c r="R416" s="284">
        <v>4.2</v>
      </c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7"/>
      <c r="AU416" s="93"/>
      <c r="AV416" s="297"/>
      <c r="AW416" s="93"/>
      <c r="AX416" s="66">
        <f t="shared" si="56"/>
        <v>4.2</v>
      </c>
      <c r="AY416" s="78">
        <f t="shared" si="57"/>
        <v>87.5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103.75</v>
      </c>
      <c r="BC416" s="53">
        <f t="shared" si="59"/>
        <v>103.75</v>
      </c>
    </row>
    <row r="417" spans="1:55" ht="13.15">
      <c r="A417" t="s">
        <v>1929</v>
      </c>
      <c r="B417" t="s">
        <v>209</v>
      </c>
      <c r="C417" s="52" t="s">
        <v>733</v>
      </c>
      <c r="D417" s="52" t="s">
        <v>733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7"/>
      <c r="AU417" s="93"/>
      <c r="AV417" s="297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">
        <v>1930</v>
      </c>
      <c r="B418" t="s">
        <v>209</v>
      </c>
      <c r="C418" s="52" t="s">
        <v>733</v>
      </c>
      <c r="D418" s="52" t="s">
        <v>733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1" t="s">
        <v>1286</v>
      </c>
      <c r="R418" s="82">
        <v>5</v>
      </c>
      <c r="S418" s="302" t="s">
        <v>1287</v>
      </c>
      <c r="T418" s="301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7"/>
      <c r="AU418" s="93"/>
      <c r="AV418" s="297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">
        <v>1931</v>
      </c>
      <c r="B419" t="s">
        <v>224</v>
      </c>
      <c r="C419" s="52" t="s">
        <v>760</v>
      </c>
      <c r="D419" s="52" t="s">
        <v>760</v>
      </c>
      <c r="E419">
        <v>210</v>
      </c>
      <c r="F419">
        <v>210</v>
      </c>
      <c r="G419" s="64">
        <v>45301</v>
      </c>
      <c r="H419">
        <v>240</v>
      </c>
      <c r="I419">
        <v>240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7"/>
      <c r="AU419" s="93"/>
      <c r="AV419" s="297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">
        <v>1932</v>
      </c>
      <c r="B420" t="s">
        <v>224</v>
      </c>
      <c r="C420" s="52" t="s">
        <v>760</v>
      </c>
      <c r="D420" s="52" t="s">
        <v>760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54</v>
      </c>
      <c r="P420" s="69">
        <f t="shared" si="60"/>
        <v>233.33333333333334</v>
      </c>
      <c r="Q420" s="81" t="s">
        <v>1313</v>
      </c>
      <c r="R420" s="82">
        <v>5</v>
      </c>
      <c r="S420" s="81" t="s">
        <v>1314</v>
      </c>
      <c r="T420" s="82">
        <v>1</v>
      </c>
      <c r="U420" s="101" t="s">
        <v>1315</v>
      </c>
      <c r="V420" s="100">
        <v>1</v>
      </c>
      <c r="W420" s="85" t="s">
        <v>1316</v>
      </c>
      <c r="X420" s="280">
        <v>4.2</v>
      </c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7"/>
      <c r="AU420" s="93"/>
      <c r="AV420" s="297"/>
      <c r="AW420" s="93"/>
      <c r="AX420" s="66">
        <f t="shared" si="56"/>
        <v>11.2</v>
      </c>
      <c r="AY420" s="78">
        <f t="shared" si="57"/>
        <v>233.33333333333334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146.66666666666669</v>
      </c>
      <c r="BC420" s="53">
        <f t="shared" si="59"/>
        <v>143.66666666666669</v>
      </c>
    </row>
    <row r="421" spans="1:55" ht="13.15">
      <c r="A421" t="s">
        <v>1933</v>
      </c>
      <c r="B421" t="s">
        <v>263</v>
      </c>
      <c r="C421" s="52" t="s">
        <v>821</v>
      </c>
      <c r="D421" s="52" t="s">
        <v>821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7"/>
      <c r="AU421" s="93"/>
      <c r="AV421" s="297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">
        <v>1934</v>
      </c>
      <c r="B422" t="s">
        <v>263</v>
      </c>
      <c r="C422" s="52" t="s">
        <v>821</v>
      </c>
      <c r="D422" s="52" t="s">
        <v>821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1" t="s">
        <v>1375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7"/>
      <c r="AU422" s="93"/>
      <c r="AV422" s="297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">
        <v>1935</v>
      </c>
      <c r="B423" t="s">
        <v>32</v>
      </c>
      <c r="C423" s="52" t="s">
        <v>365</v>
      </c>
      <c r="D423" s="52" t="s">
        <v>365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7"/>
      <c r="AU423" s="93"/>
      <c r="AV423" s="297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">
        <v>1936</v>
      </c>
      <c r="B424" t="s">
        <v>32</v>
      </c>
      <c r="C424" s="52" t="s">
        <v>365</v>
      </c>
      <c r="D424" s="52" t="s">
        <v>365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7"/>
      <c r="AU424" s="93"/>
      <c r="AV424" s="297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">
        <v>1937</v>
      </c>
      <c r="B425" t="s">
        <v>54</v>
      </c>
      <c r="C425" s="52" t="s">
        <v>429</v>
      </c>
      <c r="D425" s="52" t="s">
        <v>429</v>
      </c>
      <c r="E425">
        <v>225</v>
      </c>
      <c r="F425">
        <v>225</v>
      </c>
      <c r="G425" s="64">
        <v>45358</v>
      </c>
      <c r="H425">
        <v>300</v>
      </c>
      <c r="I425">
        <v>300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26</v>
      </c>
      <c r="P425" s="69">
        <f t="shared" si="60"/>
        <v>102.29166666666667</v>
      </c>
      <c r="Q425" s="101" t="s">
        <v>982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7"/>
      <c r="AU425" s="93"/>
      <c r="AV425" s="297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">
        <v>1938</v>
      </c>
      <c r="B426" t="s">
        <v>53</v>
      </c>
      <c r="C426" s="52" t="s">
        <v>429</v>
      </c>
      <c r="D426" s="52" t="s">
        <v>429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89" t="s">
        <v>959</v>
      </c>
      <c r="R426" s="90">
        <v>2</v>
      </c>
      <c r="S426" s="89" t="s">
        <v>960</v>
      </c>
      <c r="T426" s="90">
        <v>2.9</v>
      </c>
      <c r="U426" s="89" t="s">
        <v>961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7"/>
      <c r="AU426" s="93"/>
      <c r="AV426" s="297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">
        <v>1939</v>
      </c>
      <c r="B427" t="s">
        <v>53</v>
      </c>
      <c r="C427" s="52" t="s">
        <v>429</v>
      </c>
      <c r="D427" s="52" t="s">
        <v>429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3" t="s">
        <v>977</v>
      </c>
      <c r="R427" s="254">
        <v>2</v>
      </c>
      <c r="S427" s="111" t="s">
        <v>978</v>
      </c>
      <c r="T427" s="113">
        <v>2</v>
      </c>
      <c r="U427" s="305" t="s">
        <v>979</v>
      </c>
      <c r="V427" s="306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7"/>
      <c r="AU427" s="93"/>
      <c r="AV427" s="297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">
        <v>1940</v>
      </c>
      <c r="B428" t="s">
        <v>54</v>
      </c>
      <c r="C428" s="52" t="s">
        <v>429</v>
      </c>
      <c r="D428" s="52" t="s">
        <v>429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7"/>
      <c r="AU428" s="93"/>
      <c r="AV428" s="297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">
        <v>1941</v>
      </c>
      <c r="B429" t="s">
        <v>1942</v>
      </c>
      <c r="C429" s="52" t="s">
        <v>429</v>
      </c>
      <c r="D429" s="52" t="s">
        <v>429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9</v>
      </c>
      <c r="N429">
        <v>12</v>
      </c>
      <c r="O429">
        <v>0</v>
      </c>
      <c r="P429" s="69">
        <f t="shared" si="60"/>
        <v>93.75</v>
      </c>
      <c r="Q429" s="105" t="s">
        <v>1943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7"/>
      <c r="AU429" s="93"/>
      <c r="AV429" s="297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">
        <v>1944</v>
      </c>
      <c r="B430" t="s">
        <v>1942</v>
      </c>
      <c r="C430" s="52" t="s">
        <v>429</v>
      </c>
      <c r="D430" s="52" t="s">
        <v>429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3" t="s">
        <v>1945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7"/>
      <c r="AU430" s="93"/>
      <c r="AV430" s="297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">
        <v>1946</v>
      </c>
      <c r="B431" t="s">
        <v>54</v>
      </c>
      <c r="C431" s="52" t="s">
        <v>429</v>
      </c>
      <c r="D431" s="52" t="s">
        <v>429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19</v>
      </c>
      <c r="N431">
        <v>8</v>
      </c>
      <c r="O431">
        <v>0</v>
      </c>
      <c r="P431" s="69">
        <f t="shared" si="60"/>
        <v>41.666666666666664</v>
      </c>
      <c r="Q431" s="83" t="s">
        <v>964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7"/>
      <c r="AU431" s="93"/>
      <c r="AV431" s="297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">
        <v>1947</v>
      </c>
      <c r="B432" t="s">
        <v>54</v>
      </c>
      <c r="C432" s="52" t="s">
        <v>429</v>
      </c>
      <c r="D432" s="52" t="s">
        <v>429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7"/>
      <c r="AU432" s="93"/>
      <c r="AV432" s="297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34.9">
      <c r="A433" t="s">
        <v>1948</v>
      </c>
      <c r="B433" t="s">
        <v>1942</v>
      </c>
      <c r="C433" s="52" t="s">
        <v>429</v>
      </c>
      <c r="D433" s="52" t="s">
        <v>429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1</v>
      </c>
      <c r="L433">
        <v>0</v>
      </c>
      <c r="M433">
        <v>11</v>
      </c>
      <c r="N433">
        <v>11</v>
      </c>
      <c r="O433">
        <v>0</v>
      </c>
      <c r="P433" s="69">
        <f t="shared" si="60"/>
        <v>241.66666666666666</v>
      </c>
      <c r="Q433" s="89" t="s">
        <v>963</v>
      </c>
      <c r="R433" s="282">
        <v>5</v>
      </c>
      <c r="S433" s="332" t="s">
        <v>980</v>
      </c>
      <c r="T433" s="284">
        <v>6.6</v>
      </c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7"/>
      <c r="AU433" s="93"/>
      <c r="AV433" s="297"/>
      <c r="AW433" s="93"/>
      <c r="AX433" s="66">
        <f t="shared" si="56"/>
        <v>11.6</v>
      </c>
      <c r="AY433" s="78">
        <f t="shared" si="57"/>
        <v>241.66666666666666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235.83333333333331</v>
      </c>
      <c r="BC433" s="53">
        <f t="shared" si="59"/>
        <v>260.83333333333331</v>
      </c>
    </row>
    <row r="434" spans="1:55" ht="13.15">
      <c r="A434" t="s">
        <v>1949</v>
      </c>
      <c r="B434" t="s">
        <v>54</v>
      </c>
      <c r="C434" s="52" t="s">
        <v>429</v>
      </c>
      <c r="D434" s="52" t="s">
        <v>429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7"/>
      <c r="AU434" s="93"/>
      <c r="AV434" s="297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">
        <v>1950</v>
      </c>
      <c r="B435" t="s">
        <v>1942</v>
      </c>
      <c r="C435" s="52" t="s">
        <v>429</v>
      </c>
      <c r="D435" s="52" t="s">
        <v>429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7"/>
      <c r="AU435" s="93"/>
      <c r="AV435" s="297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">
        <v>1951</v>
      </c>
      <c r="B436" t="s">
        <v>1942</v>
      </c>
      <c r="C436" s="52" t="s">
        <v>429</v>
      </c>
      <c r="D436" s="52" t="s">
        <v>429</v>
      </c>
      <c r="E436">
        <v>10.6</v>
      </c>
      <c r="F436" t="s">
        <v>1726</v>
      </c>
      <c r="G436" s="64">
        <v>44824</v>
      </c>
      <c r="H436">
        <v>300</v>
      </c>
      <c r="I436">
        <v>300</v>
      </c>
      <c r="J436">
        <v>4</v>
      </c>
      <c r="K436">
        <v>0</v>
      </c>
      <c r="L436">
        <v>0</v>
      </c>
      <c r="M436">
        <v>3</v>
      </c>
      <c r="N436">
        <v>4</v>
      </c>
      <c r="O436">
        <v>1</v>
      </c>
      <c r="P436" s="69">
        <f t="shared" si="60"/>
        <v>10.416666666666666</v>
      </c>
      <c r="Q436" s="101" t="s">
        <v>983</v>
      </c>
      <c r="R436" s="116">
        <v>0.5</v>
      </c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7"/>
      <c r="AU436" s="93"/>
      <c r="AV436" s="297"/>
      <c r="AW436" s="93"/>
      <c r="AX436" s="66">
        <f t="shared" si="56"/>
        <v>0.5</v>
      </c>
      <c r="AY436" s="78">
        <f t="shared" si="57"/>
        <v>10.416666666666666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15.808333333333334</v>
      </c>
      <c r="BC436" s="53" t="e">
        <f t="shared" si="59"/>
        <v>#VALUE!</v>
      </c>
    </row>
    <row r="437" spans="1:55" ht="13.15">
      <c r="A437" t="s">
        <v>1952</v>
      </c>
      <c r="B437" t="s">
        <v>53</v>
      </c>
      <c r="C437" s="52" t="s">
        <v>429</v>
      </c>
      <c r="D437" s="52" t="s">
        <v>429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7"/>
      <c r="AU437" s="93"/>
      <c r="AV437" s="297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">
        <v>1953</v>
      </c>
      <c r="B438" t="s">
        <v>53</v>
      </c>
      <c r="C438" s="52" t="s">
        <v>429</v>
      </c>
      <c r="D438" s="52" t="s">
        <v>429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7"/>
      <c r="AU438" s="93"/>
      <c r="AV438" s="297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">
        <v>1954</v>
      </c>
      <c r="B439" t="s">
        <v>1942</v>
      </c>
      <c r="C439" s="52" t="s">
        <v>429</v>
      </c>
      <c r="D439" s="52" t="s">
        <v>1955</v>
      </c>
      <c r="E439">
        <v>372.72</v>
      </c>
      <c r="F439">
        <v>108.69000000000001</v>
      </c>
      <c r="G439" s="64">
        <v>45601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1310.4166666666667</v>
      </c>
      <c r="Q439" s="111"/>
      <c r="R439" s="113"/>
      <c r="S439" s="89" t="s">
        <v>975</v>
      </c>
      <c r="T439" s="282">
        <v>1</v>
      </c>
      <c r="U439" s="87" t="s">
        <v>969</v>
      </c>
      <c r="V439" s="281">
        <v>1.7</v>
      </c>
      <c r="W439" s="87" t="s">
        <v>970</v>
      </c>
      <c r="X439" s="281">
        <v>1.8</v>
      </c>
      <c r="Y439" s="81" t="s">
        <v>971</v>
      </c>
      <c r="Z439" s="279">
        <v>1.6</v>
      </c>
      <c r="AA439" s="81" t="s">
        <v>966</v>
      </c>
      <c r="AB439" s="279">
        <v>56.8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7"/>
      <c r="AU439" s="93"/>
      <c r="AV439" s="297"/>
      <c r="AW439" s="93"/>
      <c r="AX439" s="66">
        <f t="shared" si="67"/>
        <v>62.9</v>
      </c>
      <c r="AY439" s="78">
        <f t="shared" si="68"/>
        <v>1310.4166666666667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1027.9283333333333</v>
      </c>
      <c r="BC439" s="53">
        <f t="shared" si="70"/>
        <v>763.89833333333343</v>
      </c>
    </row>
    <row r="440" spans="1:55" ht="13.15">
      <c r="A440" t="s">
        <v>1956</v>
      </c>
      <c r="B440" t="s">
        <v>1942</v>
      </c>
      <c r="C440" s="52" t="s">
        <v>429</v>
      </c>
      <c r="D440" s="52" t="s">
        <v>1955</v>
      </c>
      <c r="E440">
        <v>220.72</v>
      </c>
      <c r="F440">
        <v>220.72</v>
      </c>
      <c r="G440" s="64">
        <v>45510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110.41666666666667</v>
      </c>
      <c r="Q440" s="81" t="s">
        <v>967</v>
      </c>
      <c r="R440" s="279">
        <v>2</v>
      </c>
      <c r="S440" s="81" t="s">
        <v>968</v>
      </c>
      <c r="T440" s="279">
        <v>1.3</v>
      </c>
      <c r="U440" s="81" t="s">
        <v>976</v>
      </c>
      <c r="V440" s="279">
        <v>2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7"/>
      <c r="AU440" s="93"/>
      <c r="AV440" s="297"/>
      <c r="AW440" s="93"/>
      <c r="AX440" s="66">
        <f t="shared" si="67"/>
        <v>5.3</v>
      </c>
      <c r="AY440" s="78">
        <f t="shared" si="68"/>
        <v>110.41666666666667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275.92833333333334</v>
      </c>
      <c r="BC440" s="53">
        <f t="shared" si="70"/>
        <v>275.92833333333334</v>
      </c>
    </row>
    <row r="441" spans="1:55" ht="13.15">
      <c r="A441" t="s">
        <v>1957</v>
      </c>
      <c r="B441" t="s">
        <v>1942</v>
      </c>
      <c r="C441" s="52" t="s">
        <v>429</v>
      </c>
      <c r="D441" s="52" t="s">
        <v>1955</v>
      </c>
      <c r="E441">
        <v>257.89</v>
      </c>
      <c r="F441">
        <v>58.989999999999995</v>
      </c>
      <c r="G441" s="64">
        <v>45510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1052.0833333333333</v>
      </c>
      <c r="Q441" s="81" t="s">
        <v>1958</v>
      </c>
      <c r="R441" s="279">
        <v>36</v>
      </c>
      <c r="S441" s="89" t="s">
        <v>974</v>
      </c>
      <c r="T441" s="282">
        <v>1.4</v>
      </c>
      <c r="U441" s="81"/>
      <c r="V441" s="279"/>
      <c r="W441" s="81" t="s">
        <v>972</v>
      </c>
      <c r="X441" s="279">
        <v>0.45</v>
      </c>
      <c r="Y441" s="81" t="s">
        <v>973</v>
      </c>
      <c r="Z441" s="279">
        <v>0.45</v>
      </c>
      <c r="AA441" s="253" t="s">
        <v>1959</v>
      </c>
      <c r="AB441" s="299">
        <v>12.2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7"/>
      <c r="AU441" s="93"/>
      <c r="AV441" s="297"/>
      <c r="AW441" s="93"/>
      <c r="AX441" s="66">
        <f t="shared" si="67"/>
        <v>50.5</v>
      </c>
      <c r="AY441" s="78">
        <f t="shared" si="68"/>
        <v>1052.0833333333333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783.93166666666662</v>
      </c>
      <c r="BC441" s="53">
        <f t="shared" si="70"/>
        <v>585.03166666666664</v>
      </c>
    </row>
    <row r="442" spans="1:55" ht="13.15">
      <c r="A442" t="s">
        <v>1960</v>
      </c>
      <c r="B442" t="s">
        <v>101</v>
      </c>
      <c r="C442" s="52" t="s">
        <v>530</v>
      </c>
      <c r="D442" s="52" t="s">
        <v>530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102.08333333333333</v>
      </c>
      <c r="Q442" s="83" t="s">
        <v>1961</v>
      </c>
      <c r="R442" s="284">
        <v>4.4000000000000004</v>
      </c>
      <c r="S442" s="83" t="s">
        <v>1089</v>
      </c>
      <c r="T442" s="284">
        <v>0.5</v>
      </c>
      <c r="U442" s="83"/>
      <c r="V442" s="284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7"/>
      <c r="AU442" s="93"/>
      <c r="AV442" s="297"/>
      <c r="AW442" s="93"/>
      <c r="AX442" s="66">
        <f t="shared" si="67"/>
        <v>4.9000000000000004</v>
      </c>
      <c r="AY442" s="78">
        <f t="shared" si="68"/>
        <v>102.08333333333333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51.041666666666664</v>
      </c>
      <c r="BC442" s="53">
        <f t="shared" si="70"/>
        <v>51.041666666666664</v>
      </c>
    </row>
    <row r="443" spans="1:55" ht="13.15">
      <c r="A443" t="s">
        <v>1962</v>
      </c>
      <c r="B443" t="s">
        <v>128</v>
      </c>
      <c r="C443" s="52" t="s">
        <v>586</v>
      </c>
      <c r="D443" s="52" t="s">
        <v>586</v>
      </c>
      <c r="E443" t="s">
        <v>1963</v>
      </c>
      <c r="F443" t="s">
        <v>1963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7"/>
      <c r="AU443" s="93"/>
      <c r="AV443" s="297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">
        <v>1964</v>
      </c>
      <c r="B444" t="s">
        <v>152</v>
      </c>
      <c r="C444" s="52" t="s">
        <v>629</v>
      </c>
      <c r="D444" s="52" t="s">
        <v>629</v>
      </c>
      <c r="E444">
        <v>42</v>
      </c>
      <c r="F444">
        <v>42</v>
      </c>
      <c r="G444" s="64">
        <v>44113</v>
      </c>
      <c r="H444" t="s">
        <v>1965</v>
      </c>
      <c r="I444" t="s">
        <v>1965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7"/>
      <c r="AU444" s="93"/>
      <c r="AV444" s="297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">
        <v>1966</v>
      </c>
      <c r="B445" t="s">
        <v>180</v>
      </c>
      <c r="C445" s="52" t="s">
        <v>684</v>
      </c>
      <c r="D445" s="52" t="s">
        <v>684</v>
      </c>
      <c r="E445">
        <v>60</v>
      </c>
      <c r="F445">
        <v>60</v>
      </c>
      <c r="G445" s="64">
        <v>44991</v>
      </c>
      <c r="H445">
        <v>300</v>
      </c>
      <c r="I445" t="s">
        <v>1967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7"/>
      <c r="AU445" s="93"/>
      <c r="AV445" s="297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">
        <v>1968</v>
      </c>
      <c r="B446" t="s">
        <v>180</v>
      </c>
      <c r="C446" s="52" t="s">
        <v>684</v>
      </c>
      <c r="D446" s="52" t="s">
        <v>684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2" t="s">
        <v>1254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7"/>
      <c r="AU446" s="93"/>
      <c r="AV446" s="297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">
        <v>1969</v>
      </c>
      <c r="B447" t="s">
        <v>202</v>
      </c>
      <c r="C447" s="52" t="s">
        <v>720</v>
      </c>
      <c r="D447" s="52" t="s">
        <v>720</v>
      </c>
      <c r="E447">
        <v>53.679999999999993</v>
      </c>
      <c r="F447">
        <v>2.27</v>
      </c>
      <c r="G447" s="64">
        <v>45601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481.25</v>
      </c>
      <c r="Q447" s="81" t="s">
        <v>1970</v>
      </c>
      <c r="R447" s="82">
        <v>5</v>
      </c>
      <c r="S447" s="81" t="s">
        <v>1881</v>
      </c>
      <c r="T447" s="82">
        <v>11.8</v>
      </c>
      <c r="U447" s="83" t="s">
        <v>1278</v>
      </c>
      <c r="V447" s="84">
        <v>2</v>
      </c>
      <c r="W447" s="85" t="s">
        <v>1278</v>
      </c>
      <c r="X447" s="86">
        <v>1.8</v>
      </c>
      <c r="Y447" s="92" t="s">
        <v>1277</v>
      </c>
      <c r="Z447" s="80">
        <v>2.5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7"/>
      <c r="AU447" s="93"/>
      <c r="AV447" s="297"/>
      <c r="AW447" s="93"/>
      <c r="AX447" s="66">
        <f t="shared" si="67"/>
        <v>23.1</v>
      </c>
      <c r="AY447" s="78">
        <f t="shared" si="68"/>
        <v>481.25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294.30500000000001</v>
      </c>
      <c r="BC447" s="53">
        <f t="shared" si="70"/>
        <v>242.89500000000001</v>
      </c>
    </row>
    <row r="448" spans="1:55" ht="13.15">
      <c r="A448" t="s">
        <v>1971</v>
      </c>
      <c r="B448" t="s">
        <v>202</v>
      </c>
      <c r="C448" s="52" t="s">
        <v>720</v>
      </c>
      <c r="D448" s="52" t="s">
        <v>720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7"/>
      <c r="AU448" s="93"/>
      <c r="AV448" s="297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">
        <v>1972</v>
      </c>
      <c r="B449" t="s">
        <v>202</v>
      </c>
      <c r="C449" s="52" t="s">
        <v>720</v>
      </c>
      <c r="D449" s="52" t="s">
        <v>720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1" t="s">
        <v>1275</v>
      </c>
      <c r="R449" s="82">
        <v>0.5</v>
      </c>
      <c r="S449" s="85" t="s">
        <v>1973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7"/>
      <c r="AU449" s="93"/>
      <c r="AV449" s="297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">
        <v>1974</v>
      </c>
      <c r="B450" t="s">
        <v>214</v>
      </c>
      <c r="C450" s="52" t="s">
        <v>742</v>
      </c>
      <c r="D450" s="52" t="s">
        <v>742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7"/>
      <c r="AU450" s="93"/>
      <c r="AV450" s="297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">
        <v>1975</v>
      </c>
      <c r="B451" t="s">
        <v>1976</v>
      </c>
      <c r="C451" s="52" t="s">
        <v>1977</v>
      </c>
      <c r="D451" s="52" t="s">
        <v>1977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7"/>
      <c r="AU451" s="93"/>
      <c r="AV451" s="297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">
        <v>1978</v>
      </c>
      <c r="B452" t="s">
        <v>1976</v>
      </c>
      <c r="C452" s="52" t="s">
        <v>740</v>
      </c>
      <c r="D452" s="52" t="s">
        <v>740</v>
      </c>
      <c r="E452">
        <v>50</v>
      </c>
      <c r="F452">
        <v>50</v>
      </c>
      <c r="G452" s="64">
        <v>45579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25</v>
      </c>
      <c r="P452" s="69">
        <f t="shared" si="71"/>
        <v>87.5</v>
      </c>
      <c r="Q452" s="83" t="s">
        <v>1292</v>
      </c>
      <c r="R452" s="284">
        <v>4.2</v>
      </c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7"/>
      <c r="AU452" s="93"/>
      <c r="AV452" s="297"/>
      <c r="AW452" s="93"/>
      <c r="AX452" s="66">
        <f t="shared" si="67"/>
        <v>4.2</v>
      </c>
      <c r="AY452" s="78">
        <f t="shared" si="68"/>
        <v>87.5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93.75</v>
      </c>
      <c r="BC452" s="53">
        <f t="shared" si="70"/>
        <v>93.75</v>
      </c>
    </row>
    <row r="453" spans="1:55" ht="13.15">
      <c r="A453" t="s">
        <v>1979</v>
      </c>
      <c r="B453" t="s">
        <v>225</v>
      </c>
      <c r="C453" s="52" t="s">
        <v>763</v>
      </c>
      <c r="D453" s="52" t="s">
        <v>763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3</v>
      </c>
      <c r="K453">
        <v>1</v>
      </c>
      <c r="L453">
        <v>0</v>
      </c>
      <c r="M453">
        <v>1</v>
      </c>
      <c r="N453">
        <v>9</v>
      </c>
      <c r="O453">
        <v>0</v>
      </c>
      <c r="P453" s="69">
        <f t="shared" si="71"/>
        <v>160.41666666666666</v>
      </c>
      <c r="Q453" s="256" t="s">
        <v>1157</v>
      </c>
      <c r="R453" s="255">
        <v>2</v>
      </c>
      <c r="S453" s="99" t="s">
        <v>1314</v>
      </c>
      <c r="T453" s="100">
        <v>1</v>
      </c>
      <c r="U453" s="101" t="s">
        <v>1318</v>
      </c>
      <c r="V453" s="100">
        <v>4.2</v>
      </c>
      <c r="W453" s="83" t="s">
        <v>1319</v>
      </c>
      <c r="X453" s="284">
        <v>0.5</v>
      </c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7"/>
      <c r="AU453" s="93"/>
      <c r="AV453" s="297"/>
      <c r="AW453" s="93"/>
      <c r="AX453" s="66">
        <f t="shared" si="67"/>
        <v>7.7</v>
      </c>
      <c r="AY453" s="78">
        <f t="shared" si="68"/>
        <v>160.41666666666666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240.20833333333331</v>
      </c>
      <c r="BC453" s="53">
        <f t="shared" si="70"/>
        <v>240.20833333333331</v>
      </c>
    </row>
    <row r="454" spans="1:55" ht="13.15">
      <c r="A454" t="s">
        <v>1980</v>
      </c>
      <c r="B454" t="s">
        <v>225</v>
      </c>
      <c r="C454" s="52" t="s">
        <v>763</v>
      </c>
      <c r="D454" s="52" t="s">
        <v>763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1" t="s">
        <v>1317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7"/>
      <c r="AU454" s="93"/>
      <c r="AV454" s="297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">
        <v>1981</v>
      </c>
      <c r="B455" t="s">
        <v>262</v>
      </c>
      <c r="C455" s="52" t="s">
        <v>819</v>
      </c>
      <c r="D455" s="52" t="s">
        <v>819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7"/>
      <c r="AU455" s="93"/>
      <c r="AV455" s="297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">
        <v>1982</v>
      </c>
      <c r="B456" t="s">
        <v>262</v>
      </c>
      <c r="C456" s="52" t="s">
        <v>819</v>
      </c>
      <c r="D456" s="52" t="s">
        <v>819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7"/>
      <c r="AU456" s="93"/>
      <c r="AV456" s="297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">
        <v>1983</v>
      </c>
      <c r="B457" t="s">
        <v>262</v>
      </c>
      <c r="C457" s="52" t="s">
        <v>819</v>
      </c>
      <c r="D457" s="52" t="s">
        <v>819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0" t="s">
        <v>1374</v>
      </c>
      <c r="R457" s="301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7"/>
      <c r="AU457" s="93"/>
      <c r="AV457" s="297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">
        <v>1984</v>
      </c>
      <c r="B458" t="s">
        <v>192</v>
      </c>
      <c r="C458" s="52" t="s">
        <v>706</v>
      </c>
      <c r="D458" s="52" t="s">
        <v>706</v>
      </c>
      <c r="E458" t="s">
        <v>1444</v>
      </c>
      <c r="F458" t="s">
        <v>1444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7"/>
      <c r="AU458" s="93"/>
      <c r="AV458" s="297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">
        <v>1985</v>
      </c>
      <c r="B459" t="s">
        <v>192</v>
      </c>
      <c r="C459" s="52" t="s">
        <v>706</v>
      </c>
      <c r="D459" s="52" t="s">
        <v>706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1" t="s">
        <v>1266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7"/>
      <c r="AU459" s="93"/>
      <c r="AV459" s="297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">
        <v>1986</v>
      </c>
      <c r="B460" t="s">
        <v>191</v>
      </c>
      <c r="C460" s="52" t="s">
        <v>706</v>
      </c>
      <c r="D460" s="52" t="s">
        <v>706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7"/>
      <c r="AU460" s="93"/>
      <c r="AV460" s="297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">
        <v>1987</v>
      </c>
      <c r="B461" t="s">
        <v>192</v>
      </c>
      <c r="C461" s="52" t="s">
        <v>706</v>
      </c>
      <c r="D461" s="52" t="s">
        <v>706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7"/>
      <c r="AU461" s="93"/>
      <c r="AV461" s="297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">
        <v>1988</v>
      </c>
      <c r="B462" t="s">
        <v>191</v>
      </c>
      <c r="C462" s="52" t="s">
        <v>706</v>
      </c>
      <c r="D462" s="52" t="s">
        <v>706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7"/>
      <c r="AU462" s="93"/>
      <c r="AV462" s="297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">
        <v>1989</v>
      </c>
      <c r="B463" t="s">
        <v>240</v>
      </c>
      <c r="C463" s="52" t="s">
        <v>783</v>
      </c>
      <c r="D463" s="52" t="s">
        <v>783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1" t="s">
        <v>1342</v>
      </c>
      <c r="R463" s="82">
        <v>5</v>
      </c>
      <c r="S463" s="99" t="s">
        <v>1343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7"/>
      <c r="AU463" s="93"/>
      <c r="AV463" s="297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">
        <v>1990</v>
      </c>
      <c r="B464" t="s">
        <v>240</v>
      </c>
      <c r="C464" s="52" t="s">
        <v>783</v>
      </c>
      <c r="D464" s="52" t="s">
        <v>783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7"/>
      <c r="AU464" s="93"/>
      <c r="AV464" s="297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">
        <v>1991</v>
      </c>
      <c r="B465" t="s">
        <v>1498</v>
      </c>
      <c r="C465" s="52" t="s">
        <v>776</v>
      </c>
      <c r="D465" s="52" t="s">
        <v>776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36</v>
      </c>
      <c r="P465" s="69">
        <f t="shared" si="71"/>
        <v>333.33333333333331</v>
      </c>
      <c r="Q465" s="105" t="s">
        <v>1339</v>
      </c>
      <c r="R465" s="317">
        <v>2.5</v>
      </c>
      <c r="S465" s="105" t="s">
        <v>1340</v>
      </c>
      <c r="T465" s="317">
        <v>2.5</v>
      </c>
      <c r="U465" s="83" t="s">
        <v>1341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7"/>
      <c r="AU465" s="93"/>
      <c r="AV465" s="297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">
        <v>1992</v>
      </c>
      <c r="B466" t="s">
        <v>163</v>
      </c>
      <c r="C466" s="52" t="s">
        <v>651</v>
      </c>
      <c r="D466" s="52" t="s">
        <v>651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7"/>
      <c r="AU466" s="93"/>
      <c r="AV466" s="297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">
        <v>1993</v>
      </c>
      <c r="B467" t="s">
        <v>64</v>
      </c>
      <c r="C467" s="52" t="s">
        <v>841</v>
      </c>
      <c r="D467" s="52" t="s">
        <v>841</v>
      </c>
      <c r="E467">
        <v>110.7</v>
      </c>
      <c r="F467">
        <v>115.92</v>
      </c>
      <c r="G467" s="64">
        <v>45601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285.41666666666669</v>
      </c>
      <c r="Q467" s="81" t="s">
        <v>1001</v>
      </c>
      <c r="R467" s="82">
        <v>1.3</v>
      </c>
      <c r="S467" s="89" t="s">
        <v>999</v>
      </c>
      <c r="T467" s="90">
        <v>2.2000000000000002</v>
      </c>
      <c r="U467" s="89" t="s">
        <v>1000</v>
      </c>
      <c r="V467" s="90">
        <v>2</v>
      </c>
      <c r="W467" s="263" t="s">
        <v>1994</v>
      </c>
      <c r="X467" s="252">
        <v>4</v>
      </c>
      <c r="Y467" s="263" t="s">
        <v>1003</v>
      </c>
      <c r="Z467" s="90">
        <v>2.4</v>
      </c>
      <c r="AA467" s="89" t="s">
        <v>998</v>
      </c>
      <c r="AB467" s="90">
        <v>1.8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7"/>
      <c r="AU467" s="93"/>
      <c r="AV467" s="297"/>
      <c r="AW467" s="93"/>
      <c r="AX467" s="66">
        <f t="shared" si="67"/>
        <v>13.700000000000001</v>
      </c>
      <c r="AY467" s="78">
        <f t="shared" si="68"/>
        <v>285.41666666666669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253.40833333333336</v>
      </c>
      <c r="BC467" s="53">
        <f t="shared" si="70"/>
        <v>258.62833333333333</v>
      </c>
    </row>
    <row r="468" spans="1:55" ht="13.15">
      <c r="A468" t="s">
        <v>1995</v>
      </c>
      <c r="B468" t="s">
        <v>72</v>
      </c>
      <c r="C468" s="52" t="s">
        <v>468</v>
      </c>
      <c r="D468" s="52" t="s">
        <v>468</v>
      </c>
      <c r="E468">
        <v>56.72</v>
      </c>
      <c r="F468">
        <v>55.260000000000005</v>
      </c>
      <c r="G468" s="64">
        <v>45601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450</v>
      </c>
      <c r="Q468" s="105" t="s">
        <v>1043</v>
      </c>
      <c r="R468" s="255">
        <v>1.7</v>
      </c>
      <c r="S468" s="256" t="s">
        <v>1996</v>
      </c>
      <c r="T468" s="255">
        <v>7.5</v>
      </c>
      <c r="U468" s="83" t="s">
        <v>1046</v>
      </c>
      <c r="V468" s="284">
        <v>1.6</v>
      </c>
      <c r="W468" s="105" t="s">
        <v>1997</v>
      </c>
      <c r="X468" s="293">
        <v>2.9</v>
      </c>
      <c r="Y468" s="92" t="s">
        <v>1042</v>
      </c>
      <c r="Z468" s="80">
        <v>5.8</v>
      </c>
      <c r="AA468" s="89" t="s">
        <v>1047</v>
      </c>
      <c r="AB468" s="282">
        <v>2.1</v>
      </c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7"/>
      <c r="AU468" s="93"/>
      <c r="AV468" s="297"/>
      <c r="AW468" s="93"/>
      <c r="AX468" s="66">
        <f t="shared" si="67"/>
        <v>21.6</v>
      </c>
      <c r="AY468" s="78">
        <f t="shared" si="68"/>
        <v>450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281.72000000000003</v>
      </c>
      <c r="BC468" s="53">
        <f t="shared" si="70"/>
        <v>280.26</v>
      </c>
    </row>
    <row r="469" spans="1:55" ht="13.15">
      <c r="A469" t="s">
        <v>1998</v>
      </c>
      <c r="B469" t="s">
        <v>158</v>
      </c>
      <c r="C469" s="52" t="s">
        <v>643</v>
      </c>
      <c r="D469" s="52" t="s">
        <v>643</v>
      </c>
      <c r="E469">
        <v>65.070000000000007</v>
      </c>
      <c r="F469">
        <v>63.66</v>
      </c>
      <c r="G469" s="64">
        <v>45601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291.66666666666669</v>
      </c>
      <c r="Q469" s="101"/>
      <c r="R469" s="100"/>
      <c r="S469" s="256" t="s">
        <v>1999</v>
      </c>
      <c r="T469" s="255">
        <v>1</v>
      </c>
      <c r="U469" s="105" t="s">
        <v>1194</v>
      </c>
      <c r="V469" s="268">
        <v>3.4</v>
      </c>
      <c r="W469" s="310" t="s">
        <v>2000</v>
      </c>
      <c r="X469" s="268">
        <v>3.6</v>
      </c>
      <c r="Y469" s="313" t="s">
        <v>1196</v>
      </c>
      <c r="Z469" s="314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7"/>
      <c r="AU469" s="93"/>
      <c r="AV469" s="297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210.90333333333336</v>
      </c>
      <c r="BC469" s="53">
        <f t="shared" si="70"/>
        <v>209.49333333333334</v>
      </c>
    </row>
    <row r="470" spans="1:55" ht="13.15">
      <c r="A470" t="s">
        <v>2001</v>
      </c>
      <c r="B470" t="s">
        <v>170</v>
      </c>
      <c r="C470" s="52" t="s">
        <v>667</v>
      </c>
      <c r="D470" s="52" t="s">
        <v>667</v>
      </c>
      <c r="E470">
        <v>11.79</v>
      </c>
      <c r="F470">
        <v>16.049999999999997</v>
      </c>
      <c r="G470" s="64">
        <v>45601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160.41666666666666</v>
      </c>
      <c r="Q470" s="310" t="s">
        <v>2002</v>
      </c>
      <c r="R470" s="317">
        <v>3.6</v>
      </c>
      <c r="S470" s="89" t="s">
        <v>1226</v>
      </c>
      <c r="T470" s="301">
        <v>4.0999999999999996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7"/>
      <c r="AU470" s="93"/>
      <c r="AV470" s="297"/>
      <c r="AW470" s="93"/>
      <c r="AX470" s="66">
        <f t="shared" si="67"/>
        <v>7.6999999999999993</v>
      </c>
      <c r="AY470" s="78">
        <f t="shared" si="68"/>
        <v>160.41666666666666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91.998333333333335</v>
      </c>
      <c r="BC470" s="53">
        <f t="shared" si="70"/>
        <v>96.258333333333326</v>
      </c>
    </row>
    <row r="471" spans="1:55" ht="13.15">
      <c r="A471" t="s">
        <v>2003</v>
      </c>
      <c r="B471" t="s">
        <v>1495</v>
      </c>
      <c r="C471" s="52" t="s">
        <v>776</v>
      </c>
      <c r="D471" s="52" t="s">
        <v>776</v>
      </c>
      <c r="E471">
        <v>0</v>
      </c>
      <c r="F471">
        <v>0</v>
      </c>
      <c r="G471" s="64">
        <v>45601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7"/>
      <c r="AU471" s="93"/>
      <c r="AV471" s="297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">
        <v>2004</v>
      </c>
      <c r="B472" t="s">
        <v>87</v>
      </c>
      <c r="C472" s="52" t="s">
        <v>502</v>
      </c>
      <c r="D472" s="52" t="s">
        <v>502</v>
      </c>
      <c r="E472">
        <v>0</v>
      </c>
      <c r="F472">
        <v>14.5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7"/>
      <c r="AU472" s="93"/>
      <c r="AV472" s="297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14.5</v>
      </c>
    </row>
    <row r="473" spans="1:55" ht="13.15">
      <c r="A473" t="s">
        <v>2005</v>
      </c>
      <c r="B473" t="s">
        <v>239</v>
      </c>
      <c r="C473" s="52" t="s">
        <v>782</v>
      </c>
      <c r="D473" s="52" t="s">
        <v>782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7"/>
      <c r="AU473" s="93"/>
      <c r="AV473" s="297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">
        <v>2006</v>
      </c>
      <c r="B474" t="s">
        <v>223</v>
      </c>
      <c r="C474" s="52" t="s">
        <v>758</v>
      </c>
      <c r="D474" s="52" t="s">
        <v>758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5" t="s">
        <v>2007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7"/>
      <c r="AU474" s="93"/>
      <c r="AV474" s="297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">
        <v>2008</v>
      </c>
      <c r="B475" t="s">
        <v>223</v>
      </c>
      <c r="C475" s="52" t="s">
        <v>758</v>
      </c>
      <c r="D475" s="52" t="s">
        <v>758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7"/>
      <c r="AU475" s="93"/>
      <c r="AV475" s="297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">
        <v>2009</v>
      </c>
      <c r="B476" t="s">
        <v>223</v>
      </c>
      <c r="C476" s="52" t="s">
        <v>758</v>
      </c>
      <c r="D476" s="52" t="s">
        <v>758</v>
      </c>
      <c r="E476" t="s">
        <v>1444</v>
      </c>
      <c r="F476" t="s">
        <v>1444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7"/>
      <c r="AU476" s="93"/>
      <c r="AV476" s="297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">
        <v>2010</v>
      </c>
      <c r="B477" t="s">
        <v>223</v>
      </c>
      <c r="C477" s="52" t="s">
        <v>758</v>
      </c>
      <c r="D477" s="52" t="s">
        <v>758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7"/>
      <c r="AU477" s="93"/>
      <c r="AV477" s="297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">
        <v>2011</v>
      </c>
      <c r="B478" t="s">
        <v>223</v>
      </c>
      <c r="C478" s="52" t="s">
        <v>758</v>
      </c>
      <c r="D478" s="52" t="s">
        <v>758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7"/>
      <c r="AU478" s="93"/>
      <c r="AV478" s="297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">
        <v>2012</v>
      </c>
      <c r="B479" t="s">
        <v>223</v>
      </c>
      <c r="C479" s="52" t="s">
        <v>758</v>
      </c>
      <c r="D479" s="52" t="s">
        <v>758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7"/>
      <c r="AU479" s="93"/>
      <c r="AV479" s="297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">
        <v>2013</v>
      </c>
      <c r="B480" t="s">
        <v>223</v>
      </c>
      <c r="C480" s="52" t="s">
        <v>758</v>
      </c>
      <c r="D480" s="52" t="s">
        <v>758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7"/>
      <c r="AU480" s="93"/>
      <c r="AV480" s="297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">
        <v>2014</v>
      </c>
      <c r="B481" t="s">
        <v>223</v>
      </c>
      <c r="C481" s="52" t="s">
        <v>758</v>
      </c>
      <c r="D481" s="52" t="s">
        <v>758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7"/>
      <c r="AU481" s="93"/>
      <c r="AV481" s="297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">
        <v>2015</v>
      </c>
      <c r="B482" t="s">
        <v>223</v>
      </c>
      <c r="C482" s="52" t="s">
        <v>758</v>
      </c>
      <c r="D482" s="52" t="s">
        <v>758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7"/>
      <c r="AU482" s="93"/>
      <c r="AV482" s="297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">
        <v>2016</v>
      </c>
      <c r="B483" t="s">
        <v>223</v>
      </c>
      <c r="C483" s="52" t="s">
        <v>758</v>
      </c>
      <c r="D483" s="52" t="s">
        <v>758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7"/>
      <c r="AU483" s="93"/>
      <c r="AV483" s="297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7"/>
      <c r="AU484" s="93"/>
      <c r="AV484" s="297"/>
      <c r="AW484" s="93"/>
    </row>
  </sheetData>
  <sheetProtection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I37"/>
  <sheetViews>
    <sheetView showGridLines="0" zoomScaleNormal="100" workbookViewId="0">
      <selection activeCell="D5" sqref="D5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52" t="s">
        <v>2017</v>
      </c>
      <c r="D3" s="353"/>
      <c r="E3" s="353"/>
      <c r="F3" s="353"/>
      <c r="G3" s="354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2018</v>
      </c>
      <c r="D5" s="129" t="s">
        <v>147</v>
      </c>
      <c r="E5" s="351" t="s">
        <v>2019</v>
      </c>
      <c r="F5" s="351"/>
      <c r="G5" s="351"/>
      <c r="H5" s="219"/>
    </row>
    <row r="6" spans="2:9" ht="18.75" customHeight="1">
      <c r="B6" s="218"/>
      <c r="C6" s="243" t="s">
        <v>2020</v>
      </c>
      <c r="D6" s="186" t="str">
        <f>VLOOKUP(D5,All!A8:H267,6,FALSE)</f>
        <v>Eaton Powerware APR48-ES</v>
      </c>
      <c r="E6" s="351" t="s">
        <v>2019</v>
      </c>
      <c r="F6" s="351"/>
      <c r="G6" s="351"/>
      <c r="H6" s="219"/>
    </row>
    <row r="7" spans="2:9" ht="18.75" customHeight="1">
      <c r="B7" s="218"/>
      <c r="C7" s="243" t="s">
        <v>2021</v>
      </c>
      <c r="D7" s="186">
        <f>VLOOKUP(D5,All!A8:H267,8,FALSE)</f>
        <v>9</v>
      </c>
      <c r="E7" s="351" t="s">
        <v>2022</v>
      </c>
      <c r="F7" s="351"/>
      <c r="G7" s="351"/>
      <c r="H7" s="219"/>
    </row>
    <row r="8" spans="2:9" ht="18.75" customHeight="1">
      <c r="B8" s="218"/>
      <c r="C8" s="243" t="s">
        <v>2023</v>
      </c>
      <c r="D8" s="187">
        <f>VLOOKUP(D5,All!A8:I267,9,FALSE)</f>
        <v>136</v>
      </c>
      <c r="E8" s="355" t="s">
        <v>2024</v>
      </c>
      <c r="F8" s="356"/>
      <c r="G8" s="357"/>
      <c r="H8" s="223"/>
    </row>
    <row r="9" spans="2:9" ht="18.75" customHeight="1">
      <c r="B9" s="218"/>
      <c r="C9" s="243" t="s">
        <v>2025</v>
      </c>
      <c r="D9" s="187">
        <f>VLOOKUP(D5,'SYS Allocations'!A8:H268,8,FALSE)</f>
        <v>117.43119266055047</v>
      </c>
      <c r="E9" s="355" t="s">
        <v>2026</v>
      </c>
      <c r="F9" s="356"/>
      <c r="G9" s="357"/>
      <c r="H9" s="219"/>
    </row>
    <row r="10" spans="2:9" ht="18.75" customHeight="1">
      <c r="B10" s="218"/>
      <c r="C10" s="243" t="s">
        <v>2027</v>
      </c>
      <c r="D10" s="241"/>
      <c r="E10" s="358" t="s">
        <v>2028</v>
      </c>
      <c r="F10" s="359"/>
      <c r="G10" s="360"/>
      <c r="H10" s="219"/>
    </row>
    <row r="11" spans="2:9" s="117" customFormat="1" ht="18.75" customHeight="1">
      <c r="B11" s="121"/>
      <c r="C11" s="242" t="s">
        <v>2029</v>
      </c>
      <c r="D11" s="187">
        <f>SUM(D8:D10)</f>
        <v>253.43119266055047</v>
      </c>
      <c r="E11" s="351" t="s">
        <v>2030</v>
      </c>
      <c r="F11" s="351"/>
      <c r="G11" s="351"/>
      <c r="H11" s="224"/>
    </row>
    <row r="12" spans="2:9" s="117" customFormat="1" ht="18.75" customHeight="1">
      <c r="B12" s="121"/>
      <c r="C12" s="242" t="s">
        <v>2031</v>
      </c>
      <c r="D12" s="189">
        <f>(D11*54.5)/1000</f>
        <v>13.811999999999999</v>
      </c>
      <c r="E12" s="351" t="s">
        <v>2030</v>
      </c>
      <c r="F12" s="351"/>
      <c r="G12" s="351"/>
      <c r="H12" s="224"/>
    </row>
    <row r="13" spans="2:9" s="117" customFormat="1" ht="18.75" customHeight="1">
      <c r="B13" s="121"/>
      <c r="C13" s="243" t="s">
        <v>2032</v>
      </c>
      <c r="D13" s="190" t="str">
        <f>VLOOKUP(D5,All!A8:R282,16,FALSE)</f>
        <v>2</v>
      </c>
      <c r="E13" s="351" t="s">
        <v>2033</v>
      </c>
      <c r="F13" s="351"/>
      <c r="G13" s="351"/>
      <c r="H13" s="224"/>
    </row>
    <row r="14" spans="2:9" s="117" customFormat="1" ht="18.75" customHeight="1">
      <c r="B14" s="121"/>
      <c r="C14" s="243" t="s">
        <v>2034</v>
      </c>
      <c r="D14" s="190" t="str">
        <f>VLOOKUP(D5,All!A8:AP282,42,FALSE)</f>
        <v>2DDm85-15</v>
      </c>
      <c r="E14" s="351" t="s">
        <v>2035</v>
      </c>
      <c r="F14" s="351"/>
      <c r="G14" s="351"/>
      <c r="H14" s="224"/>
    </row>
    <row r="15" spans="2:9" ht="18.75" customHeight="1">
      <c r="B15" s="218"/>
      <c r="C15" s="244" t="s">
        <v>2036</v>
      </c>
      <c r="D15" s="245">
        <f>(VLOOKUP(D14,Table7[],15,FALSE)*D13)</f>
        <v>119</v>
      </c>
      <c r="E15" s="351" t="s">
        <v>2030</v>
      </c>
      <c r="F15" s="351"/>
      <c r="G15" s="351"/>
      <c r="H15" s="219"/>
    </row>
    <row r="16" spans="2:9" s="117" customFormat="1" ht="18.75" customHeight="1">
      <c r="B16" s="121"/>
      <c r="C16" s="243" t="s">
        <v>2037</v>
      </c>
      <c r="D16" s="192">
        <f>D11+D15</f>
        <v>372.43119266055044</v>
      </c>
      <c r="E16" s="351" t="s">
        <v>2030</v>
      </c>
      <c r="F16" s="351"/>
      <c r="G16" s="351"/>
      <c r="H16" s="224"/>
      <c r="I16" s="225"/>
    </row>
    <row r="17" spans="2: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8" s="117" customFormat="1" ht="28.5" customHeight="1">
      <c r="B18" s="121"/>
      <c r="C18" s="195"/>
      <c r="D18" s="246" t="s">
        <v>2038</v>
      </c>
      <c r="E18" s="196" t="s">
        <v>2039</v>
      </c>
      <c r="F18" s="205" t="s">
        <v>2040</v>
      </c>
      <c r="G18" s="196" t="s">
        <v>2041</v>
      </c>
      <c r="H18" s="224"/>
    </row>
    <row r="19" spans="2:8" s="117" customFormat="1" ht="18.75" customHeight="1">
      <c r="B19" s="121"/>
      <c r="C19" s="197" t="s">
        <v>2042</v>
      </c>
      <c r="D19" s="198">
        <f>((VLOOKUP(D6,Table83[],2,FALSE))*(D7-1))-(VLOOKUP(D14,Table7[],15,FALSE)*D13)</f>
        <v>173.8</v>
      </c>
      <c r="E19" s="247">
        <f>((VLOOKUP(D6,Table83[],2,FALSE))*(D7-1))*0.8</f>
        <v>234.24</v>
      </c>
      <c r="F19" s="362">
        <f>ROUNDUP((((VLOOKUP(D6,Rectifier_Lookup!A2:B37,2,FALSE))*(D7-1))-D16)/(VLOOKUP(D6,Rectifier_Lookup!A2:C37,2,FALSE)),0)</f>
        <v>-3</v>
      </c>
      <c r="G19" s="362">
        <f>ROUNDUP((D11-E19)/(VLOOKUP(D6,'[2]Rectifier Lookup'!A2:C37,3,FALSE)),0)</f>
        <v>1</v>
      </c>
      <c r="H19" s="224"/>
    </row>
    <row r="20" spans="2:8" ht="15.75" customHeight="1">
      <c r="B20" s="218"/>
      <c r="C20" s="197" t="s">
        <v>2043</v>
      </c>
      <c r="D20" s="200">
        <f>(D19*54.5)/1000</f>
        <v>9.4721000000000011</v>
      </c>
      <c r="E20" s="200">
        <f>(E19*54.5)/1000</f>
        <v>12.766080000000001</v>
      </c>
      <c r="F20" s="363"/>
      <c r="G20" s="363"/>
      <c r="H20" s="219"/>
    </row>
    <row r="21" spans="2:8" ht="15.75" customHeight="1">
      <c r="B21" s="218"/>
      <c r="C21" s="222"/>
      <c r="D21" s="222"/>
      <c r="E21" s="222"/>
      <c r="F21" s="222"/>
      <c r="G21" s="222"/>
      <c r="H21" s="219"/>
    </row>
    <row r="22" spans="2:8" ht="15.75" customHeight="1">
      <c r="B22" s="218"/>
      <c r="C22" s="202"/>
      <c r="D22" s="203" t="s">
        <v>2044</v>
      </c>
      <c r="E22" s="203" t="s">
        <v>2045</v>
      </c>
      <c r="F22" s="202"/>
      <c r="G22" s="202"/>
      <c r="H22" s="219"/>
    </row>
    <row r="23" spans="2:8" ht="15.75" customHeight="1">
      <c r="B23" s="218"/>
      <c r="C23" s="204" t="s">
        <v>2046</v>
      </c>
      <c r="D23" s="364">
        <f>D24/D19</f>
        <v>-0.45817717296058946</v>
      </c>
      <c r="E23" s="365"/>
      <c r="F23" s="366" t="s">
        <v>2047</v>
      </c>
      <c r="G23" s="367"/>
      <c r="H23" s="219"/>
    </row>
    <row r="24" spans="2:8" ht="15.75" customHeight="1">
      <c r="B24" s="218"/>
      <c r="C24" s="197" t="s">
        <v>2042</v>
      </c>
      <c r="D24" s="198">
        <f>D19-D11</f>
        <v>-79.631192660550454</v>
      </c>
      <c r="E24" s="247">
        <f>E19-D11</f>
        <v>-19.191192660550456</v>
      </c>
      <c r="F24" s="202"/>
      <c r="G24" s="202"/>
      <c r="H24" s="219"/>
    </row>
    <row r="25" spans="2:8" ht="15.75" customHeight="1">
      <c r="B25" s="218"/>
      <c r="C25" s="197" t="s">
        <v>2043</v>
      </c>
      <c r="D25" s="200">
        <f>(D24*54.5)/1000</f>
        <v>-4.3398999999999992</v>
      </c>
      <c r="E25" s="200">
        <f>(E24*54.5)/1000</f>
        <v>-1.0459199999999997</v>
      </c>
      <c r="F25" s="202"/>
      <c r="G25" s="202"/>
      <c r="H25" s="219"/>
    </row>
    <row r="26" spans="2:8" ht="15.75" customHeight="1">
      <c r="B26" s="218"/>
      <c r="C26" s="222"/>
      <c r="D26" s="222"/>
      <c r="E26" s="222"/>
      <c r="F26" s="222"/>
      <c r="G26" s="222"/>
      <c r="H26" s="219"/>
    </row>
    <row r="27" spans="2:8" ht="15.75" customHeight="1">
      <c r="B27" s="218"/>
      <c r="C27" s="368" t="s">
        <v>2048</v>
      </c>
      <c r="D27" s="368"/>
      <c r="E27" s="368"/>
      <c r="F27" s="368"/>
      <c r="G27" s="368"/>
      <c r="H27" s="219"/>
    </row>
    <row r="28" spans="2:8" ht="15.75" customHeight="1">
      <c r="B28" s="218"/>
      <c r="C28" s="197" t="s">
        <v>2049</v>
      </c>
      <c r="D28" s="205" t="s">
        <v>2050</v>
      </c>
      <c r="E28" s="205" t="s">
        <v>2051</v>
      </c>
      <c r="F28" s="205" t="s">
        <v>2052</v>
      </c>
      <c r="G28" s="205" t="s">
        <v>2053</v>
      </c>
      <c r="H28" s="219"/>
    </row>
    <row r="29" spans="2:8" ht="15.75" customHeight="1">
      <c r="B29" s="218"/>
      <c r="C29" s="197" t="s">
        <v>2042</v>
      </c>
      <c r="D29" s="248">
        <f>VLOOKUP(D14,Table7[],6,FALSE)*D13</f>
        <v>450.23119266055051</v>
      </c>
      <c r="E29" s="248">
        <f>VLOOKUP(D14,Table7[],7,FALSE)*D13</f>
        <v>302.00366972477065</v>
      </c>
      <c r="F29" s="248">
        <f>VLOOKUP(D14,Table7[],8,FALSE)*D13</f>
        <v>229.87155963302752</v>
      </c>
      <c r="G29" s="248">
        <f>VLOOKUP(D14,Table7[],9,FALSE)*D13</f>
        <v>188.65321100917433</v>
      </c>
      <c r="H29" s="219"/>
    </row>
    <row r="30" spans="2:8" ht="15.75" customHeight="1">
      <c r="B30" s="218"/>
      <c r="C30" s="197" t="s">
        <v>2043</v>
      </c>
      <c r="D30" s="248">
        <f>VLOOKUP(D14,Table7[],10,FALSE)*D13</f>
        <v>24.537600000000001</v>
      </c>
      <c r="E30" s="248">
        <f>VLOOKUP(D14,Table7[],11,FALSE)*D13</f>
        <v>16.459199999999999</v>
      </c>
      <c r="F30" s="248">
        <f>VLOOKUP(D14,Table7[],12,FALSE)*D13</f>
        <v>12.528</v>
      </c>
      <c r="G30" s="248">
        <f>VLOOKUP(D14,Table7[],13,FALSE)*D13</f>
        <v>10.281600000000001</v>
      </c>
      <c r="H30" s="219"/>
    </row>
    <row r="31" spans="2:8" ht="21" customHeight="1" thickBot="1">
      <c r="B31" s="226"/>
      <c r="C31" s="249"/>
      <c r="D31" s="249"/>
      <c r="E31" s="249"/>
      <c r="F31" s="249"/>
      <c r="G31" s="249"/>
      <c r="H31" s="227"/>
    </row>
    <row r="32" spans="2: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61" t="s">
        <v>2054</v>
      </c>
      <c r="D33" s="361"/>
      <c r="E33" s="361"/>
      <c r="F33" s="361"/>
      <c r="G33" s="361"/>
      <c r="H33" s="231"/>
    </row>
    <row r="34" spans="2:8" ht="15.75" customHeight="1">
      <c r="B34" s="230"/>
      <c r="C34" s="209" t="s">
        <v>2049</v>
      </c>
      <c r="D34" s="210" t="s">
        <v>2050</v>
      </c>
      <c r="E34" s="210" t="s">
        <v>2051</v>
      </c>
      <c r="F34" s="210" t="s">
        <v>2052</v>
      </c>
      <c r="G34" s="210" t="s">
        <v>2053</v>
      </c>
      <c r="H34" s="231"/>
    </row>
    <row r="35" spans="2:8" ht="15.75" customHeight="1">
      <c r="B35" s="230"/>
      <c r="C35" s="209" t="s">
        <v>2042</v>
      </c>
      <c r="D35" s="248">
        <f>VLOOKUP(D14,Table72[],6,FALSE)*D13</f>
        <v>400.20550458715599</v>
      </c>
      <c r="E35" s="248">
        <f>VLOOKUP(D14,Table72[],7,FALSE)*D13</f>
        <v>268.44770642201837</v>
      </c>
      <c r="F35" s="248">
        <f>VLOOKUP(D14,Table72[],8,FALSE)*D13</f>
        <v>204.3302752293578</v>
      </c>
      <c r="G35" s="248">
        <f>VLOOKUP(D14,Table72[],9,FALSE)*D13</f>
        <v>167.69174311926608</v>
      </c>
      <c r="H35" s="231"/>
    </row>
    <row r="36" spans="2:8" ht="15.75" customHeight="1">
      <c r="B36" s="230"/>
      <c r="C36" s="209" t="s">
        <v>2043</v>
      </c>
      <c r="D36" s="248">
        <f>VLOOKUP(D14,Table72[],10,FALSE)*D13</f>
        <v>21.811199999999999</v>
      </c>
      <c r="E36" s="248">
        <f>VLOOKUP(D14,Table72[],11,FALSE)*D13</f>
        <v>14.630400000000002</v>
      </c>
      <c r="F36" s="248">
        <f>VLOOKUP(D14,Table72[],12,FALSE)*D13</f>
        <v>11.135999999999999</v>
      </c>
      <c r="G36" s="248">
        <f>VLOOKUP(D14,Table72[],13,FALSE)*D13</f>
        <v>9.1392000000000007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118" priority="3" operator="lessThanOrEqual">
      <formula>0.1</formula>
    </cfRule>
  </conditionalFormatting>
  <conditionalFormatting sqref="D19:E19">
    <cfRule type="cellIs" dxfId="117" priority="16" operator="lessThan">
      <formula>$D$11</formula>
    </cfRule>
    <cfRule type="cellIs" dxfId="116" priority="17" operator="greaterThanOrEqual">
      <formula>$D$11</formula>
    </cfRule>
  </conditionalFormatting>
  <conditionalFormatting sqref="D20:E20 D30:G30">
    <cfRule type="cellIs" dxfId="115" priority="22" operator="lessThan">
      <formula>$D$12</formula>
    </cfRule>
    <cfRule type="cellIs" dxfId="114" priority="23" operator="greaterThanOrEqual">
      <formula>$D$12</formula>
    </cfRule>
  </conditionalFormatting>
  <conditionalFormatting sqref="D23:E23">
    <cfRule type="cellIs" dxfId="113" priority="1" operator="greaterThan">
      <formula>0.25</formula>
    </cfRule>
    <cfRule type="cellIs" dxfId="112" priority="2" operator="between">
      <formula>0.249999999999999</formula>
      <formula>0.109999999999999</formula>
    </cfRule>
  </conditionalFormatting>
  <conditionalFormatting sqref="D24:E25">
    <cfRule type="cellIs" dxfId="111" priority="4" operator="lessThanOrEqual">
      <formula>0</formula>
    </cfRule>
    <cfRule type="cellIs" dxfId="110" priority="5" operator="greaterThan">
      <formula>0</formula>
    </cfRule>
  </conditionalFormatting>
  <conditionalFormatting sqref="D29:G29">
    <cfRule type="cellIs" dxfId="109" priority="18" operator="lessThanOrEqual">
      <formula>$D$11</formula>
    </cfRule>
    <cfRule type="cellIs" dxfId="108" priority="19" operator="greaterThan">
      <formula>$D$11</formula>
    </cfRule>
  </conditionalFormatting>
  <conditionalFormatting sqref="D35:G35">
    <cfRule type="cellIs" dxfId="107" priority="6" operator="lessThanOrEqual">
      <formula>$D$11</formula>
    </cfRule>
    <cfRule type="cellIs" dxfId="106" priority="7" operator="greaterThan">
      <formula>$D$11</formula>
    </cfRule>
  </conditionalFormatting>
  <conditionalFormatting sqref="D36:G36">
    <cfRule type="cellIs" dxfId="105" priority="10" operator="lessThan">
      <formula>$D$12</formula>
    </cfRule>
    <cfRule type="cellIs" dxfId="104" priority="11" operator="greaterThanOrEqual">
      <formula>$D$12</formula>
    </cfRule>
  </conditionalFormatting>
  <conditionalFormatting sqref="F19:F20">
    <cfRule type="cellIs" dxfId="103" priority="14" operator="greaterThanOrEqual">
      <formula>0</formula>
    </cfRule>
    <cfRule type="cellIs" dxfId="102" priority="15" operator="lessThan">
      <formula>0</formula>
    </cfRule>
  </conditionalFormatting>
  <conditionalFormatting sqref="G19:G20">
    <cfRule type="cellIs" dxfId="101" priority="12" operator="greaterThan">
      <formula>0</formula>
    </cfRule>
    <cfRule type="cellIs" dxfId="100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Data!$I$2:$I$176</xm:f>
          </x14:formula1>
          <xm:sqref>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topLeftCell="A9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72" t="s">
        <v>2055</v>
      </c>
      <c r="D3" s="373"/>
      <c r="E3" s="373"/>
      <c r="F3" s="373"/>
      <c r="G3" s="374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2056</v>
      </c>
      <c r="D6" s="124" t="s">
        <v>502</v>
      </c>
      <c r="E6" s="375" t="s">
        <v>2057</v>
      </c>
      <c r="F6" s="375"/>
      <c r="G6" s="375"/>
      <c r="H6" s="122"/>
    </row>
    <row r="7" spans="2:10" ht="19.899999999999999" customHeight="1">
      <c r="B7" s="121"/>
      <c r="C7" s="188" t="s">
        <v>2058</v>
      </c>
      <c r="D7" s="192">
        <f>SUM(D15+G15)</f>
        <v>553</v>
      </c>
      <c r="E7" s="376" t="s">
        <v>2059</v>
      </c>
      <c r="F7" s="376"/>
      <c r="G7" s="376"/>
      <c r="H7" s="122"/>
    </row>
    <row r="8" spans="2:10" ht="19.899999999999999" customHeight="1">
      <c r="B8" s="121"/>
      <c r="C8" s="188" t="s">
        <v>2058</v>
      </c>
      <c r="D8" s="211">
        <f>D7*54.5/1000</f>
        <v>30.138500000000001</v>
      </c>
      <c r="E8" s="376" t="s">
        <v>2030</v>
      </c>
      <c r="F8" s="376"/>
      <c r="G8" s="376"/>
      <c r="H8" s="122"/>
      <c r="J8" s="125"/>
    </row>
    <row r="9" spans="2:10" ht="19.899999999999999" customHeight="1">
      <c r="B9" s="121"/>
      <c r="C9" s="184" t="s">
        <v>2060</v>
      </c>
      <c r="D9" s="192">
        <f>SUM(D16+G16)</f>
        <v>269.72477064220186</v>
      </c>
      <c r="E9" s="376" t="s">
        <v>2061</v>
      </c>
      <c r="F9" s="376"/>
      <c r="G9" s="376"/>
      <c r="H9" s="122"/>
    </row>
    <row r="10" spans="2:10" ht="19.899999999999999" customHeight="1">
      <c r="B10" s="121"/>
      <c r="C10" s="184" t="s">
        <v>2060</v>
      </c>
      <c r="D10" s="212">
        <f>D9*54.5/1000</f>
        <v>14.700000000000001</v>
      </c>
      <c r="E10" s="369" t="s">
        <v>2062</v>
      </c>
      <c r="F10" s="370"/>
      <c r="G10" s="371"/>
      <c r="H10" s="122"/>
    </row>
    <row r="11" spans="2:10" ht="19.899999999999999" customHeight="1">
      <c r="B11" s="121"/>
      <c r="C11" s="184" t="s">
        <v>2063</v>
      </c>
      <c r="D11" s="213">
        <v>63</v>
      </c>
      <c r="E11" s="375" t="s">
        <v>2064</v>
      </c>
      <c r="F11" s="375"/>
      <c r="G11" s="375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2065</v>
      </c>
      <c r="E13" s="182"/>
      <c r="F13" s="182"/>
      <c r="G13" s="183" t="s">
        <v>2066</v>
      </c>
      <c r="H13" s="122"/>
    </row>
    <row r="14" spans="2:10" ht="18.75" customHeight="1">
      <c r="B14" s="121"/>
      <c r="C14" s="184" t="s">
        <v>2067</v>
      </c>
      <c r="D14" s="185" t="str">
        <f>VLOOKUP(D6,Data!C1:D37,2,FALSE)</f>
        <v>CHTTN3;DC SYS01A</v>
      </c>
      <c r="E14" s="369"/>
      <c r="F14" s="371"/>
      <c r="G14" s="185" t="str">
        <f>VLOOKUP(D6,Data!C1:E37,3,FALSE)</f>
        <v>CHTTN3;DC SYS01B</v>
      </c>
      <c r="H14" s="122"/>
    </row>
    <row r="15" spans="2:10" ht="18.75" customHeight="1">
      <c r="B15" s="121"/>
      <c r="C15" s="184" t="s">
        <v>2068</v>
      </c>
      <c r="D15" s="187">
        <f>VLOOKUP(D14,All!A8:I267,9,FALSE)</f>
        <v>282</v>
      </c>
      <c r="E15" s="369"/>
      <c r="F15" s="371"/>
      <c r="G15" s="187">
        <f>VLOOKUP(G14,All!A8:I267,9,FALSE)</f>
        <v>271</v>
      </c>
      <c r="H15" s="122"/>
    </row>
    <row r="16" spans="2:10" ht="18.75" customHeight="1">
      <c r="B16" s="121"/>
      <c r="C16" s="184" t="s">
        <v>2069</v>
      </c>
      <c r="D16" s="187">
        <f>VLOOKUP(D14,'SYS Allocations'!A8:I268,8,FALSE)</f>
        <v>134.86238532110093</v>
      </c>
      <c r="E16" s="369" t="s">
        <v>2070</v>
      </c>
      <c r="F16" s="371"/>
      <c r="G16" s="187">
        <f>VLOOKUP(G14,'SYS Allocations'!A8:H268,8,FALSE)</f>
        <v>134.86238532110093</v>
      </c>
      <c r="H16" s="122"/>
    </row>
    <row r="17" spans="2:10" ht="18.75" customHeight="1">
      <c r="B17" s="121"/>
      <c r="C17" s="184" t="s">
        <v>2020</v>
      </c>
      <c r="D17" s="186" t="str">
        <f>VLOOKUP(D14,All!A8:H267,6,FALSE)</f>
        <v>Eaton Powerware APR48-ES</v>
      </c>
      <c r="E17" s="369"/>
      <c r="F17" s="371"/>
      <c r="G17" s="186" t="str">
        <f>VLOOKUP(G14,All!A8:H267,6,FALSE)</f>
        <v>Eaton Powerware APR48-ES</v>
      </c>
      <c r="H17" s="130"/>
    </row>
    <row r="18" spans="2:10" ht="18.75" customHeight="1">
      <c r="B18" s="121"/>
      <c r="C18" s="184" t="s">
        <v>2021</v>
      </c>
      <c r="D18" s="186">
        <f>VLOOKUP(D14,All!A8:H267,8,FALSE)</f>
        <v>39</v>
      </c>
      <c r="E18" s="369"/>
      <c r="F18" s="371"/>
      <c r="G18" s="186">
        <f>VLOOKUP(G14,All!A8:H267,8,FALSE)</f>
        <v>39</v>
      </c>
      <c r="H18" s="122"/>
      <c r="J18" s="177" t="s">
        <v>2071</v>
      </c>
    </row>
    <row r="19" spans="2:10" ht="18.75" customHeight="1">
      <c r="B19" s="121"/>
      <c r="C19" s="184" t="s">
        <v>2072</v>
      </c>
      <c r="D19" s="187">
        <f>D7/2</f>
        <v>276.5</v>
      </c>
      <c r="E19" s="369" t="s">
        <v>2030</v>
      </c>
      <c r="F19" s="371"/>
      <c r="G19" s="187">
        <f>D19</f>
        <v>276.5</v>
      </c>
      <c r="H19" s="122"/>
    </row>
    <row r="20" spans="2:10" ht="18.75" customHeight="1">
      <c r="B20" s="121"/>
      <c r="C20" s="188" t="s">
        <v>2073</v>
      </c>
      <c r="D20" s="187">
        <f>SUM(D7,D9,D11)/2</f>
        <v>442.86238532110093</v>
      </c>
      <c r="E20" s="369" t="s">
        <v>2030</v>
      </c>
      <c r="F20" s="371"/>
      <c r="G20" s="187">
        <f>D20</f>
        <v>442.86238532110093</v>
      </c>
      <c r="H20" s="122"/>
    </row>
    <row r="21" spans="2:10" ht="18.75" customHeight="1">
      <c r="B21" s="121"/>
      <c r="C21" s="188" t="s">
        <v>2074</v>
      </c>
      <c r="D21" s="189">
        <f>(D20*54.5)/1000</f>
        <v>24.135999999999999</v>
      </c>
      <c r="E21" s="369" t="s">
        <v>2030</v>
      </c>
      <c r="F21" s="371"/>
      <c r="G21" s="189">
        <f>(G20*54.5)/1000</f>
        <v>24.135999999999999</v>
      </c>
      <c r="H21" s="122"/>
    </row>
    <row r="22" spans="2:10" ht="18.75" customHeight="1">
      <c r="B22" s="121"/>
      <c r="C22" s="184" t="s">
        <v>2032</v>
      </c>
      <c r="D22" s="190" t="str">
        <f>VLOOKUP(D14,All!A8:R282,16,FALSE)</f>
        <v>3</v>
      </c>
      <c r="E22" s="369" t="s">
        <v>2033</v>
      </c>
      <c r="F22" s="371"/>
      <c r="G22" s="190" t="str">
        <f>VLOOKUP(G14,All!A8:R282,16,FALSE)</f>
        <v>3</v>
      </c>
      <c r="H22" s="122"/>
    </row>
    <row r="23" spans="2:10" ht="18.75" customHeight="1">
      <c r="B23" s="121"/>
      <c r="C23" s="184" t="s">
        <v>2034</v>
      </c>
      <c r="D23" s="190" t="str">
        <f>VLOOKUP(D14,All!A8:AP282,42,FALSE)</f>
        <v>DDm125-33</v>
      </c>
      <c r="E23" s="369" t="s">
        <v>2035</v>
      </c>
      <c r="F23" s="371"/>
      <c r="G23" s="190" t="str">
        <f>VLOOKUP(G14,All!A8:AP282,42,FALSE)</f>
        <v>DDm125-33</v>
      </c>
      <c r="H23" s="122"/>
      <c r="J23" s="177" t="s">
        <v>2071</v>
      </c>
    </row>
    <row r="24" spans="2:10" ht="18.75" customHeight="1">
      <c r="B24" s="121"/>
      <c r="C24" s="184" t="s">
        <v>2036</v>
      </c>
      <c r="D24" s="191">
        <f>(VLOOKUP(D23,Table7[],15,FALSE)*D22)</f>
        <v>600</v>
      </c>
      <c r="E24" s="369" t="s">
        <v>2075</v>
      </c>
      <c r="F24" s="371"/>
      <c r="G24" s="191">
        <f>(VLOOKUP(G23,Table7[],15,FALSE)*G22)</f>
        <v>600</v>
      </c>
      <c r="H24" s="122"/>
    </row>
    <row r="25" spans="2:10" ht="18.75" customHeight="1">
      <c r="B25" s="121"/>
      <c r="C25" s="184" t="s">
        <v>2076</v>
      </c>
      <c r="D25" s="192">
        <f>D20</f>
        <v>442.86238532110093</v>
      </c>
      <c r="E25" s="369" t="s">
        <v>2030</v>
      </c>
      <c r="F25" s="371"/>
      <c r="G25" s="192">
        <f>G20</f>
        <v>442.86238532110093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2077</v>
      </c>
      <c r="E27" s="384" t="s">
        <v>2040</v>
      </c>
      <c r="F27" s="385"/>
      <c r="G27" s="196" t="s">
        <v>2077</v>
      </c>
      <c r="H27" s="122"/>
    </row>
    <row r="28" spans="2:10" ht="18.75" customHeight="1">
      <c r="B28" s="121"/>
      <c r="C28" s="197" t="s">
        <v>2042</v>
      </c>
      <c r="D28" s="198">
        <f>((VLOOKUP(D17,Table83[#Data],2,FALSE))*(D18-1))/2</f>
        <v>695.4</v>
      </c>
      <c r="E28" s="386">
        <f>ROUNDUP((((VLOOKUP(D17,Rectifier_Lookup!A2:C23,2,FALSE))*(D18-1))-(D25+G25))/(VLOOKUP(D17,Rectifier_Lookup!A2:C23,2,FALSE)),0)</f>
        <v>14</v>
      </c>
      <c r="F28" s="386"/>
      <c r="G28" s="199">
        <f>((VLOOKUP(G17,Table83[#Data],2,FALSE))*(G18-1))/2</f>
        <v>695.4</v>
      </c>
      <c r="H28" s="122"/>
    </row>
    <row r="29" spans="2:10" ht="15.75" customHeight="1">
      <c r="B29" s="121"/>
      <c r="C29" s="197" t="s">
        <v>2043</v>
      </c>
      <c r="D29" s="200">
        <f>(D28*54.5)/1000</f>
        <v>37.899299999999997</v>
      </c>
      <c r="E29" s="386"/>
      <c r="F29" s="386"/>
      <c r="G29" s="201">
        <f>(G28*54.5)/1000</f>
        <v>37.899299999999997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2078</v>
      </c>
      <c r="E31" s="387" t="s">
        <v>2079</v>
      </c>
      <c r="F31" s="387"/>
      <c r="G31" s="203" t="s">
        <v>2080</v>
      </c>
      <c r="H31" s="122"/>
    </row>
    <row r="32" spans="2:10" ht="19.5" customHeight="1">
      <c r="B32" s="121"/>
      <c r="C32" s="204" t="s">
        <v>2046</v>
      </c>
      <c r="D32" s="131">
        <f>(D33/D28)</f>
        <v>0.36315446459433282</v>
      </c>
      <c r="E32" s="366" t="s">
        <v>2081</v>
      </c>
      <c r="F32" s="367"/>
      <c r="G32" s="131">
        <f>(G33/G28)</f>
        <v>0.36315446459433282</v>
      </c>
      <c r="H32" s="122"/>
    </row>
    <row r="33" spans="2:8" ht="19.5" customHeight="1">
      <c r="B33" s="121"/>
      <c r="C33" s="197" t="s">
        <v>2042</v>
      </c>
      <c r="D33" s="198">
        <f>D28-D25</f>
        <v>252.53761467889905</v>
      </c>
      <c r="E33" s="388">
        <f>D33+G33</f>
        <v>505.07522935779809</v>
      </c>
      <c r="F33" s="388"/>
      <c r="G33" s="198">
        <f>G28-G25</f>
        <v>252.53761467889905</v>
      </c>
      <c r="H33" s="122"/>
    </row>
    <row r="34" spans="2:8" ht="19.5" customHeight="1">
      <c r="B34" s="121"/>
      <c r="C34" s="197" t="s">
        <v>2043</v>
      </c>
      <c r="D34" s="200">
        <f>(D33*54.5)/1000</f>
        <v>13.763299999999997</v>
      </c>
      <c r="E34" s="377">
        <f>D34+G34</f>
        <v>27.526599999999995</v>
      </c>
      <c r="F34" s="377"/>
      <c r="G34" s="200">
        <f>(G33*54.5)/1000</f>
        <v>13.763299999999997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78" t="s">
        <v>2082</v>
      </c>
      <c r="D36" s="379"/>
      <c r="E36" s="379"/>
      <c r="F36" s="379"/>
      <c r="G36" s="380"/>
      <c r="H36" s="122"/>
    </row>
    <row r="37" spans="2:8" ht="15.75" customHeight="1">
      <c r="B37" s="121"/>
      <c r="C37" s="197" t="s">
        <v>2049</v>
      </c>
      <c r="D37" s="205" t="s">
        <v>2050</v>
      </c>
      <c r="E37" s="205" t="s">
        <v>2051</v>
      </c>
      <c r="F37" s="205" t="s">
        <v>2052</v>
      </c>
      <c r="G37" s="205" t="s">
        <v>2053</v>
      </c>
      <c r="H37" s="122"/>
    </row>
    <row r="38" spans="2:8" ht="21.6" customHeight="1">
      <c r="B38" s="121"/>
      <c r="C38" s="206" t="s">
        <v>2083</v>
      </c>
      <c r="D38" s="207">
        <f>VLOOKUP(D23,Table7[],6,FALSE)*D22</f>
        <v>2294.7522935779816</v>
      </c>
      <c r="E38" s="207">
        <f>VLOOKUP(D23,Table7[],7,FALSE)*D22</f>
        <v>1536.176146788991</v>
      </c>
      <c r="F38" s="207">
        <f>VLOOKUP(D23,Table7[],8,FALSE)*D22</f>
        <v>1169.9669724770642</v>
      </c>
      <c r="G38" s="207">
        <f>VLOOKUP(D23,Table7[],9,FALSE)*D22</f>
        <v>963.08256880733938</v>
      </c>
      <c r="H38" s="122"/>
    </row>
    <row r="39" spans="2:8" ht="21.6" customHeight="1">
      <c r="B39" s="121"/>
      <c r="C39" s="206" t="s">
        <v>2084</v>
      </c>
      <c r="D39" s="207">
        <f>VLOOKUP(D23,Table7[],10,FALSE)*D22</f>
        <v>125.06400000000001</v>
      </c>
      <c r="E39" s="207">
        <f>VLOOKUP(D23,Table7[],11,FALSE)*D22</f>
        <v>83.721600000000009</v>
      </c>
      <c r="F39" s="207">
        <f>VLOOKUP(D23,Table7[],12,FALSE)*D22</f>
        <v>63.763199999999991</v>
      </c>
      <c r="G39" s="207">
        <f>VLOOKUP(D23,Table7[],13,FALSE)*D22</f>
        <v>52.488</v>
      </c>
      <c r="H39" s="122"/>
    </row>
    <row r="40" spans="2:8" ht="21.6" customHeight="1">
      <c r="B40" s="121"/>
      <c r="C40" s="208" t="s">
        <v>2085</v>
      </c>
      <c r="D40" s="207">
        <f>VLOOKUP(G23,Table7[],6,FALSE)*G22</f>
        <v>2294.7522935779816</v>
      </c>
      <c r="E40" s="207">
        <f>VLOOKUP(G23,Table7[],7,FALSE)*G22</f>
        <v>1536.176146788991</v>
      </c>
      <c r="F40" s="207">
        <f>VLOOKUP(G23,Table7[],8,FALSE)*G22</f>
        <v>1169.9669724770642</v>
      </c>
      <c r="G40" s="207">
        <f>VLOOKUP(G23,Table7[],9,FALSE)*G22</f>
        <v>963.08256880733938</v>
      </c>
      <c r="H40" s="122"/>
    </row>
    <row r="41" spans="2:8" ht="21.6" customHeight="1">
      <c r="B41" s="121"/>
      <c r="C41" s="208" t="s">
        <v>2086</v>
      </c>
      <c r="D41" s="207">
        <f>VLOOKUP(G23,Table7[],10,FALSE)*G22</f>
        <v>125.06400000000001</v>
      </c>
      <c r="E41" s="207">
        <f>VLOOKUP(G23,Table7[],11,FALSE)*G22</f>
        <v>83.721600000000009</v>
      </c>
      <c r="F41" s="207">
        <f>VLOOKUP(G23,Table7[],12,FALSE)*G22</f>
        <v>63.763199999999991</v>
      </c>
      <c r="G41" s="207">
        <f>VLOOKUP(G23,Table7[],13,FALSE)*G22</f>
        <v>52.488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81" t="s">
        <v>2087</v>
      </c>
      <c r="D43" s="382"/>
      <c r="E43" s="382"/>
      <c r="F43" s="382"/>
      <c r="G43" s="383"/>
      <c r="H43" s="122"/>
    </row>
    <row r="44" spans="2:8" ht="21" customHeight="1">
      <c r="B44" s="121"/>
      <c r="C44" s="209" t="s">
        <v>2049</v>
      </c>
      <c r="D44" s="210" t="s">
        <v>2050</v>
      </c>
      <c r="E44" s="210" t="s">
        <v>2051</v>
      </c>
      <c r="F44" s="210" t="s">
        <v>2052</v>
      </c>
      <c r="G44" s="210" t="s">
        <v>2053</v>
      </c>
      <c r="H44" s="122"/>
    </row>
    <row r="45" spans="2:8" ht="21" customHeight="1">
      <c r="B45" s="121"/>
      <c r="C45" s="206" t="s">
        <v>2088</v>
      </c>
      <c r="D45" s="207">
        <f>VLOOKUP(D23,Table7[],6,FALSE)*D22</f>
        <v>2294.7522935779816</v>
      </c>
      <c r="E45" s="207">
        <f>VLOOKUP(D23,Table7[],7,FALSE)*D22</f>
        <v>1536.176146788991</v>
      </c>
      <c r="F45" s="207">
        <f>VLOOKUP(D23,Table7[],8,FALSE)*D22</f>
        <v>1169.9669724770642</v>
      </c>
      <c r="G45" s="207">
        <f>VLOOKUP(D23,Table7[],9,FALSE)*D22</f>
        <v>963.08256880733938</v>
      </c>
      <c r="H45" s="122"/>
    </row>
    <row r="46" spans="2:8" ht="21" customHeight="1">
      <c r="B46" s="121"/>
      <c r="C46" s="206" t="s">
        <v>2084</v>
      </c>
      <c r="D46" s="207">
        <f>VLOOKUP(D23,Table7[],10,FALSE)*D22</f>
        <v>125.06400000000001</v>
      </c>
      <c r="E46" s="207">
        <f>VLOOKUP(D23,Table7[],11,FALSE)*D22</f>
        <v>83.721600000000009</v>
      </c>
      <c r="F46" s="207">
        <f>VLOOKUP(D23,Table7[],12,FALSE)*D22</f>
        <v>63.763199999999991</v>
      </c>
      <c r="G46" s="207">
        <f>VLOOKUP(D23,Table7[],13,FALSE)*D22</f>
        <v>52.488</v>
      </c>
      <c r="H46" s="122"/>
    </row>
    <row r="47" spans="2:8" ht="21" customHeight="1">
      <c r="B47" s="121"/>
      <c r="C47" s="208" t="s">
        <v>2089</v>
      </c>
      <c r="D47" s="207">
        <f>VLOOKUP(G23,Table7[],6,FALSE)*G22</f>
        <v>2294.7522935779816</v>
      </c>
      <c r="E47" s="207">
        <f>VLOOKUP(G23,Table7[],7,FALSE)*G22</f>
        <v>1536.176146788991</v>
      </c>
      <c r="F47" s="207">
        <f>VLOOKUP(G23,Table7[],8,FALSE)*G22</f>
        <v>1169.9669724770642</v>
      </c>
      <c r="G47" s="207">
        <f>VLOOKUP(G23,Table7[],9,FALSE)*G22</f>
        <v>963.08256880733938</v>
      </c>
      <c r="H47" s="122"/>
    </row>
    <row r="48" spans="2:8" ht="21" customHeight="1">
      <c r="B48" s="121"/>
      <c r="C48" s="208" t="s">
        <v>2086</v>
      </c>
      <c r="D48" s="207">
        <f>VLOOKUP(G23,Table7[],10,FALSE)*G22</f>
        <v>125.06400000000001</v>
      </c>
      <c r="E48" s="207">
        <f>VLOOKUP(G23,Table7[],11,FALSE)*G22</f>
        <v>83.721600000000009</v>
      </c>
      <c r="F48" s="207">
        <f>VLOOKUP(G23,Table7[],12,FALSE)*G22</f>
        <v>63.763199999999991</v>
      </c>
      <c r="G48" s="207">
        <f>VLOOKUP(G23,Table7[],13,FALSE)*G22</f>
        <v>52.488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AHA9Corh7XAWxGIXeUyeaAGCgpg56Z3K3QoGQvzre+o9bOB5gL4R8V0X/udWw+RFaDsSiNcG/bDYTvEKhd0Gtg==" saltValue="rH8+c6KEPbhKoE6dp+zls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99" priority="3" operator="notEqual">
      <formula>$G$18</formula>
    </cfRule>
  </conditionalFormatting>
  <conditionalFormatting sqref="D23">
    <cfRule type="cellIs" dxfId="98" priority="2" operator="notEqual">
      <formula>$G$23</formula>
    </cfRule>
  </conditionalFormatting>
  <conditionalFormatting sqref="D24">
    <cfRule type="cellIs" dxfId="97" priority="16" operator="greaterThan">
      <formula>$D$28</formula>
    </cfRule>
  </conditionalFormatting>
  <conditionalFormatting sqref="D29 G29">
    <cfRule type="cellIs" dxfId="96" priority="31" operator="greaterThanOrEqual">
      <formula>$D$21</formula>
    </cfRule>
    <cfRule type="cellIs" dxfId="95" priority="30" operator="lessThan">
      <formula>$D$21</formula>
    </cfRule>
  </conditionalFormatting>
  <conditionalFormatting sqref="D32 G32">
    <cfRule type="cellIs" dxfId="94" priority="19" operator="greaterThan">
      <formula>25%</formula>
    </cfRule>
    <cfRule type="cellIs" dxfId="93" priority="17" operator="lessThanOrEqual">
      <formula>10%</formula>
    </cfRule>
    <cfRule type="cellIs" dxfId="92" priority="18" operator="between">
      <formula>24.99999%</formula>
      <formula>9.99999999999999%</formula>
    </cfRule>
  </conditionalFormatting>
  <conditionalFormatting sqref="D46">
    <cfRule type="cellIs" dxfId="91" priority="25" operator="greaterThanOrEqual">
      <formula>$D$8</formula>
    </cfRule>
    <cfRule type="cellIs" dxfId="90" priority="24" operator="lessThan">
      <formula>$D$8</formula>
    </cfRule>
  </conditionalFormatting>
  <conditionalFormatting sqref="D48">
    <cfRule type="cellIs" dxfId="89" priority="5" operator="lessThan">
      <formula>$D$8</formula>
    </cfRule>
    <cfRule type="cellIs" dxfId="88" priority="6" operator="greaterThanOrEqual">
      <formula>$D$8</formula>
    </cfRule>
  </conditionalFormatting>
  <conditionalFormatting sqref="D28:E28 G28">
    <cfRule type="cellIs" dxfId="87" priority="37" operator="greaterThanOrEqual">
      <formula>$D$20</formula>
    </cfRule>
    <cfRule type="cellIs" dxfId="86" priority="36" operator="lessThan">
      <formula>$D$20</formula>
    </cfRule>
  </conditionalFormatting>
  <conditionalFormatting sqref="D33:E34 G33:G34">
    <cfRule type="cellIs" dxfId="85" priority="21" operator="greaterThan">
      <formula>0</formula>
    </cfRule>
    <cfRule type="cellIs" dxfId="84" priority="20" operator="lessThanOrEqual">
      <formula>0</formula>
    </cfRule>
  </conditionalFormatting>
  <conditionalFormatting sqref="D38:G38">
    <cfRule type="cellIs" dxfId="83" priority="39" operator="greaterThan">
      <formula>$D$20</formula>
    </cfRule>
    <cfRule type="cellIs" dxfId="82" priority="38" operator="lessThanOrEqual">
      <formula>$D$20</formula>
    </cfRule>
  </conditionalFormatting>
  <conditionalFormatting sqref="D39:G39">
    <cfRule type="cellIs" dxfId="81" priority="41" operator="greaterThanOrEqual">
      <formula>$D$21</formula>
    </cfRule>
    <cfRule type="cellIs" dxfId="80" priority="40" operator="lessThan">
      <formula>$D$21</formula>
    </cfRule>
  </conditionalFormatting>
  <conditionalFormatting sqref="D40:G40">
    <cfRule type="cellIs" dxfId="79" priority="12" operator="greaterThan">
      <formula>$D$20</formula>
    </cfRule>
    <cfRule type="cellIs" dxfId="78" priority="11" operator="lessThanOrEqual">
      <formula>$D$20</formula>
    </cfRule>
  </conditionalFormatting>
  <conditionalFormatting sqref="D41:G41">
    <cfRule type="cellIs" dxfId="77" priority="14" operator="greaterThanOrEqual">
      <formula>$D$21</formula>
    </cfRule>
    <cfRule type="cellIs" dxfId="76" priority="13" operator="lessThan">
      <formula>$D$21</formula>
    </cfRule>
  </conditionalFormatting>
  <conditionalFormatting sqref="D45:G45">
    <cfRule type="cellIs" dxfId="75" priority="26" operator="lessThanOrEqual">
      <formula>$D$20*2</formula>
    </cfRule>
    <cfRule type="cellIs" dxfId="74" priority="27" operator="greaterThan">
      <formula>$D$20*2</formula>
    </cfRule>
  </conditionalFormatting>
  <conditionalFormatting sqref="D47:G47">
    <cfRule type="cellIs" dxfId="73" priority="7" operator="lessThanOrEqual">
      <formula>$G$20*2</formula>
    </cfRule>
    <cfRule type="cellIs" dxfId="72" priority="8" operator="greaterThan">
      <formula>$G$20*2</formula>
    </cfRule>
  </conditionalFormatting>
  <conditionalFormatting sqref="E28">
    <cfRule type="cellIs" dxfId="71" priority="23" operator="greaterThanOrEqual">
      <formula>0</formula>
    </cfRule>
    <cfRule type="cellIs" dxfId="70" priority="22" operator="lessThan">
      <formula>0</formula>
    </cfRule>
  </conditionalFormatting>
  <conditionalFormatting sqref="E46:G46">
    <cfRule type="cellIs" dxfId="69" priority="28" operator="lessThan">
      <formula>$D$21*2</formula>
    </cfRule>
    <cfRule type="cellIs" dxfId="68" priority="29" operator="greaterThanOrEqual">
      <formula>$D$21*2</formula>
    </cfRule>
  </conditionalFormatting>
  <conditionalFormatting sqref="E48:G48">
    <cfRule type="cellIs" dxfId="67" priority="10" operator="greaterThanOrEqual">
      <formula>$G$21*2</formula>
    </cfRule>
    <cfRule type="cellIs" dxfId="66" priority="9" operator="lessThan">
      <formula>$G$21*2</formula>
    </cfRule>
  </conditionalFormatting>
  <conditionalFormatting sqref="G18">
    <cfRule type="cellIs" dxfId="65" priority="4" operator="notEqual">
      <formula>$D$18</formula>
    </cfRule>
  </conditionalFormatting>
  <conditionalFormatting sqref="G23">
    <cfRule type="cellIs" dxfId="64" priority="1" operator="notEqual">
      <formula>$D$23</formula>
    </cfRule>
  </conditionalFormatting>
  <conditionalFormatting sqref="G24">
    <cfRule type="cellIs" dxfId="63" priority="15" operator="greaterThan">
      <formula>$G$28</formula>
    </cfRule>
  </conditionalFormatting>
  <conditionalFormatting sqref="G28">
    <cfRule type="cellIs" dxfId="62" priority="32" operator="lessThan">
      <formula>$D$20</formula>
    </cfRule>
    <cfRule type="cellIs" dxfId="61" priority="33" operator="greaterThanOrEqual">
      <formula>$D$20</formula>
    </cfRule>
  </conditionalFormatting>
  <conditionalFormatting sqref="G28:G29 E28">
    <cfRule type="cellIs" dxfId="60" priority="34" operator="greaterThanOrEqual">
      <formula>0</formula>
    </cfRule>
    <cfRule type="cellIs" dxfId="59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Data!$C$2:$C$37</xm:f>
          </x14:formula1>
          <xm:sqref>D6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2090</v>
      </c>
      <c r="D1" s="52" t="s">
        <v>2091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e">
        <f>All!#REF!</f>
        <v>#REF!</v>
      </c>
      <c r="B39" t="e">
        <f>All!#REF!</f>
        <v>#REF!</v>
      </c>
      <c r="C39">
        <f>IFERROR(VLOOKUP(A39,'Site check'!A:Q,3,0),0)</f>
        <v>0</v>
      </c>
      <c r="D39" t="e">
        <f t="shared" si="0"/>
        <v>#REF!</v>
      </c>
    </row>
    <row r="40" spans="1:4">
      <c r="A40" t="str">
        <f>All!E48</f>
        <v>BSHN07</v>
      </c>
      <c r="B40">
        <f>All!Y48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All!E49</f>
        <v>BSHN07</v>
      </c>
      <c r="B41">
        <f>All!Y49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All!E50</f>
        <v>BSHN03</v>
      </c>
      <c r="B42">
        <f>All!Y50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All!E52</f>
        <v>BTFTB1</v>
      </c>
      <c r="B43">
        <f>All!Y52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All!E53</f>
        <v>BTFTB1</v>
      </c>
      <c r="B44">
        <f>All!Y53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All!E54</f>
        <v>BTLCD1</v>
      </c>
      <c r="B45">
        <f>All!Y54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All!E55</f>
        <v>BTLN08</v>
      </c>
      <c r="B46">
        <f>All!Y55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All!E56</f>
        <v>BTLN09</v>
      </c>
      <c r="B47">
        <f>All!Y56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All!E57</f>
        <v>BTN</v>
      </c>
      <c r="B48">
        <f>All!Y57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All!E58</f>
        <v>BTNW01</v>
      </c>
      <c r="B49">
        <f>All!Y58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All!E59</f>
        <v>BTRTP1</v>
      </c>
      <c r="B50">
        <f>All!Y59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All!E60</f>
        <v>BYR</v>
      </c>
      <c r="B51">
        <f>All!Y60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All!E61</f>
        <v>CAMN02</v>
      </c>
      <c r="B52">
        <f>All!Y61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All!E62</f>
        <v>CAMN41</v>
      </c>
      <c r="B53">
        <f>All!Y62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All!E63</f>
        <v>CBY</v>
      </c>
      <c r="B54">
        <f>All!Y63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All!E64</f>
        <v>CDFN02</v>
      </c>
      <c r="B55">
        <f>All!Y64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All!E65</f>
        <v>CELL01</v>
      </c>
      <c r="B56">
        <f>All!Y65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All!E66</f>
        <v>CFDTN1</v>
      </c>
      <c r="B57">
        <f>All!Y66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All!E67</f>
        <v>CHDCD1</v>
      </c>
      <c r="B58">
        <f>All!Y67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All!E68</f>
        <v>CHMN21</v>
      </c>
      <c r="B59">
        <f>All!Y68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All!E69</f>
        <v>CHTN07</v>
      </c>
      <c r="B60">
        <f>All!Y69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All!E70</f>
        <v>CHTN07</v>
      </c>
      <c r="B61">
        <f>All!Y70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All!E71</f>
        <v>CHTTN3</v>
      </c>
      <c r="B62">
        <f>All!Y71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All!E73</f>
        <v>CKNN03</v>
      </c>
      <c r="B63">
        <f>All!Y73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All!E74</f>
        <v>CKNN03</v>
      </c>
      <c r="B64">
        <f>All!Y74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All!E75</f>
        <v>COV</v>
      </c>
      <c r="B65">
        <f>All!Y75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All!E77</f>
        <v>COWL02</v>
      </c>
      <c r="B66">
        <f>All!Y77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All!E78</f>
        <v>CSLN13</v>
      </c>
      <c r="B67">
        <f>All!Y78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All!E79</f>
        <v>CTNN01</v>
      </c>
      <c r="B68">
        <f>All!Y79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All!E80</f>
        <v>CTNN01</v>
      </c>
      <c r="B69">
        <f>All!Y80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All!E81</f>
        <v>CTRTK1</v>
      </c>
      <c r="B70">
        <f>All!Y81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All!E82</f>
        <v>CTRTS1</v>
      </c>
      <c r="B71">
        <f>All!Y82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All!E83</f>
        <v>CYNTN2(EXT'N)</v>
      </c>
      <c r="B72">
        <f>All!Y83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All!E84</f>
        <v>DBY</v>
      </c>
      <c r="B73">
        <f>All!Y84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All!E85</f>
        <v>DCT</v>
      </c>
      <c r="B74">
        <f>All!Y85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All!E86</f>
        <v>DFSN01</v>
      </c>
      <c r="B75">
        <f>All!Y86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All!E87</f>
        <v>DFSNC1</v>
      </c>
      <c r="B76">
        <f>All!Y87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All!E88</f>
        <v>DGS</v>
      </c>
      <c r="B77">
        <f>All!Y88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All!E89</f>
        <v>DHMNU1</v>
      </c>
      <c r="B78">
        <f>All!Y89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All!E90</f>
        <v>DKTN08</v>
      </c>
      <c r="B79">
        <f>All!Y90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All!E91</f>
        <v>DLD</v>
      </c>
      <c r="B80">
        <f>All!Y91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All!E92</f>
        <v>DLNTC1</v>
      </c>
      <c r="B81">
        <f>All!Y92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All!E93</f>
        <v>DNDN71</v>
      </c>
      <c r="B82">
        <f>All!Y93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All!E94</f>
        <v>DNDTC1</v>
      </c>
      <c r="B83">
        <f>All!Y94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All!E95</f>
        <v>DNFNP1</v>
      </c>
      <c r="B84">
        <f>All!Y95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All!E96</f>
        <v>DONTN1</v>
      </c>
      <c r="B85">
        <f>All!Y96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All!E97</f>
        <v>DVSTB1</v>
      </c>
      <c r="B86">
        <f>All!Y97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All!E98</f>
        <v>DWLTM1</v>
      </c>
      <c r="B87">
        <f>All!Y98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All!E99</f>
        <v>EBCTC1</v>
      </c>
      <c r="B88">
        <f>All!Y99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All!E100</f>
        <v>EDBN07</v>
      </c>
      <c r="B89">
        <f>All!Y100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All!E101</f>
        <v>EDBTG1</v>
      </c>
      <c r="B90">
        <f>All!Y101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All!E102</f>
        <v>EDBTG1</v>
      </c>
      <c r="B91">
        <f>All!Y102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All!E103</f>
        <v>EDBTN1</v>
      </c>
      <c r="B92">
        <f>All!Y103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All!E104</f>
        <v>EDBTN1</v>
      </c>
      <c r="B93">
        <f>All!Y104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All!E105</f>
        <v>EGNTM1</v>
      </c>
      <c r="B94">
        <f>All!Y105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All!E106</f>
        <v>EVMN01</v>
      </c>
      <c r="B95">
        <f>All!Y106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All!E107</f>
        <v>EXR</v>
      </c>
      <c r="B96">
        <f>All!Y107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All!E109</f>
        <v>EXR</v>
      </c>
      <c r="B97">
        <f>All!Y109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All!E110</f>
        <v>FKE</v>
      </c>
      <c r="B98">
        <f>All!Y110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All!E111</f>
        <v>FLNTT1</v>
      </c>
      <c r="B99">
        <f>All!Y111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All!E112</f>
        <v>FMYN31</v>
      </c>
      <c r="B100">
        <f>All!Y112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All!E113</f>
        <v>FRNN03</v>
      </c>
      <c r="B101">
        <f>All!Y113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All!E114</f>
        <v>FRNN03</v>
      </c>
      <c r="B102">
        <f>All!Y114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All!E115</f>
        <v>GCRTB1</v>
      </c>
      <c r="B103">
        <f>All!Y115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All!E116</f>
        <v>GFDCD1</v>
      </c>
      <c r="B104">
        <f>All!Y116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All!E118</f>
        <v>GLWN07</v>
      </c>
      <c r="B105">
        <f>All!Y118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All!E119</f>
        <v>GLWN07</v>
      </c>
      <c r="B106">
        <f>All!Y119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All!E120</f>
        <v>GLWTO1</v>
      </c>
      <c r="B107">
        <f>All!Y120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All!E121</f>
        <v>GLWTW1</v>
      </c>
      <c r="B108">
        <f>All!Y121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All!E122</f>
        <v>GRSTB1</v>
      </c>
      <c r="B109">
        <f>All!Y122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All!E123</f>
        <v>GWK</v>
      </c>
      <c r="B110">
        <f>All!Y123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All!E124</f>
        <v>HHD</v>
      </c>
      <c r="B111">
        <f>All!Y124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All!E125</f>
        <v>HLDA11</v>
      </c>
      <c r="B112">
        <f>All!Y125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All!E126</f>
        <v>HLDA12</v>
      </c>
      <c r="B113">
        <f>All!Y126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All!E127</f>
        <v>HLWN02</v>
      </c>
      <c r="B114">
        <f>All!Y127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All!E128</f>
        <v>HRWN02</v>
      </c>
      <c r="B115">
        <f>All!Y128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All!E129</f>
        <v>HTE</v>
      </c>
      <c r="B116">
        <f>All!Y129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All!E130</f>
        <v>IGNN01</v>
      </c>
      <c r="B117">
        <f>All!Y130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All!E131</f>
        <v>INVN41</v>
      </c>
      <c r="B118">
        <f>All!Y131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All!E132</f>
        <v>INVTL1</v>
      </c>
      <c r="B119">
        <f>All!Y132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All!E133</f>
        <v>IODN01</v>
      </c>
      <c r="B120">
        <f>All!Y133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All!E135</f>
        <v>IPWTN1</v>
      </c>
      <c r="B121">
        <f>All!Y135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All!E136</f>
        <v>IVER02</v>
      </c>
      <c r="B122">
        <f>All!Y136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All!E137</f>
        <v>KLNN01</v>
      </c>
      <c r="B123">
        <f>All!Y137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All!E138</f>
        <v>KNLTS1</v>
      </c>
      <c r="B124">
        <f>All!Y138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All!E139</f>
        <v>LCT</v>
      </c>
      <c r="B125">
        <f>All!Y139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All!E140</f>
        <v>LDMS13</v>
      </c>
      <c r="B126">
        <f>All!Y140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All!E141</f>
        <v>LDMS13</v>
      </c>
      <c r="B127">
        <f>All!Y141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All!E142</f>
        <v>LDSCD2</v>
      </c>
      <c r="B128">
        <f>All!Y142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All!E143</f>
        <v>LDSCD2</v>
      </c>
      <c r="B129">
        <f>All!Y143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All!E144</f>
        <v>LDSN14</v>
      </c>
      <c r="B130">
        <f>All!Y144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All!E145</f>
        <v>LDSTS1</v>
      </c>
      <c r="B131">
        <f>All!Y145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All!E146</f>
        <v>LIVN01</v>
      </c>
      <c r="B132">
        <f>All!Y146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All!E147</f>
        <v>LLDTE1</v>
      </c>
      <c r="B133">
        <f>All!Y147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All!E148</f>
        <v>LMSCN2</v>
      </c>
      <c r="B134">
        <f>All!Y148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All!E149</f>
        <v>LPLTB1</v>
      </c>
      <c r="B135">
        <f>All!Y149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All!E150</f>
        <v>LPLTK1</v>
      </c>
      <c r="B136">
        <f>All!Y150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All!E151</f>
        <v>LSWN01</v>
      </c>
      <c r="B137">
        <f>All!Y151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All!E152</f>
        <v>LTNDN1</v>
      </c>
      <c r="B138">
        <f>All!Y152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All!E153</f>
        <v>MCRCD2</v>
      </c>
      <c r="B139">
        <f>All!Y153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All!E154</f>
        <v>MCRCD2</v>
      </c>
      <c r="B140">
        <f>All!Y154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All!E155</f>
        <v>MCRCD2</v>
      </c>
      <c r="B141">
        <f>All!Y155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All!E156</f>
        <v>MCRN11</v>
      </c>
      <c r="B142">
        <f>All!Y156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All!E157</f>
        <v>MCRN11</v>
      </c>
      <c r="B143">
        <f>All!Y157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All!E158</f>
        <v>MCRN12</v>
      </c>
      <c r="B144">
        <f>All!Y158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All!E159</f>
        <v>MCRN12</v>
      </c>
      <c r="B145">
        <f>All!Y159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All!E160</f>
        <v>MDBTD1</v>
      </c>
      <c r="B146">
        <f>All!Y160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All!E161</f>
        <v>MDE</v>
      </c>
      <c r="B147">
        <f>All!Y161</f>
        <v>16</v>
      </c>
      <c r="C147">
        <f>IFERROR(VLOOKUP(A147,'Site check'!A:Q,3,0),0)</f>
        <v>0</v>
      </c>
      <c r="D147">
        <f t="shared" si="2"/>
        <v>16</v>
      </c>
    </row>
    <row r="148" spans="1:4">
      <c r="A148" t="str">
        <f>All!E162</f>
        <v>MDFTB1</v>
      </c>
      <c r="B148">
        <f>All!Y162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All!E163</f>
        <v>MKSTN1</v>
      </c>
      <c r="B149">
        <f>All!Y163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All!E164</f>
        <v>NBYCD1</v>
      </c>
      <c r="B150">
        <f>All!Y164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All!E165</f>
        <v>NECCD1</v>
      </c>
      <c r="B151">
        <f>All!Y165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All!E166</f>
        <v>NGM</v>
      </c>
      <c r="B152">
        <f>All!Y166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All!E167</f>
        <v>NGMTL1</v>
      </c>
      <c r="B153">
        <f>All!Y167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All!E168</f>
        <v>NRWN51</v>
      </c>
      <c r="B154">
        <f>All!Y168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All!E169</f>
        <v>NRWTN1</v>
      </c>
      <c r="B155">
        <f>All!Y169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All!E170</f>
        <v>NULTB1</v>
      </c>
      <c r="B156">
        <f>All!Y170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All!E171</f>
        <v>NWCN05</v>
      </c>
      <c r="B157">
        <f>All!Y171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All!E173</f>
        <v>NWCNY1</v>
      </c>
      <c r="B158">
        <f>All!Y173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All!E174</f>
        <v>NWPDN1</v>
      </c>
      <c r="B159">
        <f>All!Y174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All!E175</f>
        <v>OHB</v>
      </c>
      <c r="B160">
        <f>All!Y175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All!E176</f>
        <v>OHB</v>
      </c>
      <c r="B161">
        <f>All!Y176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All!E177</f>
        <v>OKNN01</v>
      </c>
      <c r="B162">
        <f>All!Y177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All!E178</f>
        <v>OKNN01</v>
      </c>
      <c r="B163">
        <f>All!Y178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All!E179</f>
        <v>PCOTN1</v>
      </c>
      <c r="B164">
        <f>All!Y179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All!E180</f>
        <v>PCOTN1</v>
      </c>
      <c r="B165">
        <f>All!Y180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All!E181</f>
        <v>PCOTN1</v>
      </c>
      <c r="B166">
        <f>All!Y181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All!E182</f>
        <v>PCOTN1</v>
      </c>
      <c r="B167">
        <f>All!Y182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All!E183</f>
        <v>PLY</v>
      </c>
      <c r="B168">
        <f>All!Y183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All!E184</f>
        <v>PLY</v>
      </c>
      <c r="B169">
        <f>All!Y184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All!E185</f>
        <v>PNRTN1</v>
      </c>
      <c r="B170">
        <f>All!Y185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All!E186</f>
        <v>POLN02</v>
      </c>
      <c r="B171">
        <f>All!Y186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All!E187</f>
        <v>POLN02</v>
      </c>
      <c r="B172">
        <f>All!Y187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All!E188</f>
        <v>PRDTB1</v>
      </c>
      <c r="B173">
        <f>All!Y188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All!E189</f>
        <v>PRLN02</v>
      </c>
      <c r="B174">
        <f>All!Y189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All!E190</f>
        <v>PTBTN1</v>
      </c>
      <c r="B175">
        <f>All!Y190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All!E191</f>
        <v>PTHTL1</v>
      </c>
      <c r="B176">
        <f>All!Y191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All!E192</f>
        <v>PTMDN1</v>
      </c>
      <c r="B177">
        <f>All!Y192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All!E193</f>
        <v>PTMN03</v>
      </c>
      <c r="B178">
        <f>All!Y193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All!E194</f>
        <v>RATE02</v>
      </c>
      <c r="B179">
        <f>All!Y194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All!E195</f>
        <v>RATE02</v>
      </c>
      <c r="B180">
        <f>All!Y195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All!E196</f>
        <v>RCR</v>
      </c>
      <c r="B181">
        <f>All!Y196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All!E198</f>
        <v>RDG</v>
      </c>
      <c r="B182">
        <f>All!Y198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All!E199</f>
        <v>RFDN11</v>
      </c>
      <c r="B183">
        <f>All!Y199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All!E200</f>
        <v>SBHN01</v>
      </c>
      <c r="B184">
        <f>All!Y200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All!E201</f>
        <v>SDN</v>
      </c>
      <c r="B185">
        <f>All!Y201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All!E202</f>
        <v>SDNN06</v>
      </c>
      <c r="B186">
        <f>All!Y202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All!E203</f>
        <v>SDNN06</v>
      </c>
      <c r="B187">
        <f>All!Y203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All!E204</f>
        <v>SDNN06</v>
      </c>
      <c r="B188">
        <f>All!Y204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All!E205</f>
        <v>SDNN13</v>
      </c>
      <c r="B189">
        <f>All!Y205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All!E206</f>
        <v>SHD</v>
      </c>
      <c r="B190">
        <f>All!Y206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All!E207</f>
        <v>SHDTR1</v>
      </c>
      <c r="B191">
        <f>All!Y207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All!E208</f>
        <v>SHTN03</v>
      </c>
      <c r="B192">
        <f>All!Y208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All!E209</f>
        <v>SLO</v>
      </c>
      <c r="B193">
        <f>All!Y209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All!E210</f>
        <v>SMHN02</v>
      </c>
      <c r="B194">
        <f>All!Y210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All!E211</f>
        <v>SNDTM1</v>
      </c>
      <c r="B195">
        <f>All!Y211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All!E212</f>
        <v>SOLN02</v>
      </c>
      <c r="B196">
        <f>All!Y212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All!E213</f>
        <v>SOSTN1</v>
      </c>
      <c r="B197">
        <f>All!Y213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All!E214</f>
        <v>SOT</v>
      </c>
      <c r="B198">
        <f>All!Y214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All!E215</f>
        <v>SQYN01</v>
      </c>
      <c r="B199">
        <f>All!Y215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All!E216</f>
        <v>SQYN01</v>
      </c>
      <c r="B200">
        <f>All!Y216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All!E217</f>
        <v>SQYN01</v>
      </c>
      <c r="B201">
        <f>All!Y217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All!E218</f>
        <v>SQYN02</v>
      </c>
      <c r="B202">
        <f>All!Y218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All!E219</f>
        <v>SQYN02</v>
      </c>
      <c r="B203">
        <f>All!Y219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All!E220</f>
        <v>SQYN02</v>
      </c>
      <c r="B204">
        <f>All!Y220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All!E221</f>
        <v>SQYN02</v>
      </c>
      <c r="B205">
        <f>All!Y221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All!E222</f>
        <v>STEDN1</v>
      </c>
      <c r="B206">
        <f>All!Y222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All!E223</f>
        <v>STGCD1</v>
      </c>
      <c r="B207">
        <f>All!Y223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All!E224</f>
        <v>SWNN03</v>
      </c>
      <c r="B208">
        <f>All!Y224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All!E225</f>
        <v>SWY</v>
      </c>
      <c r="B209">
        <f>All!Y225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All!E226</f>
        <v>TELHS1</v>
      </c>
      <c r="B210">
        <f>All!Y226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All!E227</f>
        <v>TELHS1</v>
      </c>
      <c r="B211">
        <f>All!Y227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All!E228</f>
        <v>TELHS1</v>
      </c>
      <c r="B212">
        <f>All!Y228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All!E229</f>
        <v>TELHS1</v>
      </c>
      <c r="B213">
        <f>All!Y229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All!E230</f>
        <v>TELHS2</v>
      </c>
      <c r="B214">
        <f>All!Y230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All!E231</f>
        <v>TGYN04</v>
      </c>
      <c r="B215">
        <f>All!Y231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All!E232</f>
        <v>TGYN04</v>
      </c>
      <c r="B216">
        <f>All!Y232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All!E234</f>
        <v>TNTTN1</v>
      </c>
      <c r="B217">
        <f>All!Y234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All!E235</f>
        <v>TNTTN1</v>
      </c>
      <c r="B218">
        <f>All!Y235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All!E236</f>
        <v>TRON01</v>
      </c>
      <c r="B219">
        <f>All!Y236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All!E237</f>
        <v>VHXN02</v>
      </c>
      <c r="B220">
        <f>All!Y237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All!E238</f>
        <v>WADN01</v>
      </c>
      <c r="B221">
        <f>All!Y238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All!E239</f>
        <v>WAHP06</v>
      </c>
      <c r="B222">
        <f>All!Y239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All!E241</f>
        <v>WAHP03</v>
      </c>
      <c r="B223">
        <f>All!Y241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All!E242</f>
        <v>WAHP03</v>
      </c>
      <c r="B225">
        <f>All!Y242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All!E243</f>
        <v>WAIP06</v>
      </c>
      <c r="B226">
        <f>All!Y243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All!E244</f>
        <v>WCKTR1</v>
      </c>
      <c r="B227">
        <f>All!Y244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All!E245</f>
        <v>WHD</v>
      </c>
      <c r="B228">
        <f>All!Y245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All!E246</f>
        <v>WHHN03</v>
      </c>
      <c r="B229">
        <f>All!Y246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All!E247</f>
        <v>WKGN01</v>
      </c>
      <c r="B230">
        <f>All!Y247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All!E248</f>
        <v>WONTL1</v>
      </c>
      <c r="B231">
        <f>All!Y248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All!E249</f>
        <v>WTNTK1</v>
      </c>
      <c r="B233">
        <f>All!Y249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All!E250</f>
        <v>WTT</v>
      </c>
      <c r="B234">
        <f>All!Y250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All!E251</f>
        <v>WVHTF1</v>
      </c>
      <c r="B235">
        <f>All!Y251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All!E252</f>
        <v>YRK</v>
      </c>
      <c r="B236">
        <f>All!Y252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All!E253</f>
        <v>YRKTH1</v>
      </c>
      <c r="B237">
        <f>All!Y253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All!E254</f>
        <v>CYNTN2</v>
      </c>
      <c r="B239">
        <f>All!Y254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All!E255</f>
        <v>VHXINT</v>
      </c>
      <c r="B240">
        <f>All!Y255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All!E256</f>
        <v>BSHN08</v>
      </c>
      <c r="B241">
        <f>All!Y256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All!E257</f>
        <v>LCT EXT (1st Floor)</v>
      </c>
      <c r="B242">
        <f>All!Y257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All!E258</f>
        <v>TGY</v>
      </c>
      <c r="B243">
        <f>All!Y258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All!E259</f>
        <v>TGY</v>
      </c>
      <c r="B244">
        <f>All!Y259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All!E260</f>
        <v>TGYN03</v>
      </c>
      <c r="B245">
        <f>All!Y260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All!E261</f>
        <v>LDSN15</v>
      </c>
      <c r="B246">
        <f>All!Y261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All!E262</f>
        <v>BYR[cabin]</v>
      </c>
      <c r="B247">
        <f>All!Y262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All!E263</f>
        <v>0</v>
      </c>
      <c r="B248">
        <f>All!Y263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All!E264</f>
        <v>FTATA1</v>
      </c>
      <c r="B249">
        <f>All!Y264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All!E265</f>
        <v>EDBCD1</v>
      </c>
      <c r="B250">
        <f>All!Y265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All!E266</f>
        <v xml:space="preserve">FKKB21 </v>
      </c>
      <c r="B251">
        <f>All!Y266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All!E267</f>
        <v>AZTCD2</v>
      </c>
      <c r="B252">
        <f>All!Y267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All!E268</f>
        <v>SDNN11</v>
      </c>
      <c r="B256">
        <f>All!Y268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All!E269</f>
        <v>0</v>
      </c>
      <c r="B257">
        <f>All!Y269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All!E270</f>
        <v>0</v>
      </c>
      <c r="B258">
        <f>All!Y270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All!E271</f>
        <v>0</v>
      </c>
      <c r="B259">
        <f>All!Y271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All!E272</f>
        <v>0</v>
      </c>
      <c r="B260">
        <f>All!Y272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All!E273</f>
        <v>0</v>
      </c>
      <c r="B261">
        <f>All!Y273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All!E274</f>
        <v>0</v>
      </c>
      <c r="B262">
        <f>All!Y274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All!E275</f>
        <v>0</v>
      </c>
      <c r="B263">
        <f>All!Y275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All!E276</f>
        <v>0</v>
      </c>
      <c r="B264">
        <f>All!Y276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All!E277</f>
        <v>0</v>
      </c>
      <c r="B265">
        <f>All!Y277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All!E278</f>
        <v>0</v>
      </c>
      <c r="B266">
        <f>All!Y278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All!E279</f>
        <v>0</v>
      </c>
      <c r="B267">
        <f>All!Y279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All!E280</f>
        <v>0</v>
      </c>
      <c r="B268">
        <f>All!Y280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All!E281</f>
        <v>0</v>
      </c>
      <c r="B269">
        <f>All!Y281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All!E282</f>
        <v>0</v>
      </c>
      <c r="B270">
        <f>All!Y282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All!E283</f>
        <v>0</v>
      </c>
      <c r="B271">
        <f>All!Y283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859</v>
      </c>
      <c r="B1" s="236" t="s">
        <v>2092</v>
      </c>
      <c r="C1" s="236" t="s">
        <v>2093</v>
      </c>
      <c r="D1" s="237" t="s">
        <v>2094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6"/>
  <sheetViews>
    <sheetView topLeftCell="C1" workbookViewId="0">
      <selection activeCell="C7" sqref="C7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859</v>
      </c>
      <c r="C1" s="52" t="s">
        <v>2095</v>
      </c>
      <c r="D1" s="52" t="s">
        <v>2096</v>
      </c>
      <c r="E1" s="52" t="s">
        <v>2097</v>
      </c>
      <c r="I1" s="52" t="s">
        <v>2098</v>
      </c>
    </row>
    <row r="2" spans="1:9">
      <c r="A2" t="str" cm="1">
        <f t="array" ref="A2:A206">_xlfn.UNIQUE(All!E8:E266)</f>
        <v>ABH</v>
      </c>
      <c r="C2" s="52" t="s">
        <v>345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393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413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416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417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429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434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458</v>
      </c>
      <c r="D9" t="s">
        <v>66</v>
      </c>
      <c r="E9" t="s">
        <v>67</v>
      </c>
      <c r="I9" t="s">
        <v>33</v>
      </c>
    </row>
    <row r="10" spans="1:9">
      <c r="A10" t="str">
        <v>AYRN01</v>
      </c>
      <c r="C10" t="s">
        <v>456</v>
      </c>
      <c r="D10" s="35" t="s">
        <v>64</v>
      </c>
      <c r="E10" s="35" t="s">
        <v>65</v>
      </c>
      <c r="I10" t="s">
        <v>34</v>
      </c>
    </row>
    <row r="11" spans="1:9">
      <c r="A11" t="str">
        <v>AZTCD1</v>
      </c>
      <c r="C11" s="52" t="s">
        <v>502</v>
      </c>
      <c r="D11" s="52" t="s">
        <v>87</v>
      </c>
      <c r="E11" s="52" t="s">
        <v>88</v>
      </c>
      <c r="I11" t="s">
        <v>35</v>
      </c>
    </row>
    <row r="12" spans="1:9">
      <c r="A12" t="str">
        <v>BCT</v>
      </c>
      <c r="C12" s="52" t="s">
        <v>505</v>
      </c>
      <c r="D12" s="52" t="s">
        <v>89</v>
      </c>
      <c r="E12" s="52" t="s">
        <v>90</v>
      </c>
      <c r="I12" t="s">
        <v>36</v>
      </c>
    </row>
    <row r="13" spans="1:9">
      <c r="A13" t="str">
        <v>BDEN02</v>
      </c>
      <c r="C13" s="52" t="s">
        <v>507</v>
      </c>
      <c r="D13" s="52" t="s">
        <v>91</v>
      </c>
      <c r="E13" s="52" t="s">
        <v>92</v>
      </c>
      <c r="I13" t="s">
        <v>37</v>
      </c>
    </row>
    <row r="14" spans="1:9">
      <c r="A14" t="str">
        <v>BDEN06</v>
      </c>
      <c r="C14" s="52" t="s">
        <v>2099</v>
      </c>
      <c r="D14" s="52" t="s">
        <v>95</v>
      </c>
      <c r="E14" s="52" t="s">
        <v>96</v>
      </c>
      <c r="I14" t="s">
        <v>40</v>
      </c>
    </row>
    <row r="15" spans="1:9">
      <c r="A15" t="str">
        <v>BDFN02</v>
      </c>
      <c r="C15" s="52" t="s">
        <v>569</v>
      </c>
      <c r="D15" t="s">
        <v>117</v>
      </c>
      <c r="E15" s="52" t="s">
        <v>118</v>
      </c>
      <c r="I15" t="s">
        <v>41</v>
      </c>
    </row>
    <row r="16" spans="1:9">
      <c r="A16" t="str">
        <v>BFDTB1</v>
      </c>
      <c r="C16" s="52" t="s">
        <v>571</v>
      </c>
      <c r="D16" s="52" t="s">
        <v>119</v>
      </c>
      <c r="E16" s="52" t="s">
        <v>120</v>
      </c>
      <c r="I16" t="s">
        <v>42</v>
      </c>
    </row>
    <row r="17" spans="1:9">
      <c r="A17" t="str">
        <v>BFEC01</v>
      </c>
      <c r="C17" s="52" t="s">
        <v>1875</v>
      </c>
      <c r="D17" s="52" t="s">
        <v>124</v>
      </c>
      <c r="E17" s="52" t="s">
        <v>125</v>
      </c>
      <c r="I17" t="s">
        <v>43</v>
      </c>
    </row>
    <row r="18" spans="1:9">
      <c r="A18" t="str">
        <v>BFTN03</v>
      </c>
      <c r="C18" s="52" t="s">
        <v>588</v>
      </c>
      <c r="D18" s="52" t="s">
        <v>129</v>
      </c>
      <c r="E18" s="52" t="s">
        <v>130</v>
      </c>
      <c r="I18" t="s">
        <v>50</v>
      </c>
    </row>
    <row r="19" spans="1:9">
      <c r="A19" t="str">
        <v>BHMN07</v>
      </c>
      <c r="C19" s="52" t="s">
        <v>592</v>
      </c>
      <c r="D19" s="52" t="s">
        <v>132</v>
      </c>
      <c r="E19" s="52" t="s">
        <v>133</v>
      </c>
      <c r="I19" t="s">
        <v>51</v>
      </c>
    </row>
    <row r="20" spans="1:9">
      <c r="A20" t="str">
        <v>BHMN05</v>
      </c>
      <c r="C20" s="52" t="s">
        <v>593</v>
      </c>
      <c r="D20" s="52" t="s">
        <v>134</v>
      </c>
      <c r="E20" s="52" t="s">
        <v>135</v>
      </c>
      <c r="I20" t="s">
        <v>52</v>
      </c>
    </row>
    <row r="21" spans="1:9">
      <c r="A21" t="str">
        <v>BHMN08</v>
      </c>
      <c r="C21" s="52" t="s">
        <v>641</v>
      </c>
      <c r="D21" s="52" t="s">
        <v>156</v>
      </c>
      <c r="E21" s="52" t="s">
        <v>157</v>
      </c>
      <c r="I21" t="s">
        <v>53</v>
      </c>
    </row>
    <row r="22" spans="1:9">
      <c r="A22" t="str">
        <v>BHMTF1</v>
      </c>
      <c r="C22" s="52" t="s">
        <v>643</v>
      </c>
      <c r="D22" s="52" t="s">
        <v>158</v>
      </c>
      <c r="E22" s="52" t="s">
        <v>159</v>
      </c>
      <c r="I22" t="s">
        <v>54</v>
      </c>
    </row>
    <row r="23" spans="1:9">
      <c r="A23" t="str">
        <v>BHWCN1</v>
      </c>
      <c r="C23" s="52" t="s">
        <v>670</v>
      </c>
      <c r="D23" s="52" t="s">
        <v>172</v>
      </c>
      <c r="E23" s="52" t="s">
        <v>173</v>
      </c>
      <c r="I23" t="s">
        <v>59</v>
      </c>
    </row>
    <row r="24" spans="1:9">
      <c r="A24" t="str">
        <v>BIFTS1</v>
      </c>
      <c r="C24" s="52" t="s">
        <v>672</v>
      </c>
      <c r="D24" s="52" t="s">
        <v>174</v>
      </c>
      <c r="E24" s="52" t="s">
        <v>175</v>
      </c>
      <c r="I24" t="s">
        <v>60</v>
      </c>
    </row>
    <row r="25" spans="1:9">
      <c r="A25" t="str">
        <v>BKBN41</v>
      </c>
      <c r="C25" s="52" t="s">
        <v>698</v>
      </c>
      <c r="D25" t="s">
        <v>187</v>
      </c>
      <c r="E25" t="s">
        <v>188</v>
      </c>
      <c r="I25" t="s">
        <v>61</v>
      </c>
    </row>
    <row r="26" spans="1:9">
      <c r="A26" t="str">
        <v>BKLN05</v>
      </c>
      <c r="C26" s="52" t="s">
        <v>708</v>
      </c>
      <c r="D26" s="52" t="s">
        <v>193</v>
      </c>
      <c r="E26" s="52" t="s">
        <v>194</v>
      </c>
      <c r="I26" t="s">
        <v>2100</v>
      </c>
    </row>
    <row r="27" spans="1:9">
      <c r="A27" t="str">
        <v>BMGV03</v>
      </c>
      <c r="C27" s="52" t="s">
        <v>2101</v>
      </c>
      <c r="D27" s="52" t="s">
        <v>195</v>
      </c>
      <c r="E27" s="52" t="s">
        <v>197</v>
      </c>
      <c r="I27" t="s">
        <v>62</v>
      </c>
    </row>
    <row r="28" spans="1:9">
      <c r="A28" t="str">
        <v>BMTDN1</v>
      </c>
      <c r="C28" s="52" t="s">
        <v>2102</v>
      </c>
      <c r="D28" s="52" t="s">
        <v>196</v>
      </c>
      <c r="E28" s="52" t="s">
        <v>198</v>
      </c>
      <c r="I28" t="s">
        <v>63</v>
      </c>
    </row>
    <row r="29" spans="1:9">
      <c r="A29" t="str">
        <v>BPL</v>
      </c>
      <c r="C29" s="52" t="s">
        <v>713</v>
      </c>
      <c r="D29" s="52" t="s">
        <v>199</v>
      </c>
      <c r="E29" s="52" t="s">
        <v>200</v>
      </c>
      <c r="I29" t="s">
        <v>68</v>
      </c>
    </row>
    <row r="30" spans="1:9">
      <c r="A30" t="str">
        <v>BRETS1</v>
      </c>
      <c r="C30" s="52" t="s">
        <v>720</v>
      </c>
      <c r="D30" s="52" t="s">
        <v>202</v>
      </c>
      <c r="E30" s="52" t="s">
        <v>203</v>
      </c>
      <c r="I30" t="s">
        <v>69</v>
      </c>
    </row>
    <row r="31" spans="1:9">
      <c r="A31" t="str">
        <v>BRRTS1</v>
      </c>
      <c r="C31" s="52" t="s">
        <v>735</v>
      </c>
      <c r="D31" s="52" t="s">
        <v>210</v>
      </c>
      <c r="E31" s="52" t="s">
        <v>211</v>
      </c>
      <c r="I31" t="s">
        <v>70</v>
      </c>
    </row>
    <row r="32" spans="1:9">
      <c r="A32" t="str">
        <v>BSG</v>
      </c>
      <c r="C32" s="52" t="s">
        <v>2103</v>
      </c>
      <c r="D32" s="52" t="s">
        <v>1495</v>
      </c>
      <c r="E32" s="52" t="s">
        <v>2104</v>
      </c>
      <c r="I32" t="s">
        <v>71</v>
      </c>
    </row>
    <row r="33" spans="1:9">
      <c r="A33" t="str">
        <v>BSHN07</v>
      </c>
      <c r="C33" s="52" t="s">
        <v>2105</v>
      </c>
      <c r="D33" t="s">
        <v>236</v>
      </c>
      <c r="E33" t="s">
        <v>237</v>
      </c>
      <c r="I33" t="s">
        <v>72</v>
      </c>
    </row>
    <row r="34" spans="1:9">
      <c r="A34" t="str">
        <v>BSHN03</v>
      </c>
      <c r="C34" s="52" t="s">
        <v>844</v>
      </c>
      <c r="D34" t="s">
        <v>247</v>
      </c>
      <c r="E34" s="52" t="s">
        <v>248</v>
      </c>
      <c r="I34" t="s">
        <v>73</v>
      </c>
    </row>
    <row r="35" spans="1:9">
      <c r="A35" t="str">
        <v>BTFTB1</v>
      </c>
      <c r="C35" s="52" t="s">
        <v>800</v>
      </c>
      <c r="D35" s="52" t="s">
        <v>250</v>
      </c>
      <c r="E35" s="52" t="s">
        <v>251</v>
      </c>
      <c r="I35" t="s">
        <v>74</v>
      </c>
    </row>
    <row r="36" spans="1:9">
      <c r="A36" t="str">
        <v>BTLCD1</v>
      </c>
      <c r="C36" s="52" t="s">
        <v>807</v>
      </c>
      <c r="D36" s="52" t="s">
        <v>255</v>
      </c>
      <c r="E36" s="52" t="s">
        <v>256</v>
      </c>
      <c r="I36" t="s">
        <v>75</v>
      </c>
    </row>
    <row r="37" spans="1:9">
      <c r="A37" t="str">
        <v>BTLN08</v>
      </c>
      <c r="C37" s="52" t="s">
        <v>809</v>
      </c>
      <c r="D37" s="52" t="s">
        <v>257</v>
      </c>
      <c r="E37" s="52" t="s">
        <v>258</v>
      </c>
      <c r="I37" t="s">
        <v>76</v>
      </c>
    </row>
    <row r="38" spans="1:9">
      <c r="A38" t="str">
        <v>BTLN09</v>
      </c>
      <c r="C38" s="52"/>
      <c r="I38" t="s">
        <v>77</v>
      </c>
    </row>
    <row r="39" spans="1:9">
      <c r="A39" t="str">
        <v>BTN</v>
      </c>
      <c r="C39" s="52"/>
      <c r="I39" t="s">
        <v>78</v>
      </c>
    </row>
    <row r="40" spans="1:9">
      <c r="A40" t="str">
        <v>BTNW01</v>
      </c>
      <c r="I40" t="s">
        <v>79</v>
      </c>
    </row>
    <row r="41" spans="1:9">
      <c r="A41" t="str">
        <v>BTRTP1</v>
      </c>
      <c r="I41" t="s">
        <v>80</v>
      </c>
    </row>
    <row r="42" spans="1:9">
      <c r="A42" t="str">
        <v>BYR</v>
      </c>
      <c r="I42" t="s">
        <v>81</v>
      </c>
    </row>
    <row r="43" spans="1:9">
      <c r="A43" t="str">
        <v>CAMN02</v>
      </c>
      <c r="I43" t="s">
        <v>82</v>
      </c>
    </row>
    <row r="44" spans="1:9">
      <c r="A44" t="str">
        <v>CAMN41</v>
      </c>
      <c r="I44" t="s">
        <v>83</v>
      </c>
    </row>
    <row r="45" spans="1:9">
      <c r="A45" t="str">
        <v>CBY</v>
      </c>
      <c r="I45" t="s">
        <v>84</v>
      </c>
    </row>
    <row r="46" spans="1:9">
      <c r="A46" t="str">
        <v>CDFN02</v>
      </c>
      <c r="I46" t="s">
        <v>85</v>
      </c>
    </row>
    <row r="47" spans="1:9">
      <c r="A47" t="str">
        <v>CELL01</v>
      </c>
      <c r="I47" t="s">
        <v>86</v>
      </c>
    </row>
    <row r="48" spans="1:9">
      <c r="A48" t="str">
        <v>CFDTN1</v>
      </c>
      <c r="I48" t="s">
        <v>93</v>
      </c>
    </row>
    <row r="49" spans="1:9">
      <c r="A49" t="str">
        <v>CHDCD1</v>
      </c>
      <c r="I49" t="s">
        <v>94</v>
      </c>
    </row>
    <row r="50" spans="1:9">
      <c r="A50" t="str">
        <v>CHMN21</v>
      </c>
      <c r="I50" t="s">
        <v>97</v>
      </c>
    </row>
    <row r="51" spans="1:9">
      <c r="A51" t="str">
        <v>CHTN07</v>
      </c>
      <c r="I51" t="s">
        <v>98</v>
      </c>
    </row>
    <row r="52" spans="1:9">
      <c r="A52" t="str">
        <v>CHTTN3</v>
      </c>
      <c r="I52" t="s">
        <v>99</v>
      </c>
    </row>
    <row r="53" spans="1:9">
      <c r="A53" t="str">
        <v>CKNN03</v>
      </c>
      <c r="I53" t="s">
        <v>100</v>
      </c>
    </row>
    <row r="54" spans="1:9">
      <c r="A54" t="str">
        <v>COV</v>
      </c>
      <c r="I54" t="s">
        <v>101</v>
      </c>
    </row>
    <row r="55" spans="1:9">
      <c r="A55" t="str">
        <v>COWL02</v>
      </c>
      <c r="I55" t="s">
        <v>102</v>
      </c>
    </row>
    <row r="56" spans="1:9">
      <c r="A56" t="str">
        <v>CSLN13</v>
      </c>
      <c r="I56" t="s">
        <v>103</v>
      </c>
    </row>
    <row r="57" spans="1:9">
      <c r="A57" t="str">
        <v>CTNN01</v>
      </c>
      <c r="I57" t="s">
        <v>104</v>
      </c>
    </row>
    <row r="58" spans="1:9">
      <c r="A58" t="str">
        <v>CTRTK1</v>
      </c>
      <c r="I58" t="s">
        <v>105</v>
      </c>
    </row>
    <row r="59" spans="1:9">
      <c r="A59" t="str">
        <v>CTRTS1</v>
      </c>
      <c r="I59" t="s">
        <v>106</v>
      </c>
    </row>
    <row r="60" spans="1:9">
      <c r="A60" t="str">
        <v>CYNTN2(EXT'N)</v>
      </c>
      <c r="I60" t="s">
        <v>107</v>
      </c>
    </row>
    <row r="61" spans="1:9">
      <c r="A61" t="str">
        <v>DBY</v>
      </c>
      <c r="I61" t="s">
        <v>108</v>
      </c>
    </row>
    <row r="62" spans="1:9">
      <c r="A62" t="str">
        <v>DCT</v>
      </c>
      <c r="I62" t="s">
        <v>109</v>
      </c>
    </row>
    <row r="63" spans="1:9">
      <c r="A63" t="str">
        <v>DFSN01</v>
      </c>
      <c r="I63" t="s">
        <v>110</v>
      </c>
    </row>
    <row r="64" spans="1:9">
      <c r="A64" t="str">
        <v>DFSNC1</v>
      </c>
      <c r="I64" t="s">
        <v>111</v>
      </c>
    </row>
    <row r="65" spans="1:9">
      <c r="A65" t="str">
        <v>DGS</v>
      </c>
      <c r="I65" t="s">
        <v>112</v>
      </c>
    </row>
    <row r="66" spans="1:9">
      <c r="A66" t="str">
        <v>DHMNU1</v>
      </c>
      <c r="I66" t="s">
        <v>113</v>
      </c>
    </row>
    <row r="67" spans="1:9">
      <c r="A67" t="str">
        <v>DKTN08</v>
      </c>
      <c r="I67" t="s">
        <v>114</v>
      </c>
    </row>
    <row r="68" spans="1:9">
      <c r="A68" t="str">
        <v>DLD</v>
      </c>
      <c r="I68" t="s">
        <v>115</v>
      </c>
    </row>
    <row r="69" spans="1:9">
      <c r="A69" t="str">
        <v>DLNTC1</v>
      </c>
      <c r="I69" t="s">
        <v>116</v>
      </c>
    </row>
    <row r="70" spans="1:9">
      <c r="A70" t="str">
        <v>DNDN71</v>
      </c>
      <c r="I70" t="s">
        <v>121</v>
      </c>
    </row>
    <row r="71" spans="1:9">
      <c r="A71" t="str">
        <v>DNDTC1</v>
      </c>
      <c r="I71" t="s">
        <v>122</v>
      </c>
    </row>
    <row r="72" spans="1:9">
      <c r="A72" t="str">
        <v>DNFNP1</v>
      </c>
      <c r="I72" t="s">
        <v>123</v>
      </c>
    </row>
    <row r="73" spans="1:9">
      <c r="A73" t="str">
        <v>DONTN1</v>
      </c>
      <c r="I73" t="s">
        <v>126</v>
      </c>
    </row>
    <row r="74" spans="1:9">
      <c r="A74" t="str">
        <v>DVSTB1</v>
      </c>
      <c r="I74" t="s">
        <v>127</v>
      </c>
    </row>
    <row r="75" spans="1:9">
      <c r="A75" t="str">
        <v>DWLTM1</v>
      </c>
      <c r="I75" t="s">
        <v>128</v>
      </c>
    </row>
    <row r="76" spans="1:9">
      <c r="A76" t="str">
        <v>EBCTC1</v>
      </c>
      <c r="I76" t="s">
        <v>131</v>
      </c>
    </row>
    <row r="77" spans="1:9">
      <c r="A77" t="str">
        <v>EDBN07</v>
      </c>
      <c r="I77" t="s">
        <v>136</v>
      </c>
    </row>
    <row r="78" spans="1:9">
      <c r="A78" t="str">
        <v>EDBTG1</v>
      </c>
      <c r="I78" t="s">
        <v>137</v>
      </c>
    </row>
    <row r="79" spans="1:9">
      <c r="A79" t="str">
        <v>EDBTN1</v>
      </c>
      <c r="I79" t="s">
        <v>138</v>
      </c>
    </row>
    <row r="80" spans="1:9">
      <c r="A80" t="str">
        <v>EGNTM1</v>
      </c>
      <c r="I80" t="s">
        <v>139</v>
      </c>
    </row>
    <row r="81" spans="1:9">
      <c r="A81" t="str">
        <v>EVMN01</v>
      </c>
      <c r="I81" t="s">
        <v>140</v>
      </c>
    </row>
    <row r="82" spans="1:9">
      <c r="A82" t="str">
        <v>EXR</v>
      </c>
      <c r="I82" t="s">
        <v>141</v>
      </c>
    </row>
    <row r="83" spans="1:9">
      <c r="A83" t="str">
        <v>FKE</v>
      </c>
      <c r="I83" t="s">
        <v>142</v>
      </c>
    </row>
    <row r="84" spans="1:9">
      <c r="A84" t="str">
        <v>FLNTT1</v>
      </c>
      <c r="I84" t="s">
        <v>143</v>
      </c>
    </row>
    <row r="85" spans="1:9">
      <c r="A85" t="str">
        <v>FMYN31</v>
      </c>
      <c r="I85" t="s">
        <v>144</v>
      </c>
    </row>
    <row r="86" spans="1:9">
      <c r="A86" t="str">
        <v>FRNN03</v>
      </c>
      <c r="I86" t="s">
        <v>145</v>
      </c>
    </row>
    <row r="87" spans="1:9">
      <c r="A87" t="str">
        <v>GCRTB1</v>
      </c>
      <c r="I87" t="s">
        <v>146</v>
      </c>
    </row>
    <row r="88" spans="1:9">
      <c r="A88" t="str">
        <v>GFDCD1</v>
      </c>
      <c r="I88" t="s">
        <v>147</v>
      </c>
    </row>
    <row r="89" spans="1:9">
      <c r="A89" t="str">
        <v>GLWN07</v>
      </c>
      <c r="I89" t="s">
        <v>148</v>
      </c>
    </row>
    <row r="90" spans="1:9">
      <c r="A90" t="str">
        <v>GLWTO1</v>
      </c>
      <c r="I90" t="s">
        <v>149</v>
      </c>
    </row>
    <row r="91" spans="1:9">
      <c r="A91" t="str">
        <v>GLWTW1</v>
      </c>
      <c r="I91" t="s">
        <v>150</v>
      </c>
    </row>
    <row r="92" spans="1:9">
      <c r="A92" t="str">
        <v>GRSTB1</v>
      </c>
      <c r="I92" t="s">
        <v>151</v>
      </c>
    </row>
    <row r="93" spans="1:9">
      <c r="A93" t="str">
        <v>GWK</v>
      </c>
      <c r="I93" t="s">
        <v>152</v>
      </c>
    </row>
    <row r="94" spans="1:9">
      <c r="A94" t="str">
        <v>HHD</v>
      </c>
      <c r="I94" t="s">
        <v>153</v>
      </c>
    </row>
    <row r="95" spans="1:9">
      <c r="A95" t="str">
        <v>HLDA11</v>
      </c>
      <c r="I95" t="s">
        <v>154</v>
      </c>
    </row>
    <row r="96" spans="1:9">
      <c r="A96" t="str">
        <v>HLDA12</v>
      </c>
      <c r="I96" t="s">
        <v>155</v>
      </c>
    </row>
    <row r="97" spans="1:9">
      <c r="A97" t="str">
        <v>HLWN02</v>
      </c>
      <c r="I97" t="s">
        <v>160</v>
      </c>
    </row>
    <row r="98" spans="1:9">
      <c r="A98" t="str">
        <v>HRWN02</v>
      </c>
      <c r="I98" t="s">
        <v>161</v>
      </c>
    </row>
    <row r="99" spans="1:9">
      <c r="A99" t="str">
        <v>HTE</v>
      </c>
      <c r="I99" t="s">
        <v>162</v>
      </c>
    </row>
    <row r="100" spans="1:9">
      <c r="A100" t="str">
        <v>IGNN01</v>
      </c>
      <c r="I100" t="s">
        <v>163</v>
      </c>
    </row>
    <row r="101" spans="1:9">
      <c r="A101" t="str">
        <v>INVN41</v>
      </c>
      <c r="I101" t="s">
        <v>164</v>
      </c>
    </row>
    <row r="102" spans="1:9">
      <c r="A102" t="str">
        <v>INVTL1</v>
      </c>
      <c r="I102" t="s">
        <v>165</v>
      </c>
    </row>
    <row r="103" spans="1:9">
      <c r="A103" t="str">
        <v>IODN01</v>
      </c>
      <c r="I103" t="s">
        <v>166</v>
      </c>
    </row>
    <row r="104" spans="1:9">
      <c r="A104" t="str">
        <v>IODTA1</v>
      </c>
      <c r="I104" t="s">
        <v>167</v>
      </c>
    </row>
    <row r="105" spans="1:9">
      <c r="A105" t="str">
        <v>IPWTN1</v>
      </c>
      <c r="I105" t="s">
        <v>168</v>
      </c>
    </row>
    <row r="106" spans="1:9">
      <c r="A106" t="str">
        <v>IVER02</v>
      </c>
      <c r="I106" t="s">
        <v>169</v>
      </c>
    </row>
    <row r="107" spans="1:9">
      <c r="A107" t="str">
        <v>KLNN01</v>
      </c>
      <c r="I107" t="s">
        <v>170</v>
      </c>
    </row>
    <row r="108" spans="1:9">
      <c r="A108" t="str">
        <v>KNLTS1</v>
      </c>
      <c r="I108" t="s">
        <v>2106</v>
      </c>
    </row>
    <row r="109" spans="1:9">
      <c r="A109" t="str">
        <v>LCT</v>
      </c>
      <c r="I109" t="s">
        <v>176</v>
      </c>
    </row>
    <row r="110" spans="1:9">
      <c r="A110" t="str">
        <v>LDMS13</v>
      </c>
      <c r="I110" t="s">
        <v>177</v>
      </c>
    </row>
    <row r="111" spans="1:9">
      <c r="A111" t="str">
        <v>LDSCD2</v>
      </c>
      <c r="I111" t="s">
        <v>178</v>
      </c>
    </row>
    <row r="112" spans="1:9">
      <c r="A112" t="str">
        <v>LDSN14</v>
      </c>
      <c r="I112" t="s">
        <v>179</v>
      </c>
    </row>
    <row r="113" spans="1:9">
      <c r="A113" t="str">
        <v>LDSTS1</v>
      </c>
      <c r="I113" t="s">
        <v>180</v>
      </c>
    </row>
    <row r="114" spans="1:9">
      <c r="A114" t="str">
        <v>LIVN01</v>
      </c>
      <c r="I114" t="s">
        <v>181</v>
      </c>
    </row>
    <row r="115" spans="1:9">
      <c r="A115" t="str">
        <v>LLDTE1</v>
      </c>
      <c r="I115" t="s">
        <v>182</v>
      </c>
    </row>
    <row r="116" spans="1:9">
      <c r="A116" t="str">
        <v>LMSCN2</v>
      </c>
      <c r="I116" t="s">
        <v>183</v>
      </c>
    </row>
    <row r="117" spans="1:9">
      <c r="A117" t="str">
        <v>LPLTB1</v>
      </c>
      <c r="I117" t="s">
        <v>184</v>
      </c>
    </row>
    <row r="118" spans="1:9">
      <c r="A118" t="str">
        <v>LPLTK1</v>
      </c>
      <c r="I118" t="s">
        <v>185</v>
      </c>
    </row>
    <row r="119" spans="1:9">
      <c r="A119" t="str">
        <v>LSWN01</v>
      </c>
      <c r="I119" t="s">
        <v>186</v>
      </c>
    </row>
    <row r="120" spans="1:9">
      <c r="A120" t="str">
        <v>LTNDN1</v>
      </c>
      <c r="I120" t="s">
        <v>189</v>
      </c>
    </row>
    <row r="121" spans="1:9">
      <c r="A121" t="str">
        <v>MCRCD2</v>
      </c>
      <c r="I121" t="s">
        <v>190</v>
      </c>
    </row>
    <row r="122" spans="1:9">
      <c r="A122" t="str">
        <v>MCRN11</v>
      </c>
      <c r="I122" t="s">
        <v>191</v>
      </c>
    </row>
    <row r="123" spans="1:9">
      <c r="A123" t="str">
        <v>MCRN12</v>
      </c>
      <c r="I123" t="s">
        <v>192</v>
      </c>
    </row>
    <row r="124" spans="1:9">
      <c r="A124" t="str">
        <v>MDBTD1</v>
      </c>
      <c r="I124" t="s">
        <v>201</v>
      </c>
    </row>
    <row r="125" spans="1:9">
      <c r="A125" t="str">
        <v>MDE</v>
      </c>
      <c r="I125" t="s">
        <v>204</v>
      </c>
    </row>
    <row r="126" spans="1:9">
      <c r="A126" t="str">
        <v>MDFTB1</v>
      </c>
      <c r="I126" t="s">
        <v>205</v>
      </c>
    </row>
    <row r="127" spans="1:9">
      <c r="A127" t="str">
        <v>MKSTN1</v>
      </c>
      <c r="I127" t="s">
        <v>206</v>
      </c>
    </row>
    <row r="128" spans="1:9">
      <c r="A128" t="str">
        <v>NBYCD1</v>
      </c>
      <c r="I128" t="s">
        <v>207</v>
      </c>
    </row>
    <row r="129" spans="1:9">
      <c r="A129" t="str">
        <v>NECCD1</v>
      </c>
      <c r="I129" t="s">
        <v>208</v>
      </c>
    </row>
    <row r="130" spans="1:9">
      <c r="A130" t="str">
        <v>NGM</v>
      </c>
      <c r="I130" t="s">
        <v>209</v>
      </c>
    </row>
    <row r="131" spans="1:9">
      <c r="A131" t="str">
        <v>NGMTL1</v>
      </c>
      <c r="I131" t="s">
        <v>212</v>
      </c>
    </row>
    <row r="132" spans="1:9">
      <c r="A132" t="str">
        <v>NRWN51</v>
      </c>
      <c r="I132" t="s">
        <v>213</v>
      </c>
    </row>
    <row r="133" spans="1:9">
      <c r="A133" t="str">
        <v>NRWTN1</v>
      </c>
      <c r="I133" t="s">
        <v>214</v>
      </c>
    </row>
    <row r="134" spans="1:9">
      <c r="A134" t="str">
        <v>NULTB1</v>
      </c>
      <c r="I134" t="s">
        <v>215</v>
      </c>
    </row>
    <row r="135" spans="1:9">
      <c r="A135" t="str">
        <v>NWCN05</v>
      </c>
      <c r="I135" t="s">
        <v>216</v>
      </c>
    </row>
    <row r="136" spans="1:9">
      <c r="A136" t="str">
        <v>NWCNY1</v>
      </c>
      <c r="I136" t="s">
        <v>217</v>
      </c>
    </row>
    <row r="137" spans="1:9">
      <c r="A137" t="str">
        <v>NWPDN1</v>
      </c>
      <c r="I137" t="s">
        <v>218</v>
      </c>
    </row>
    <row r="138" spans="1:9">
      <c r="A138" t="str">
        <v>OHB</v>
      </c>
      <c r="I138" t="s">
        <v>219</v>
      </c>
    </row>
    <row r="139" spans="1:9">
      <c r="A139" t="str">
        <v>OKNN01</v>
      </c>
      <c r="I139" t="s">
        <v>220</v>
      </c>
    </row>
    <row r="140" spans="1:9">
      <c r="A140" t="str">
        <v>PCOTN1</v>
      </c>
      <c r="I140" t="s">
        <v>221</v>
      </c>
    </row>
    <row r="141" spans="1:9">
      <c r="A141" t="str">
        <v>PLY</v>
      </c>
      <c r="I141" t="s">
        <v>222</v>
      </c>
    </row>
    <row r="142" spans="1:9">
      <c r="A142" t="str">
        <v>PNRTN1</v>
      </c>
      <c r="I142" t="s">
        <v>223</v>
      </c>
    </row>
    <row r="143" spans="1:9">
      <c r="A143" t="str">
        <v>POLN02</v>
      </c>
      <c r="I143" t="s">
        <v>2107</v>
      </c>
    </row>
    <row r="144" spans="1:9">
      <c r="A144" t="str">
        <v>PRDTB1</v>
      </c>
      <c r="I144" t="s">
        <v>225</v>
      </c>
    </row>
    <row r="145" spans="1:9">
      <c r="A145" t="str">
        <v>PRLN02</v>
      </c>
      <c r="I145" t="s">
        <v>226</v>
      </c>
    </row>
    <row r="146" spans="1:9">
      <c r="A146" t="str">
        <v>PTBTN1</v>
      </c>
      <c r="I146" t="s">
        <v>227</v>
      </c>
    </row>
    <row r="147" spans="1:9">
      <c r="A147" t="str">
        <v>PTHTL1</v>
      </c>
      <c r="I147" t="s">
        <v>228</v>
      </c>
    </row>
    <row r="148" spans="1:9">
      <c r="A148" t="str">
        <v>PTMDN1</v>
      </c>
      <c r="I148" t="s">
        <v>229</v>
      </c>
    </row>
    <row r="149" spans="1:9">
      <c r="A149" t="str">
        <v>PTMN03</v>
      </c>
      <c r="I149" t="s">
        <v>230</v>
      </c>
    </row>
    <row r="150" spans="1:9">
      <c r="A150" t="str">
        <v>RATE02</v>
      </c>
      <c r="I150" t="s">
        <v>231</v>
      </c>
    </row>
    <row r="151" spans="1:9">
      <c r="A151" t="str">
        <v>RCR</v>
      </c>
      <c r="I151" t="s">
        <v>232</v>
      </c>
    </row>
    <row r="152" spans="1:9">
      <c r="A152" t="str">
        <v>RDGCD2</v>
      </c>
      <c r="I152" t="s">
        <v>233</v>
      </c>
    </row>
    <row r="153" spans="1:9">
      <c r="A153" t="str">
        <v>RDG</v>
      </c>
      <c r="I153" t="s">
        <v>238</v>
      </c>
    </row>
    <row r="154" spans="1:9">
      <c r="A154" t="str">
        <v>RFDN11</v>
      </c>
      <c r="I154" t="s">
        <v>239</v>
      </c>
    </row>
    <row r="155" spans="1:9">
      <c r="A155" t="str">
        <v>SBHN01</v>
      </c>
      <c r="I155" t="s">
        <v>240</v>
      </c>
    </row>
    <row r="156" spans="1:9">
      <c r="A156" t="str">
        <v>SDN</v>
      </c>
      <c r="I156" t="s">
        <v>241</v>
      </c>
    </row>
    <row r="157" spans="1:9">
      <c r="A157" t="str">
        <v>SDNN06</v>
      </c>
      <c r="I157" t="s">
        <v>242</v>
      </c>
    </row>
    <row r="158" spans="1:9">
      <c r="A158" t="str">
        <v>SDNN13</v>
      </c>
      <c r="I158" t="s">
        <v>243</v>
      </c>
    </row>
    <row r="159" spans="1:9">
      <c r="A159" t="str">
        <v>SHD</v>
      </c>
      <c r="I159" t="s">
        <v>244</v>
      </c>
    </row>
    <row r="160" spans="1:9">
      <c r="A160" t="str">
        <v>SHDTR1</v>
      </c>
      <c r="I160" t="s">
        <v>245</v>
      </c>
    </row>
    <row r="161" spans="1:9">
      <c r="A161" t="str">
        <v>SHTN03</v>
      </c>
      <c r="I161" t="s">
        <v>246</v>
      </c>
    </row>
    <row r="162" spans="1:9">
      <c r="A162" t="str">
        <v>SLO</v>
      </c>
      <c r="I162" t="s">
        <v>249</v>
      </c>
    </row>
    <row r="163" spans="1:9">
      <c r="A163" t="str">
        <v>SMHN02</v>
      </c>
      <c r="I163" t="s">
        <v>252</v>
      </c>
    </row>
    <row r="164" spans="1:9">
      <c r="A164" t="str">
        <v>SNDTM1</v>
      </c>
      <c r="I164" t="s">
        <v>253</v>
      </c>
    </row>
    <row r="165" spans="1:9">
      <c r="A165" t="str">
        <v>SOLN02</v>
      </c>
      <c r="I165" t="s">
        <v>254</v>
      </c>
    </row>
    <row r="166" spans="1:9">
      <c r="A166" t="str">
        <v>SOSTN1</v>
      </c>
      <c r="I166" t="s">
        <v>259</v>
      </c>
    </row>
    <row r="167" spans="1:9">
      <c r="A167" t="str">
        <v>SOT</v>
      </c>
      <c r="I167" t="s">
        <v>260</v>
      </c>
    </row>
    <row r="168" spans="1:9">
      <c r="A168" t="str">
        <v>SQYN01</v>
      </c>
      <c r="I168" t="s">
        <v>261</v>
      </c>
    </row>
    <row r="169" spans="1:9">
      <c r="A169" t="str">
        <v>SQYN02</v>
      </c>
      <c r="I169" t="s">
        <v>262</v>
      </c>
    </row>
    <row r="170" spans="1:9">
      <c r="A170" t="str">
        <v>STEDN1</v>
      </c>
      <c r="I170" t="s">
        <v>263</v>
      </c>
    </row>
    <row r="171" spans="1:9">
      <c r="A171" t="str">
        <v>STGCD1</v>
      </c>
      <c r="I171" t="s">
        <v>264</v>
      </c>
    </row>
    <row r="172" spans="1:9">
      <c r="A172" t="str">
        <v>SWNN03</v>
      </c>
      <c r="I172" t="s">
        <v>265</v>
      </c>
    </row>
    <row r="173" spans="1:9">
      <c r="A173" t="str">
        <v>SWY</v>
      </c>
      <c r="I173" t="s">
        <v>266</v>
      </c>
    </row>
    <row r="174" spans="1:9">
      <c r="A174" t="str">
        <v>TELHS1</v>
      </c>
      <c r="I174" t="s">
        <v>267</v>
      </c>
    </row>
    <row r="175" spans="1:9">
      <c r="A175" t="str">
        <v>TELHS2</v>
      </c>
      <c r="I175" t="s">
        <v>268</v>
      </c>
    </row>
    <row r="176" spans="1:9">
      <c r="A176" t="str">
        <v>TGYN04</v>
      </c>
      <c r="I176" t="s">
        <v>269</v>
      </c>
    </row>
    <row r="177" spans="1:1">
      <c r="A177" t="str">
        <v>THOTC1</v>
      </c>
    </row>
    <row r="178" spans="1:1">
      <c r="A178" t="str">
        <v>TNTTN1</v>
      </c>
    </row>
    <row r="179" spans="1:1">
      <c r="A179" t="str">
        <v>TRON01</v>
      </c>
    </row>
    <row r="180" spans="1:1">
      <c r="A180" t="str">
        <v>VHXN02</v>
      </c>
    </row>
    <row r="181" spans="1:1">
      <c r="A181" t="str">
        <v>WADN01</v>
      </c>
    </row>
    <row r="182" spans="1:1">
      <c r="A182" t="str">
        <v>WAHP06</v>
      </c>
    </row>
    <row r="183" spans="1:1">
      <c r="A183" t="str">
        <v>WAHP03</v>
      </c>
    </row>
    <row r="184" spans="1:1">
      <c r="A184" t="str">
        <v>WAIP06</v>
      </c>
    </row>
    <row r="185" spans="1:1">
      <c r="A185" t="str">
        <v>WCKTR1</v>
      </c>
    </row>
    <row r="186" spans="1:1">
      <c r="A186" t="str">
        <v>WHD</v>
      </c>
    </row>
    <row r="187" spans="1:1">
      <c r="A187" t="str">
        <v>WHHN03</v>
      </c>
    </row>
    <row r="188" spans="1:1">
      <c r="A188" t="str">
        <v>WKGN01</v>
      </c>
    </row>
    <row r="189" spans="1:1">
      <c r="A189" t="str">
        <v>WONTL1</v>
      </c>
    </row>
    <row r="190" spans="1:1">
      <c r="A190" t="str">
        <v>WTNTK1</v>
      </c>
    </row>
    <row r="191" spans="1:1">
      <c r="A191" t="str">
        <v>WTT</v>
      </c>
    </row>
    <row r="192" spans="1:1">
      <c r="A192" t="str">
        <v>WVHTF1</v>
      </c>
    </row>
    <row r="193" spans="1:1">
      <c r="A193" t="str">
        <v>YRK</v>
      </c>
    </row>
    <row r="194" spans="1:1">
      <c r="A194" t="str">
        <v>YRKTH1</v>
      </c>
    </row>
    <row r="195" spans="1:1">
      <c r="A195" t="str">
        <v>CYNTN2</v>
      </c>
    </row>
    <row r="196" spans="1:1">
      <c r="A196" t="str">
        <v>VHXINT</v>
      </c>
    </row>
    <row r="197" spans="1:1">
      <c r="A197" t="str">
        <v>BSHN08</v>
      </c>
    </row>
    <row r="198" spans="1:1">
      <c r="A198" t="str">
        <v>LCT EXT (1st Floor)</v>
      </c>
    </row>
    <row r="199" spans="1:1">
      <c r="A199" t="str">
        <v>TGY</v>
      </c>
    </row>
    <row r="200" spans="1:1">
      <c r="A200" t="str">
        <v>TGYN03</v>
      </c>
    </row>
    <row r="201" spans="1:1">
      <c r="A201" t="str">
        <v>LDSN15</v>
      </c>
    </row>
    <row r="202" spans="1:1">
      <c r="A202" t="str">
        <v>BYR[cabin]</v>
      </c>
    </row>
    <row r="203" spans="1:1">
      <c r="A203" t="str">
        <v>0</v>
      </c>
    </row>
    <row r="204" spans="1:1">
      <c r="A204" t="str">
        <v>FTATA1</v>
      </c>
    </row>
    <row r="205" spans="1:1">
      <c r="A205" t="str">
        <v>EDBCD1</v>
      </c>
    </row>
    <row r="206" spans="1:1">
      <c r="A206" t="str">
        <v xml:space="preserve">FKKB21 </v>
      </c>
    </row>
  </sheetData>
  <sheetProtection algorithmName="SHA-512" hashValue="RExc1GJQmPbWTcWmSzS06P9pJeOCrLmQUDciOkNf0WFdw/jWfedG3qQjHgYfFrmx1XmQbGehRalb8rs2ZH+8QA==" saltValue="wGUzOsf4b8zS5GpOOUoMsA==" spinCount="100000" sheet="1" objects="1" scenarios="1"/>
  <autoFilter ref="A1:A208" xr:uid="{00000000-0009-0000-0000-000009000000}"/>
  <conditionalFormatting sqref="I91">
    <cfRule type="duplicateValues" dxfId="50" priority="2"/>
  </conditionalFormatting>
  <conditionalFormatting sqref="I132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2108</v>
      </c>
      <c r="B1" s="138" t="s">
        <v>2109</v>
      </c>
      <c r="C1" s="139" t="s">
        <v>2110</v>
      </c>
    </row>
    <row r="2" spans="1:3">
      <c r="A2" s="141" t="s">
        <v>736</v>
      </c>
      <c r="B2" s="142">
        <v>50</v>
      </c>
      <c r="C2" s="142">
        <f>Table83[[#This Row],[Output (Amps)]]*0.8</f>
        <v>40</v>
      </c>
    </row>
    <row r="3" spans="1:3">
      <c r="A3" s="141" t="s">
        <v>2111</v>
      </c>
      <c r="B3" s="142">
        <v>31.3</v>
      </c>
      <c r="C3" s="142">
        <f>Table83[[#This Row],[Output (Amps)]]*0.8</f>
        <v>25.040000000000003</v>
      </c>
    </row>
    <row r="4" spans="1:3">
      <c r="A4" s="141" t="s">
        <v>2112</v>
      </c>
      <c r="B4" s="142">
        <v>43.8</v>
      </c>
      <c r="C4" s="142">
        <f>Table83[[#This Row],[Output (Amps)]]*0.8</f>
        <v>35.04</v>
      </c>
    </row>
    <row r="5" spans="1:3">
      <c r="A5" s="141" t="s">
        <v>789</v>
      </c>
      <c r="B5" s="142">
        <v>50</v>
      </c>
      <c r="C5" s="142">
        <f>Table83[[#This Row],[Output (Amps)]]*0.8</f>
        <v>40</v>
      </c>
    </row>
    <row r="6" spans="1:3">
      <c r="A6" s="141" t="s">
        <v>332</v>
      </c>
      <c r="B6" s="142">
        <v>75</v>
      </c>
      <c r="C6" s="142">
        <f>Table83[[#This Row],[Output (Amps)]]*0.8</f>
        <v>60</v>
      </c>
    </row>
    <row r="7" spans="1:3">
      <c r="A7" s="141" t="s">
        <v>337</v>
      </c>
      <c r="B7" s="142">
        <v>30</v>
      </c>
      <c r="C7" s="142">
        <f>Table83[[#This Row],[Output (Amps)]]*0.8</f>
        <v>24</v>
      </c>
    </row>
    <row r="8" spans="1:3">
      <c r="A8" s="141" t="s">
        <v>2113</v>
      </c>
      <c r="B8" s="142">
        <v>37.5</v>
      </c>
      <c r="C8" s="142">
        <f>Table83[[#This Row],[Output (Amps)]]*0.8</f>
        <v>30</v>
      </c>
    </row>
    <row r="9" spans="1:3">
      <c r="A9" s="141" t="s">
        <v>321</v>
      </c>
      <c r="B9" s="142">
        <v>36.6</v>
      </c>
      <c r="C9" s="142">
        <f>Table83[[#This Row],[Output (Amps)]]*0.8</f>
        <v>29.28</v>
      </c>
    </row>
    <row r="10" spans="1:3">
      <c r="A10" s="141" t="s">
        <v>384</v>
      </c>
      <c r="B10" s="142">
        <v>55</v>
      </c>
      <c r="C10" s="142">
        <f>Table83[[#This Row],[Output (Amps)]]*0.8</f>
        <v>44</v>
      </c>
    </row>
    <row r="11" spans="1:3">
      <c r="A11" s="141" t="s">
        <v>2114</v>
      </c>
      <c r="B11" s="142">
        <v>60</v>
      </c>
      <c r="C11" s="142">
        <f>Table83[[#This Row],[Output (Amps)]]*0.8</f>
        <v>48</v>
      </c>
    </row>
    <row r="12" spans="1:3">
      <c r="A12" s="141" t="s">
        <v>2115</v>
      </c>
      <c r="B12" s="142">
        <v>29.1</v>
      </c>
      <c r="C12" s="142">
        <f>Table83[[#This Row],[Output (Amps)]]*0.8</f>
        <v>23.28</v>
      </c>
    </row>
    <row r="13" spans="1:3">
      <c r="A13" s="141" t="s">
        <v>2116</v>
      </c>
      <c r="B13" s="142">
        <v>37.5</v>
      </c>
      <c r="C13" s="142">
        <f>Table83[[#This Row],[Output (Amps)]]*0.8</f>
        <v>30</v>
      </c>
    </row>
    <row r="14" spans="1:3">
      <c r="A14" s="141" t="s">
        <v>353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370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2117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2118</v>
      </c>
      <c r="B17" s="142">
        <v>32</v>
      </c>
      <c r="C17" s="142">
        <f>Table83[[#This Row],[Output (Amps)]]*0.8</f>
        <v>25.6</v>
      </c>
    </row>
    <row r="18" spans="1:3">
      <c r="A18" s="141" t="s">
        <v>676</v>
      </c>
      <c r="B18" s="142">
        <v>45</v>
      </c>
      <c r="C18" s="142">
        <f>Table83[[#This Row],[Output (Amps)]]*0.8</f>
        <v>36</v>
      </c>
    </row>
    <row r="19" spans="1:3">
      <c r="A19" s="141" t="s">
        <v>399</v>
      </c>
      <c r="B19" s="142">
        <v>50</v>
      </c>
      <c r="C19" s="142">
        <f>Table83[[#This Row],[Output (Amps)]]*0.8</f>
        <v>40</v>
      </c>
    </row>
    <row r="20" spans="1:3">
      <c r="A20" s="141" t="s">
        <v>2119</v>
      </c>
      <c r="B20" s="142">
        <v>25</v>
      </c>
      <c r="C20" s="142">
        <f>Table83[[#This Row],[Output (Amps)]]*0.8</f>
        <v>20</v>
      </c>
    </row>
    <row r="21" spans="1:3">
      <c r="A21" s="141" t="s">
        <v>2120</v>
      </c>
      <c r="B21" s="142">
        <v>50</v>
      </c>
      <c r="C21" s="142">
        <f>Table83[[#This Row],[Output (Amps)]]*0.8</f>
        <v>40</v>
      </c>
    </row>
    <row r="22" spans="1:3">
      <c r="A22" s="143" t="s">
        <v>2121</v>
      </c>
      <c r="B22" s="142">
        <v>225</v>
      </c>
      <c r="C22" s="142">
        <f>Table83[[#This Row],[Output (Amps)]]*0.8</f>
        <v>180</v>
      </c>
    </row>
    <row r="23" spans="1:3">
      <c r="A23" s="143" t="s">
        <v>2122</v>
      </c>
      <c r="B23" s="142">
        <v>100</v>
      </c>
      <c r="C23" s="142">
        <f>Table83[[#This Row],[Output (Amps)]]*0.8</f>
        <v>80</v>
      </c>
    </row>
    <row r="24" spans="1:3">
      <c r="A24" s="143" t="s">
        <v>433</v>
      </c>
      <c r="B24" s="272">
        <v>55</v>
      </c>
      <c r="C24" s="272">
        <f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2123</v>
      </c>
      <c r="B2" s="389" t="s">
        <v>2124</v>
      </c>
      <c r="C2" s="390"/>
      <c r="D2" s="390"/>
      <c r="E2" s="391"/>
      <c r="F2" s="392" t="s">
        <v>2125</v>
      </c>
      <c r="G2" s="393"/>
      <c r="H2" s="393"/>
      <c r="I2" s="394"/>
      <c r="J2" s="395" t="s">
        <v>2126</v>
      </c>
      <c r="K2" s="396"/>
      <c r="L2" s="396"/>
      <c r="M2" s="397"/>
      <c r="N2" s="147"/>
      <c r="O2" s="147"/>
    </row>
    <row r="3" spans="1:16" s="154" customFormat="1" ht="15.6">
      <c r="A3" s="148" t="s">
        <v>2127</v>
      </c>
      <c r="B3" s="149" t="s">
        <v>2050</v>
      </c>
      <c r="C3" s="149" t="s">
        <v>2051</v>
      </c>
      <c r="D3" s="149" t="s">
        <v>2052</v>
      </c>
      <c r="E3" s="149" t="s">
        <v>2053</v>
      </c>
      <c r="F3" s="150" t="s">
        <v>2128</v>
      </c>
      <c r="G3" s="150" t="s">
        <v>2129</v>
      </c>
      <c r="H3" s="150" t="s">
        <v>2130</v>
      </c>
      <c r="I3" s="150" t="s">
        <v>2131</v>
      </c>
      <c r="J3" s="151" t="s">
        <v>2132</v>
      </c>
      <c r="K3" s="151" t="s">
        <v>2133</v>
      </c>
      <c r="L3" s="151" t="s">
        <v>2134</v>
      </c>
      <c r="M3" s="151" t="s">
        <v>2135</v>
      </c>
      <c r="N3" s="152" t="s">
        <v>2136</v>
      </c>
      <c r="O3" s="152" t="s">
        <v>2137</v>
      </c>
      <c r="P3" s="153" t="s">
        <v>2138</v>
      </c>
    </row>
    <row r="4" spans="1:16">
      <c r="A4" s="155" t="s">
        <v>2139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400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2140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486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366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568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334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605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472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2141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338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342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405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582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572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347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361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2142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557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450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511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811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723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2143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535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2144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2145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2146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624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2147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2148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2149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355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2150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2151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388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527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786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2152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689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414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2153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638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2154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732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2155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324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2156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2157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2123</v>
      </c>
      <c r="B2" s="389" t="s">
        <v>2124</v>
      </c>
      <c r="C2" s="390"/>
      <c r="D2" s="390"/>
      <c r="E2" s="391"/>
      <c r="F2" s="392" t="s">
        <v>2158</v>
      </c>
      <c r="G2" s="393"/>
      <c r="H2" s="393"/>
      <c r="I2" s="394"/>
      <c r="J2" s="395" t="s">
        <v>2159</v>
      </c>
      <c r="K2" s="396"/>
      <c r="L2" s="396"/>
      <c r="M2" s="397"/>
      <c r="N2" s="147"/>
      <c r="O2" s="147"/>
    </row>
    <row r="3" spans="1:16" s="154" customFormat="1" ht="15.6">
      <c r="A3" s="148" t="s">
        <v>2127</v>
      </c>
      <c r="B3" s="149" t="s">
        <v>2050</v>
      </c>
      <c r="C3" s="149" t="s">
        <v>2051</v>
      </c>
      <c r="D3" s="149" t="s">
        <v>2052</v>
      </c>
      <c r="E3" s="149" t="s">
        <v>2053</v>
      </c>
      <c r="F3" s="150" t="s">
        <v>2128</v>
      </c>
      <c r="G3" s="150" t="s">
        <v>2129</v>
      </c>
      <c r="H3" s="150" t="s">
        <v>2130</v>
      </c>
      <c r="I3" s="150" t="s">
        <v>2131</v>
      </c>
      <c r="J3" s="151" t="s">
        <v>2132</v>
      </c>
      <c r="K3" s="151" t="s">
        <v>2133</v>
      </c>
      <c r="L3" s="151" t="s">
        <v>2134</v>
      </c>
      <c r="M3" s="151" t="s">
        <v>2135</v>
      </c>
      <c r="N3" s="152" t="s">
        <v>2136</v>
      </c>
      <c r="O3" s="152" t="s">
        <v>2137</v>
      </c>
      <c r="P3" s="153" t="s">
        <v>2138</v>
      </c>
    </row>
    <row r="4" spans="1:16">
      <c r="A4" s="155" t="s">
        <v>2139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[3]!Table7[[#This Row],[Ah Rating]]/10</f>
        <v>#REF!</v>
      </c>
      <c r="P4" s="159" t="e">
        <f>[3]!Table7[[#This Row],[Temp]]</f>
        <v>#REF!</v>
      </c>
    </row>
    <row r="5" spans="1:16">
      <c r="A5" s="155" t="s">
        <v>400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[3]!Table7[[#This Row],[Ah Rating]]/10</f>
        <v>#REF!</v>
      </c>
      <c r="P5" s="159" t="e">
        <f>[3]!Table7[[#This Row],[Temp]]</f>
        <v>#REF!</v>
      </c>
    </row>
    <row r="6" spans="1:16">
      <c r="A6" s="155" t="s">
        <v>2140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[3]!Table7[[#This Row],[Ah Rating]]/10</f>
        <v>#REF!</v>
      </c>
      <c r="P6" s="159" t="e">
        <f>[3]!Table7[[#This Row],[Temp]]</f>
        <v>#REF!</v>
      </c>
    </row>
    <row r="7" spans="1:16">
      <c r="A7" s="155" t="s">
        <v>486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[3]!Table7[[#This Row],[Ah Rating]]/10</f>
        <v>#REF!</v>
      </c>
      <c r="P7" s="159" t="e">
        <f>[3]!Table7[[#This Row],[Temp]]</f>
        <v>#REF!</v>
      </c>
    </row>
    <row r="8" spans="1:16">
      <c r="A8" s="155" t="s">
        <v>366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[3]!Table7[[#This Row],[Ah Rating]]/10</f>
        <v>#REF!</v>
      </c>
      <c r="P8" s="159" t="e">
        <f>[3]!Table7[[#This Row],[Temp]]</f>
        <v>#REF!</v>
      </c>
    </row>
    <row r="9" spans="1:16">
      <c r="A9" s="155" t="s">
        <v>568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[3]!Table7[[#This Row],[Ah Rating]]/10</f>
        <v>#REF!</v>
      </c>
      <c r="P9" s="159" t="e">
        <f>[3]!Table7[[#This Row],[Temp]]</f>
        <v>#REF!</v>
      </c>
    </row>
    <row r="10" spans="1:16">
      <c r="A10" s="155" t="s">
        <v>334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[3]!Table7[[#This Row],[Ah Rating]]/10</f>
        <v>#REF!</v>
      </c>
      <c r="P10" s="159" t="e">
        <f>[3]!Table7[[#This Row],[Temp]]</f>
        <v>#REF!</v>
      </c>
    </row>
    <row r="11" spans="1:16">
      <c r="A11" s="155" t="s">
        <v>605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[3]!Table7[[#This Row],[Ah Rating]]/10</f>
        <v>#REF!</v>
      </c>
      <c r="P11" s="159" t="e">
        <f>[3]!Table7[[#This Row],[Temp]]</f>
        <v>#REF!</v>
      </c>
    </row>
    <row r="12" spans="1:16">
      <c r="A12" s="155" t="s">
        <v>472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[3]!Table7[[#This Row],[Ah Rating]]/10</f>
        <v>#REF!</v>
      </c>
      <c r="P12" s="159" t="e">
        <f>[3]!Table7[[#This Row],[Temp]]</f>
        <v>#REF!</v>
      </c>
    </row>
    <row r="13" spans="1:16">
      <c r="A13" s="155" t="s">
        <v>2141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[3]!Table7[[#This Row],[Ah Rating]]/10</f>
        <v>#REF!</v>
      </c>
      <c r="P13" s="159" t="e">
        <f>[3]!Table7[[#This Row],[Temp]]</f>
        <v>#REF!</v>
      </c>
    </row>
    <row r="14" spans="1:16">
      <c r="A14" s="155" t="s">
        <v>338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[3]!Table7[[#This Row],[Ah Rating]]/10</f>
        <v>#REF!</v>
      </c>
      <c r="P14" s="159" t="e">
        <f>[3]!Table7[[#This Row],[Temp]]</f>
        <v>#REF!</v>
      </c>
    </row>
    <row r="15" spans="1:16">
      <c r="A15" s="155" t="s">
        <v>342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[3]!Table7[[#This Row],[Ah Rating]]/10</f>
        <v>#REF!</v>
      </c>
      <c r="P15" s="159" t="e">
        <f>[3]!Table7[[#This Row],[Temp]]</f>
        <v>#REF!</v>
      </c>
    </row>
    <row r="16" spans="1:16">
      <c r="A16" s="155" t="s">
        <v>405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[3]!Table7[[#This Row],[Ah Rating]]/10</f>
        <v>#REF!</v>
      </c>
      <c r="P16" s="159" t="e">
        <f>[3]!Table7[[#This Row],[Temp]]</f>
        <v>#REF!</v>
      </c>
    </row>
    <row r="17" spans="1:16">
      <c r="A17" s="155" t="s">
        <v>582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[3]!Table7[[#This Row],[Ah Rating]]/10</f>
        <v>#REF!</v>
      </c>
      <c r="P17" s="159" t="e">
        <f>[3]!Table7[[#This Row],[Temp]]</f>
        <v>#REF!</v>
      </c>
    </row>
    <row r="18" spans="1:16">
      <c r="A18" s="155" t="s">
        <v>572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[3]!Table7[[#This Row],[Ah Rating]]/10</f>
        <v>#REF!</v>
      </c>
      <c r="P18" s="159" t="e">
        <f>[3]!Table7[[#This Row],[Temp]]</f>
        <v>#REF!</v>
      </c>
    </row>
    <row r="19" spans="1:16">
      <c r="A19" s="155" t="s">
        <v>347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[3]!Table7[[#This Row],[Ah Rating]]/10</f>
        <v>#REF!</v>
      </c>
      <c r="P19" s="159" t="e">
        <f>[3]!Table7[[#This Row],[Temp]]</f>
        <v>#REF!</v>
      </c>
    </row>
    <row r="20" spans="1:16">
      <c r="A20" s="160" t="s">
        <v>361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[3]!Table7[[#This Row],[Ah Rating]]/10</f>
        <v>#REF!</v>
      </c>
      <c r="P20" s="159" t="e">
        <f>[3]!Table7[[#This Row],[Temp]]</f>
        <v>#REF!</v>
      </c>
    </row>
    <row r="21" spans="1:16">
      <c r="A21" s="160" t="s">
        <v>2142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[3]!Table7[[#This Row],[Ah Rating]]/10</f>
        <v>#REF!</v>
      </c>
      <c r="P21" s="159" t="e">
        <f>[3]!Table7[[#This Row],[Temp]]</f>
        <v>#REF!</v>
      </c>
    </row>
    <row r="22" spans="1:16">
      <c r="A22" s="160" t="s">
        <v>557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[3]!Table7[[#This Row],[Ah Rating]]/10</f>
        <v>#REF!</v>
      </c>
      <c r="P22" s="159" t="e">
        <f>[3]!Table7[[#This Row],[Temp]]</f>
        <v>#REF!</v>
      </c>
    </row>
    <row r="23" spans="1:16">
      <c r="A23" s="160" t="s">
        <v>450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[3]!Table7[[#This Row],[Ah Rating]]/10</f>
        <v>#REF!</v>
      </c>
      <c r="P23" s="159" t="e">
        <f>[3]!Table7[[#This Row],[Temp]]</f>
        <v>#REF!</v>
      </c>
    </row>
    <row r="24" spans="1:16">
      <c r="A24" s="160" t="s">
        <v>511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[3]!Table7[[#This Row],[Ah Rating]]/10</f>
        <v>#REF!</v>
      </c>
      <c r="P24" s="159" t="e">
        <f>[3]!Table7[[#This Row],[Temp]]</f>
        <v>#REF!</v>
      </c>
    </row>
    <row r="25" spans="1:16">
      <c r="A25" s="160" t="s">
        <v>811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[3]!Table7[[#This Row],[Ah Rating]]/10</f>
        <v>#REF!</v>
      </c>
      <c r="P25" s="159" t="e">
        <f>[3]!Table7[[#This Row],[Temp]]</f>
        <v>#REF!</v>
      </c>
    </row>
    <row r="26" spans="1:16">
      <c r="A26" s="160" t="s">
        <v>723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[3]!Table7[[#This Row],[Ah Rating]]/10</f>
        <v>#REF!</v>
      </c>
      <c r="P26" s="159" t="e">
        <f>[3]!Table7[[#This Row],[Temp]]</f>
        <v>#REF!</v>
      </c>
    </row>
    <row r="27" spans="1:16">
      <c r="A27" s="160" t="s">
        <v>2143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[3]!Table7[[#This Row],[Ah Rating]]/10</f>
        <v>#REF!</v>
      </c>
      <c r="P27" s="159" t="e">
        <f>[3]!Table7[[#This Row],[Temp]]</f>
        <v>#REF!</v>
      </c>
    </row>
    <row r="28" spans="1:16">
      <c r="A28" s="160" t="s">
        <v>535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[3]!Table7[[#This Row],[Ah Rating]]/10</f>
        <v>#REF!</v>
      </c>
      <c r="P28" s="159" t="e">
        <f>[3]!Table7[[#This Row],[Temp]]</f>
        <v>#REF!</v>
      </c>
    </row>
    <row r="29" spans="1:16">
      <c r="A29" s="160" t="s">
        <v>2144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[3]!Table7[[#This Row],[Ah Rating]]/10</f>
        <v>#REF!</v>
      </c>
      <c r="P29" s="159" t="e">
        <f>[3]!Table7[[#This Row],[Temp]]</f>
        <v>#REF!</v>
      </c>
    </row>
    <row r="30" spans="1:16">
      <c r="A30" s="160" t="s">
        <v>2145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[3]!Table7[[#This Row],[Ah Rating]]/10</f>
        <v>#REF!</v>
      </c>
      <c r="P30" s="159" t="e">
        <f>[3]!Table7[[#This Row],[Temp]]</f>
        <v>#REF!</v>
      </c>
    </row>
    <row r="31" spans="1:16">
      <c r="A31" s="160" t="s">
        <v>2146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[3]!Table7[[#This Row],[Ah Rating]]/10</f>
        <v>#REF!</v>
      </c>
      <c r="P31" s="159" t="e">
        <f>[3]!Table7[[#This Row],[Temp]]</f>
        <v>#REF!</v>
      </c>
    </row>
    <row r="32" spans="1:16">
      <c r="A32" s="160" t="s">
        <v>624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[3]!Table7[[#This Row],[Ah Rating]]/10</f>
        <v>#REF!</v>
      </c>
      <c r="P32" s="159" t="e">
        <f>[3]!Table7[[#This Row],[Temp]]</f>
        <v>#REF!</v>
      </c>
    </row>
    <row r="33" spans="1:16">
      <c r="A33" s="160" t="s">
        <v>2147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[3]!Table7[[#This Row],[Ah Rating]]/10</f>
        <v>#REF!</v>
      </c>
      <c r="P33" s="159" t="e">
        <f>[3]!Table7[[#This Row],[Temp]]</f>
        <v>#REF!</v>
      </c>
    </row>
    <row r="34" spans="1:16">
      <c r="A34" s="160" t="s">
        <v>2148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[3]!Table7[[#This Row],[Ah Rating]]/10</f>
        <v>#REF!</v>
      </c>
      <c r="P34" s="159" t="e">
        <f>[3]!Table7[[#This Row],[Temp]]</f>
        <v>#REF!</v>
      </c>
    </row>
    <row r="35" spans="1:16">
      <c r="A35" s="160" t="s">
        <v>2149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[3]!Table7[[#This Row],[Ah Rating]]/10</f>
        <v>#REF!</v>
      </c>
      <c r="P35" s="159" t="e">
        <f>[3]!Table7[[#This Row],[Temp]]</f>
        <v>#REF!</v>
      </c>
    </row>
    <row r="36" spans="1:16">
      <c r="A36" s="162" t="s">
        <v>355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[3]!Table7[[#This Row],[Ah Rating]]/10</f>
        <v>#REF!</v>
      </c>
      <c r="P36" s="159" t="e">
        <f>[3]!Table7[[#This Row],[Temp]]</f>
        <v>#REF!</v>
      </c>
    </row>
    <row r="37" spans="1:16">
      <c r="A37" s="162" t="s">
        <v>2150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[3]!Table7[[#This Row],[Ah Rating]]/10</f>
        <v>#REF!</v>
      </c>
      <c r="P37" s="159" t="e">
        <f>[3]!Table7[[#This Row],[Temp]]</f>
        <v>#REF!</v>
      </c>
    </row>
    <row r="38" spans="1:16">
      <c r="A38" s="162" t="s">
        <v>2151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[3]!Table7[[#This Row],[Ah Rating]]/10</f>
        <v>#REF!</v>
      </c>
      <c r="P38" s="159" t="e">
        <f>[3]!Table7[[#This Row],[Temp]]</f>
        <v>#REF!</v>
      </c>
    </row>
    <row r="39" spans="1:16">
      <c r="A39" s="162" t="s">
        <v>388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[3]!Table7[[#This Row],[Ah Rating]]/10</f>
        <v>#REF!</v>
      </c>
      <c r="P39" s="159" t="e">
        <f>[3]!Table7[[#This Row],[Temp]]</f>
        <v>#REF!</v>
      </c>
    </row>
    <row r="40" spans="1:16">
      <c r="A40" s="162" t="s">
        <v>527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[3]!Table7[[#This Row],[Ah Rating]]/10</f>
        <v>#REF!</v>
      </c>
      <c r="P40" s="159" t="e">
        <f>[3]!Table7[[#This Row],[Temp]]</f>
        <v>#REF!</v>
      </c>
    </row>
    <row r="41" spans="1:16">
      <c r="A41" s="162" t="s">
        <v>786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[3]!Table7[[#This Row],[Ah Rating]]/10</f>
        <v>#REF!</v>
      </c>
      <c r="P41" s="159" t="e">
        <f>[3]!Table7[[#This Row],[Temp]]</f>
        <v>#REF!</v>
      </c>
    </row>
    <row r="42" spans="1:16">
      <c r="A42" s="162" t="s">
        <v>2152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[3]!Table7[[#This Row],[Ah Rating]]/10</f>
        <v>#REF!</v>
      </c>
      <c r="P42" s="170">
        <v>20</v>
      </c>
    </row>
    <row r="43" spans="1:16">
      <c r="A43" s="160" t="s">
        <v>689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[3]!Table7[[#This Row],[Ah Rating]]/10</f>
        <v>#REF!</v>
      </c>
      <c r="P43" s="171" t="e">
        <f>[3]!Table7[[#This Row],[Temp]]</f>
        <v>#REF!</v>
      </c>
    </row>
    <row r="44" spans="1:16">
      <c r="A44" s="160" t="s">
        <v>414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[3]!Table7[[#This Row],[Ah Rating]]/10</f>
        <v>#REF!</v>
      </c>
      <c r="P44" s="171" t="e">
        <f>[3]!Table7[[#This Row],[Temp]]</f>
        <v>#REF!</v>
      </c>
    </row>
    <row r="45" spans="1:16">
      <c r="A45" s="160" t="s">
        <v>2153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[3]!Table7[[#This Row],[Ah Rating]]/10</f>
        <v>#REF!</v>
      </c>
      <c r="P45" s="171" t="e">
        <f>[3]!Table7[[#This Row],[Temp]]</f>
        <v>#REF!</v>
      </c>
    </row>
    <row r="46" spans="1:16">
      <c r="A46" s="160" t="s">
        <v>638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[3]!Table7[[#This Row],[Ah Rating]]/10</f>
        <v>#REF!</v>
      </c>
      <c r="P46" s="171" t="e">
        <f>[3]!Table7[[#This Row],[Temp]]</f>
        <v>#REF!</v>
      </c>
    </row>
    <row r="47" spans="1:16">
      <c r="A47" s="160" t="s">
        <v>2154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[3]!Table7[[#This Row],[Ah Rating]]/10</f>
        <v>#REF!</v>
      </c>
      <c r="P47" s="171" t="e">
        <f>[3]!Table7[[#This Row],[Temp]]</f>
        <v>#REF!</v>
      </c>
    </row>
    <row r="48" spans="1:16">
      <c r="A48" s="160" t="s">
        <v>732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[3]!Table7[[#This Row],[Ah Rating]]/10</f>
        <v>#REF!</v>
      </c>
      <c r="P48" s="171" t="e">
        <f>[3]!Table7[[#This Row],[Temp]]</f>
        <v>#REF!</v>
      </c>
    </row>
    <row r="49" spans="1:16">
      <c r="A49" s="160" t="s">
        <v>2155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[3]!Table7[[#This Row],[Ah Rating]]/10</f>
        <v>#REF!</v>
      </c>
      <c r="P49" s="171" t="e">
        <f>[3]!Table7[[#This Row],[Temp]]</f>
        <v>#REF!</v>
      </c>
    </row>
    <row r="50" spans="1:16">
      <c r="A50" s="160" t="s">
        <v>324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[3]!Table7[[#This Row],[Ah Rating]]/10</f>
        <v>#REF!</v>
      </c>
      <c r="P50" s="171" t="e">
        <f>[3]!Table7[[#This Row],[Temp]]</f>
        <v>#REF!</v>
      </c>
    </row>
    <row r="51" spans="1:16">
      <c r="A51" s="160" t="s">
        <v>2156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[3]!Table7[[#This Row],[Ah Rating]]/10</f>
        <v>#REF!</v>
      </c>
      <c r="P51" s="171" t="e">
        <f>[3]!Table7[[#This Row],[Temp]]</f>
        <v>#REF!</v>
      </c>
    </row>
    <row r="52" spans="1:16">
      <c r="A52" s="160" t="s">
        <v>2157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[3]!Table7[[#This Row],[Ah Rating]]/10</f>
        <v>#REF!</v>
      </c>
      <c r="P52" s="171" t="e">
        <f>[3]!Table7[[#This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2160</v>
      </c>
      <c r="B4">
        <v>1200</v>
      </c>
    </row>
    <row r="5" spans="1:2">
      <c r="A5" t="s">
        <v>2161</v>
      </c>
      <c r="B5">
        <v>1500</v>
      </c>
    </row>
    <row r="6" spans="1:2">
      <c r="A6" t="s">
        <v>2162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859</v>
      </c>
      <c r="B1" t="s">
        <v>2163</v>
      </c>
      <c r="C1" t="s">
        <v>2164</v>
      </c>
      <c r="D1" s="52" t="s">
        <v>2165</v>
      </c>
      <c r="E1" s="52" t="s">
        <v>2166</v>
      </c>
      <c r="F1" s="52" t="s">
        <v>2167</v>
      </c>
    </row>
    <row r="2" spans="1:6">
      <c r="A2" t="s">
        <v>844</v>
      </c>
      <c r="B2" s="77">
        <v>7.4</v>
      </c>
      <c r="C2">
        <v>4</v>
      </c>
      <c r="D2">
        <f>SUM(B2*C2)</f>
        <v>29.6</v>
      </c>
      <c r="E2" s="398">
        <f>SUM(D2:D6)</f>
        <v>121.80000000000001</v>
      </c>
      <c r="F2" s="398">
        <f>SUM(E2/100)*75</f>
        <v>91.350000000000009</v>
      </c>
    </row>
    <row r="3" spans="1:6">
      <c r="A3" s="52" t="s">
        <v>844</v>
      </c>
      <c r="B3" s="77">
        <v>13.4</v>
      </c>
      <c r="C3">
        <v>3</v>
      </c>
      <c r="D3">
        <f t="shared" ref="D3:D13" si="0">SUM(B3*C3)</f>
        <v>40.200000000000003</v>
      </c>
      <c r="E3" s="398"/>
      <c r="F3" s="398"/>
    </row>
    <row r="4" spans="1:6">
      <c r="A4" s="52" t="s">
        <v>2168</v>
      </c>
      <c r="B4">
        <v>7.4</v>
      </c>
      <c r="C4">
        <v>2</v>
      </c>
      <c r="D4">
        <f t="shared" si="0"/>
        <v>14.8</v>
      </c>
      <c r="E4" s="398"/>
      <c r="F4" s="398"/>
    </row>
    <row r="5" spans="1:6">
      <c r="A5" s="52" t="s">
        <v>846</v>
      </c>
      <c r="B5">
        <v>7.5</v>
      </c>
      <c r="C5">
        <v>2</v>
      </c>
      <c r="D5">
        <f t="shared" si="0"/>
        <v>15</v>
      </c>
      <c r="E5" s="398"/>
      <c r="F5" s="398"/>
    </row>
    <row r="6" spans="1:6">
      <c r="A6" s="52" t="s">
        <v>794</v>
      </c>
      <c r="B6">
        <v>7.4</v>
      </c>
      <c r="C6">
        <v>3</v>
      </c>
      <c r="D6">
        <f t="shared" si="0"/>
        <v>22.200000000000003</v>
      </c>
      <c r="E6" s="398"/>
      <c r="F6" s="398"/>
    </row>
    <row r="7" spans="1:6">
      <c r="A7" s="52" t="s">
        <v>837</v>
      </c>
      <c r="B7">
        <v>18</v>
      </c>
      <c r="C7">
        <v>2</v>
      </c>
      <c r="D7">
        <f t="shared" si="0"/>
        <v>36</v>
      </c>
      <c r="E7" s="398">
        <f>SUM(D7:D8)</f>
        <v>96</v>
      </c>
      <c r="F7" s="398">
        <f>SUM(E7/100)*75</f>
        <v>72</v>
      </c>
    </row>
    <row r="8" spans="1:6">
      <c r="A8" s="52" t="s">
        <v>2169</v>
      </c>
      <c r="B8">
        <v>30</v>
      </c>
      <c r="C8">
        <v>2</v>
      </c>
      <c r="D8">
        <f t="shared" si="0"/>
        <v>60</v>
      </c>
      <c r="E8" s="398"/>
      <c r="F8" s="398"/>
    </row>
    <row r="9" spans="1:6">
      <c r="A9" s="52" t="s">
        <v>374</v>
      </c>
      <c r="B9">
        <v>35</v>
      </c>
      <c r="C9">
        <v>1</v>
      </c>
      <c r="D9">
        <f t="shared" si="0"/>
        <v>35</v>
      </c>
      <c r="E9" s="398">
        <f>SUM(D9:D11)</f>
        <v>155</v>
      </c>
      <c r="F9" s="398">
        <f>SUM(E9/100)*75</f>
        <v>116.25</v>
      </c>
    </row>
    <row r="10" spans="1:6">
      <c r="A10" s="52" t="s">
        <v>374</v>
      </c>
      <c r="B10">
        <v>30</v>
      </c>
      <c r="C10">
        <v>1</v>
      </c>
      <c r="D10">
        <f t="shared" si="0"/>
        <v>30</v>
      </c>
      <c r="E10" s="398"/>
      <c r="F10" s="398"/>
    </row>
    <row r="11" spans="1:6">
      <c r="A11" s="52" t="s">
        <v>856</v>
      </c>
      <c r="B11">
        <v>10</v>
      </c>
      <c r="C11">
        <v>9</v>
      </c>
      <c r="D11">
        <f t="shared" si="0"/>
        <v>90</v>
      </c>
      <c r="E11" s="398"/>
      <c r="F11" s="398"/>
    </row>
    <row r="12" spans="1:6">
      <c r="A12" s="52" t="s">
        <v>637</v>
      </c>
      <c r="B12">
        <v>40</v>
      </c>
      <c r="C12">
        <v>2</v>
      </c>
      <c r="D12">
        <f t="shared" si="0"/>
        <v>80</v>
      </c>
      <c r="E12" s="398">
        <f>SUM(D12:D13)</f>
        <v>110</v>
      </c>
      <c r="F12" s="398">
        <f>SUM(E12/100)*75</f>
        <v>82.5</v>
      </c>
    </row>
    <row r="13" spans="1:6">
      <c r="A13" s="52" t="s">
        <v>2170</v>
      </c>
      <c r="B13">
        <v>30</v>
      </c>
      <c r="C13">
        <v>1</v>
      </c>
      <c r="D13">
        <f t="shared" si="0"/>
        <v>30</v>
      </c>
      <c r="E13" s="398"/>
      <c r="F13" s="398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45FB0B0C-AF95-49C4-9E1B-B7FF36D51951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